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2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omments2.xml" ContentType="application/vnd.openxmlformats-officedocument.spreadsheetml.comments+xml"/>
  <Override PartName="/xl/drawings/drawing15.xml" ContentType="application/vnd.openxmlformats-officedocument.drawing+xml"/>
  <Override PartName="/xl/comments3.xml" ContentType="application/vnd.openxmlformats-officedocument.spreadsheetml.comments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omments4.xml" ContentType="application/vnd.openxmlformats-officedocument.spreadsheetml.comments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ml.chartshapes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ml.chartshape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kb\Dropbox\Arbejdsfolder\"/>
    </mc:Choice>
  </mc:AlternateContent>
  <bookViews>
    <workbookView xWindow="0" yWindow="0" windowWidth="17210" windowHeight="7720" tabRatio="743" firstSheet="12" activeTab="12"/>
  </bookViews>
  <sheets>
    <sheet name="linear model (2)" sheetId="38" r:id="rId1"/>
    <sheet name="all drops (m;velo)" sheetId="33" r:id="rId2"/>
    <sheet name="Plot m all drops" sheetId="32" r:id="rId3"/>
    <sheet name="Plot time;velo" sheetId="35" r:id="rId4"/>
    <sheet name="New Vestas G27 60L" sheetId="4" r:id="rId5"/>
    <sheet name="G27 60L (m;velo)" sheetId="10" r:id="rId6"/>
    <sheet name="G27 60L (impacts;velo)" sheetId="6" r:id="rId7"/>
    <sheet name="G27 60L (impactsDNV;velo)" sheetId="26" r:id="rId8"/>
    <sheet name="G27 60L (impactsDNV;Ekin)" sheetId="39" r:id="rId9"/>
    <sheet name="G27 60L (AccuEkin;velo)" sheetId="40" r:id="rId10"/>
    <sheet name="Plot spec imp ASTM" sheetId="18" r:id="rId11"/>
    <sheet name="Plot spec imp DNV" sheetId="25" r:id="rId12"/>
    <sheet name="Plot m" sheetId="9" r:id="rId13"/>
    <sheet name="Plot spec AccuEkin)" sheetId="44" r:id="rId14"/>
    <sheet name="Plot m (2)" sheetId="24" r:id="rId15"/>
    <sheet name="Plot Ekin-N0" sheetId="20" r:id="rId16"/>
    <sheet name="Plot Ekin-n per mm2" sheetId="21" r:id="rId17"/>
    <sheet name="G27 60L nmm^2" sheetId="7" r:id="rId18"/>
    <sheet name="New Vestas G20 120L" sheetId="1" r:id="rId19"/>
    <sheet name="G20 120L (impacts;velo)" sheetId="8" r:id="rId20"/>
    <sheet name="G20 120L (m;velo)" sheetId="11" r:id="rId21"/>
    <sheet name="G20 120L (impactsDNV;velo)" sheetId="27" r:id="rId22"/>
    <sheet name="G20 120L (AccuEkin;velo)" sheetId="41" r:id="rId23"/>
    <sheet name="New Vestas G27 105L" sheetId="12" r:id="rId24"/>
    <sheet name="G27 105L (m;velo)" sheetId="13" r:id="rId25"/>
    <sheet name="G27 105L (impacts;velo)" sheetId="14" r:id="rId26"/>
    <sheet name="G27 105L (impactsDNV;velo)" sheetId="29" r:id="rId27"/>
    <sheet name="G27 105L (AccuEkin,velo)" sheetId="42" r:id="rId28"/>
    <sheet name="New Vestas G30 85L" sheetId="15" r:id="rId29"/>
    <sheet name="G30 85L (m;velo)" sheetId="16" r:id="rId30"/>
    <sheet name="G30 85L (impactsDNV;velo)" sheetId="28" r:id="rId31"/>
    <sheet name="G30 85L (impacts;velo)" sheetId="17" r:id="rId32"/>
    <sheet name="G30 85L (SPI;velo)" sheetId="19" r:id="rId33"/>
    <sheet name="G30 85L (AccuEkin;velo)" sheetId="43" r:id="rId34"/>
    <sheet name="Wöhler exponent mm" sheetId="22" r:id="rId35"/>
    <sheet name="Drop size and fallvelocity" sheetId="3" r:id="rId36"/>
    <sheet name="SOFTSIGN MODEL FIT" sheetId="45" r:id="rId37"/>
    <sheet name="LINEAR MODEL FIT" sheetId="36" r:id="rId38"/>
    <sheet name="linear model PLOT" sheetId="37" r:id="rId39"/>
    <sheet name="plot semi vs loglog" sheetId="47" r:id="rId40"/>
    <sheet name="G27 60L (impactsDNV;velo) s_log" sheetId="46" r:id="rId4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8" i="28" l="1"/>
  <c r="I47" i="28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7" i="15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7" i="12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7" i="1"/>
  <c r="Y8" i="4"/>
  <c r="O52" i="4"/>
  <c r="O53" i="4"/>
  <c r="O51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7" i="4"/>
  <c r="O5" i="4"/>
  <c r="C5" i="4" l="1"/>
  <c r="S8" i="4"/>
  <c r="D3" i="46" l="1"/>
  <c r="D4" i="46"/>
  <c r="D5" i="46"/>
  <c r="D6" i="46"/>
  <c r="D7" i="46"/>
  <c r="D8" i="46"/>
  <c r="D9" i="46"/>
  <c r="F9" i="46" s="1"/>
  <c r="D10" i="46"/>
  <c r="D11" i="46"/>
  <c r="D12" i="46"/>
  <c r="D13" i="46"/>
  <c r="D14" i="46"/>
  <c r="D15" i="46"/>
  <c r="F15" i="46" s="1"/>
  <c r="D16" i="46"/>
  <c r="D17" i="46"/>
  <c r="D18" i="46"/>
  <c r="D19" i="46"/>
  <c r="D20" i="46"/>
  <c r="D21" i="46"/>
  <c r="D22" i="46"/>
  <c r="D23" i="46"/>
  <c r="F23" i="46" s="1"/>
  <c r="D24" i="46"/>
  <c r="F24" i="46" s="1"/>
  <c r="D25" i="46"/>
  <c r="F25" i="46" s="1"/>
  <c r="D26" i="46"/>
  <c r="D27" i="46"/>
  <c r="F27" i="46" s="1"/>
  <c r="D28" i="46"/>
  <c r="D29" i="46"/>
  <c r="D30" i="46"/>
  <c r="D31" i="46"/>
  <c r="D32" i="46"/>
  <c r="F32" i="46" s="1"/>
  <c r="D33" i="46"/>
  <c r="F33" i="46" s="1"/>
  <c r="D34" i="46"/>
  <c r="F34" i="46" s="1"/>
  <c r="D35" i="46"/>
  <c r="F35" i="46" s="1"/>
  <c r="D36" i="46"/>
  <c r="D37" i="46"/>
  <c r="D38" i="46"/>
  <c r="D39" i="46"/>
  <c r="D40" i="46"/>
  <c r="D41" i="46"/>
  <c r="D42" i="46"/>
  <c r="D43" i="46"/>
  <c r="D44" i="46"/>
  <c r="C7" i="46"/>
  <c r="C9" i="46"/>
  <c r="C10" i="46"/>
  <c r="E10" i="46" s="1"/>
  <c r="C14" i="46"/>
  <c r="C16" i="46"/>
  <c r="C17" i="46"/>
  <c r="E17" i="46" s="1"/>
  <c r="C18" i="46"/>
  <c r="C22" i="46"/>
  <c r="C24" i="46"/>
  <c r="C25" i="46"/>
  <c r="E25" i="46" s="1"/>
  <c r="C26" i="46"/>
  <c r="C30" i="46"/>
  <c r="E30" i="46" s="1"/>
  <c r="C32" i="46"/>
  <c r="C33" i="46"/>
  <c r="C40" i="46"/>
  <c r="C42" i="46"/>
  <c r="F5" i="46"/>
  <c r="F12" i="46"/>
  <c r="F36" i="46"/>
  <c r="F44" i="46"/>
  <c r="F11" i="46"/>
  <c r="F13" i="46"/>
  <c r="B44" i="46"/>
  <c r="A44" i="46"/>
  <c r="C44" i="46" s="1"/>
  <c r="E44" i="46" s="1"/>
  <c r="F43" i="46"/>
  <c r="B43" i="46"/>
  <c r="A43" i="46"/>
  <c r="C43" i="46" s="1"/>
  <c r="B42" i="46"/>
  <c r="A42" i="46"/>
  <c r="B41" i="46"/>
  <c r="A41" i="46"/>
  <c r="C41" i="46" s="1"/>
  <c r="E41" i="46" s="1"/>
  <c r="B40" i="46"/>
  <c r="A40" i="46"/>
  <c r="F39" i="46"/>
  <c r="B39" i="46"/>
  <c r="A39" i="46"/>
  <c r="C39" i="46" s="1"/>
  <c r="B38" i="46"/>
  <c r="A38" i="46"/>
  <c r="B37" i="46"/>
  <c r="A37" i="46"/>
  <c r="C37" i="46" s="1"/>
  <c r="E37" i="46" s="1"/>
  <c r="B36" i="46"/>
  <c r="A36" i="46"/>
  <c r="C36" i="46" s="1"/>
  <c r="E36" i="46" s="1"/>
  <c r="B35" i="46"/>
  <c r="A35" i="46"/>
  <c r="C35" i="46" s="1"/>
  <c r="B34" i="46"/>
  <c r="A34" i="46"/>
  <c r="C34" i="46" s="1"/>
  <c r="B33" i="46"/>
  <c r="A33" i="46"/>
  <c r="H32" i="46"/>
  <c r="B32" i="46"/>
  <c r="A32" i="46"/>
  <c r="B31" i="46"/>
  <c r="A31" i="46"/>
  <c r="C31" i="46" s="1"/>
  <c r="E31" i="46" s="1"/>
  <c r="H30" i="46"/>
  <c r="B30" i="46"/>
  <c r="F30" i="46" s="1"/>
  <c r="A30" i="46"/>
  <c r="H29" i="46"/>
  <c r="F29" i="46"/>
  <c r="B29" i="46"/>
  <c r="A29" i="46"/>
  <c r="C29" i="46" s="1"/>
  <c r="E29" i="46" s="1"/>
  <c r="F28" i="46"/>
  <c r="B28" i="46"/>
  <c r="A28" i="46"/>
  <c r="C28" i="46" s="1"/>
  <c r="H27" i="46"/>
  <c r="B27" i="46"/>
  <c r="A27" i="46"/>
  <c r="C27" i="46" s="1"/>
  <c r="G27" i="46" s="1"/>
  <c r="F26" i="46"/>
  <c r="B26" i="46"/>
  <c r="A26" i="46"/>
  <c r="B25" i="46"/>
  <c r="A25" i="46"/>
  <c r="B24" i="46"/>
  <c r="A24" i="46"/>
  <c r="B23" i="46"/>
  <c r="A23" i="46"/>
  <c r="C23" i="46" s="1"/>
  <c r="E22" i="46"/>
  <c r="B22" i="46"/>
  <c r="A22" i="46"/>
  <c r="F21" i="46"/>
  <c r="B21" i="46"/>
  <c r="A21" i="46"/>
  <c r="C21" i="46" s="1"/>
  <c r="E21" i="46" s="1"/>
  <c r="F20" i="46"/>
  <c r="B20" i="46"/>
  <c r="A20" i="46"/>
  <c r="C20" i="46" s="1"/>
  <c r="B19" i="46"/>
  <c r="A19" i="46"/>
  <c r="C19" i="46" s="1"/>
  <c r="F18" i="46"/>
  <c r="B18" i="46"/>
  <c r="A18" i="46"/>
  <c r="B17" i="46"/>
  <c r="A17" i="46"/>
  <c r="B16" i="46"/>
  <c r="A16" i="46"/>
  <c r="B15" i="46"/>
  <c r="A15" i="46"/>
  <c r="C15" i="46" s="1"/>
  <c r="E15" i="46" s="1"/>
  <c r="G14" i="46"/>
  <c r="E14" i="46"/>
  <c r="B14" i="46"/>
  <c r="A14" i="46"/>
  <c r="B13" i="46"/>
  <c r="A13" i="46"/>
  <c r="C13" i="46" s="1"/>
  <c r="B12" i="46"/>
  <c r="A12" i="46"/>
  <c r="C12" i="46" s="1"/>
  <c r="B11" i="46"/>
  <c r="A11" i="46"/>
  <c r="C11" i="46" s="1"/>
  <c r="B10" i="46"/>
  <c r="F10" i="46" s="1"/>
  <c r="A10" i="46"/>
  <c r="B9" i="46"/>
  <c r="A9" i="46"/>
  <c r="B8" i="46"/>
  <c r="F8" i="46" s="1"/>
  <c r="A8" i="46"/>
  <c r="C8" i="46" s="1"/>
  <c r="E8" i="46" s="1"/>
  <c r="E7" i="46"/>
  <c r="F7" i="46"/>
  <c r="B7" i="46"/>
  <c r="A7" i="46"/>
  <c r="F6" i="46"/>
  <c r="B6" i="46"/>
  <c r="A6" i="46"/>
  <c r="C6" i="46" s="1"/>
  <c r="B5" i="46"/>
  <c r="A5" i="46"/>
  <c r="C5" i="46" s="1"/>
  <c r="B4" i="46"/>
  <c r="A4" i="46"/>
  <c r="C4" i="46" s="1"/>
  <c r="E4" i="46" s="1"/>
  <c r="F3" i="46"/>
  <c r="B3" i="46"/>
  <c r="A3" i="46"/>
  <c r="C3" i="46" s="1"/>
  <c r="P1" i="46"/>
  <c r="G28" i="46" l="1"/>
  <c r="E28" i="46"/>
  <c r="G20" i="46"/>
  <c r="E20" i="46"/>
  <c r="G6" i="46"/>
  <c r="E6" i="46"/>
  <c r="G5" i="46"/>
  <c r="E5" i="46"/>
  <c r="G38" i="46"/>
  <c r="E12" i="46"/>
  <c r="C38" i="46"/>
  <c r="F31" i="46"/>
  <c r="G26" i="46"/>
  <c r="F19" i="46"/>
  <c r="F16" i="46"/>
  <c r="E42" i="46"/>
  <c r="E27" i="46"/>
  <c r="E26" i="46"/>
  <c r="G31" i="46"/>
  <c r="E23" i="46"/>
  <c r="E40" i="46"/>
  <c r="E33" i="46"/>
  <c r="G40" i="46"/>
  <c r="E9" i="46"/>
  <c r="F22" i="46"/>
  <c r="G30" i="46"/>
  <c r="G13" i="46"/>
  <c r="F40" i="46"/>
  <c r="F38" i="46"/>
  <c r="G7" i="46"/>
  <c r="G16" i="46"/>
  <c r="G21" i="46"/>
  <c r="G23" i="46"/>
  <c r="G36" i="46"/>
  <c r="F41" i="46"/>
  <c r="F17" i="46"/>
  <c r="G25" i="46"/>
  <c r="G4" i="46"/>
  <c r="F4" i="46"/>
  <c r="G24" i="46"/>
  <c r="E24" i="46"/>
  <c r="G18" i="46"/>
  <c r="E18" i="46"/>
  <c r="E3" i="46"/>
  <c r="G3" i="46"/>
  <c r="F14" i="46"/>
  <c r="G44" i="46"/>
  <c r="G9" i="46"/>
  <c r="G10" i="46"/>
  <c r="E13" i="46"/>
  <c r="G29" i="46"/>
  <c r="G39" i="46"/>
  <c r="E39" i="46"/>
  <c r="F42" i="46"/>
  <c r="G42" i="46"/>
  <c r="G43" i="46"/>
  <c r="E43" i="46"/>
  <c r="G19" i="46"/>
  <c r="G15" i="46"/>
  <c r="G17" i="46"/>
  <c r="E19" i="46"/>
  <c r="G8" i="46"/>
  <c r="G12" i="46"/>
  <c r="G22" i="46"/>
  <c r="E32" i="46"/>
  <c r="G32" i="46"/>
  <c r="G35" i="46"/>
  <c r="F37" i="46"/>
  <c r="G37" i="46"/>
  <c r="E16" i="46"/>
  <c r="E38" i="46"/>
  <c r="G11" i="46"/>
  <c r="E11" i="46"/>
  <c r="G34" i="46"/>
  <c r="E34" i="46"/>
  <c r="G33" i="46"/>
  <c r="G41" i="46"/>
  <c r="E35" i="46"/>
  <c r="K18" i="45"/>
  <c r="F2" i="45"/>
  <c r="K43" i="45"/>
  <c r="K42" i="45"/>
  <c r="K41" i="45"/>
  <c r="K40" i="45"/>
  <c r="K39" i="45"/>
  <c r="K38" i="45"/>
  <c r="K37" i="45"/>
  <c r="K36" i="45"/>
  <c r="K35" i="45"/>
  <c r="K33" i="45"/>
  <c r="K32" i="45"/>
  <c r="K31" i="45"/>
  <c r="K29" i="45"/>
  <c r="K28" i="45"/>
  <c r="K27" i="45"/>
  <c r="K25" i="45"/>
  <c r="K24" i="45"/>
  <c r="K23" i="45"/>
  <c r="K21" i="45"/>
  <c r="K20" i="45"/>
  <c r="K19" i="45"/>
  <c r="J5" i="45"/>
  <c r="F5" i="45"/>
  <c r="E5" i="45"/>
  <c r="D5" i="45"/>
  <c r="J4" i="45"/>
  <c r="F4" i="45"/>
  <c r="J3" i="45"/>
  <c r="I3" i="45"/>
  <c r="F3" i="45"/>
  <c r="E3" i="45"/>
  <c r="D3" i="45"/>
  <c r="L36" i="45" s="1"/>
  <c r="J2" i="45"/>
  <c r="I2" i="45"/>
  <c r="E2" i="45"/>
  <c r="D2" i="45"/>
  <c r="K22" i="36"/>
  <c r="N35" i="45" l="1"/>
  <c r="N31" i="45"/>
  <c r="N27" i="45"/>
  <c r="N23" i="45"/>
  <c r="N19" i="45"/>
  <c r="N34" i="45"/>
  <c r="N30" i="45"/>
  <c r="N26" i="45"/>
  <c r="N22" i="45"/>
  <c r="N18" i="45"/>
  <c r="N43" i="45"/>
  <c r="N42" i="45"/>
  <c r="N41" i="45"/>
  <c r="N40" i="45"/>
  <c r="N39" i="45"/>
  <c r="N38" i="45"/>
  <c r="N37" i="45"/>
  <c r="N33" i="45"/>
  <c r="N29" i="45"/>
  <c r="N25" i="45"/>
  <c r="N21" i="45"/>
  <c r="I5" i="45"/>
  <c r="N36" i="45"/>
  <c r="N32" i="45"/>
  <c r="N28" i="45"/>
  <c r="N24" i="45"/>
  <c r="N20" i="45"/>
  <c r="L21" i="45"/>
  <c r="L25" i="45"/>
  <c r="L29" i="45"/>
  <c r="L33" i="45"/>
  <c r="L37" i="45"/>
  <c r="L38" i="45"/>
  <c r="L39" i="45"/>
  <c r="L40" i="45"/>
  <c r="L41" i="45"/>
  <c r="L42" i="45"/>
  <c r="L43" i="45"/>
  <c r="K22" i="45"/>
  <c r="K26" i="45"/>
  <c r="K30" i="45"/>
  <c r="K34" i="45"/>
  <c r="L18" i="45"/>
  <c r="L22" i="45"/>
  <c r="L26" i="45"/>
  <c r="L30" i="45"/>
  <c r="L34" i="45"/>
  <c r="L19" i="45"/>
  <c r="L23" i="45"/>
  <c r="L27" i="45"/>
  <c r="L31" i="45"/>
  <c r="L35" i="45"/>
  <c r="L20" i="45"/>
  <c r="L24" i="45"/>
  <c r="L28" i="45"/>
  <c r="L32" i="45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B3" i="43" l="1"/>
  <c r="B4" i="43"/>
  <c r="B5" i="43"/>
  <c r="B6" i="43"/>
  <c r="B7" i="43"/>
  <c r="B8" i="43"/>
  <c r="B9" i="43"/>
  <c r="B10" i="43"/>
  <c r="D10" i="43" s="1"/>
  <c r="F10" i="43" s="1"/>
  <c r="B11" i="43"/>
  <c r="D11" i="43" s="1"/>
  <c r="F11" i="43" s="1"/>
  <c r="B12" i="43"/>
  <c r="B13" i="43"/>
  <c r="B14" i="43"/>
  <c r="B15" i="43"/>
  <c r="B16" i="43"/>
  <c r="B17" i="43"/>
  <c r="B18" i="43"/>
  <c r="D18" i="43" s="1"/>
  <c r="F18" i="43" s="1"/>
  <c r="B19" i="43"/>
  <c r="D19" i="43" s="1"/>
  <c r="F19" i="43" s="1"/>
  <c r="B20" i="43"/>
  <c r="B21" i="43"/>
  <c r="B22" i="43"/>
  <c r="B23" i="43"/>
  <c r="B24" i="43"/>
  <c r="B25" i="43"/>
  <c r="D25" i="43" s="1"/>
  <c r="F25" i="43" s="1"/>
  <c r="B26" i="43"/>
  <c r="D26" i="43" s="1"/>
  <c r="F26" i="43" s="1"/>
  <c r="B27" i="43"/>
  <c r="D27" i="43" s="1"/>
  <c r="F27" i="43" s="1"/>
  <c r="B28" i="43"/>
  <c r="B29" i="43"/>
  <c r="B30" i="43"/>
  <c r="B31" i="43"/>
  <c r="B32" i="43"/>
  <c r="B33" i="43"/>
  <c r="D33" i="43" s="1"/>
  <c r="F33" i="43" s="1"/>
  <c r="B34" i="43"/>
  <c r="D34" i="43" s="1"/>
  <c r="F34" i="43" s="1"/>
  <c r="B35" i="43"/>
  <c r="D35" i="43" s="1"/>
  <c r="F35" i="43" s="1"/>
  <c r="B36" i="43"/>
  <c r="B37" i="43"/>
  <c r="B38" i="43"/>
  <c r="B39" i="43"/>
  <c r="B40" i="43"/>
  <c r="B41" i="43"/>
  <c r="D41" i="43" s="1"/>
  <c r="F41" i="43" s="1"/>
  <c r="B42" i="43"/>
  <c r="B2" i="43"/>
  <c r="B3" i="42"/>
  <c r="D3" i="42" s="1"/>
  <c r="F3" i="42" s="1"/>
  <c r="B4" i="42"/>
  <c r="B5" i="42"/>
  <c r="B6" i="42"/>
  <c r="B7" i="42"/>
  <c r="B8" i="42"/>
  <c r="B9" i="42"/>
  <c r="D9" i="42" s="1"/>
  <c r="F9" i="42" s="1"/>
  <c r="B10" i="42"/>
  <c r="B11" i="42"/>
  <c r="D11" i="42" s="1"/>
  <c r="F11" i="42" s="1"/>
  <c r="B12" i="42"/>
  <c r="D12" i="42" s="1"/>
  <c r="F12" i="42" s="1"/>
  <c r="B13" i="42"/>
  <c r="B14" i="42"/>
  <c r="D14" i="42" s="1"/>
  <c r="F14" i="42" s="1"/>
  <c r="B15" i="42"/>
  <c r="B16" i="42"/>
  <c r="B17" i="42"/>
  <c r="D17" i="42" s="1"/>
  <c r="F17" i="42" s="1"/>
  <c r="B18" i="42"/>
  <c r="B19" i="42"/>
  <c r="B20" i="42"/>
  <c r="B21" i="42"/>
  <c r="B22" i="42"/>
  <c r="B23" i="42"/>
  <c r="B24" i="42"/>
  <c r="D24" i="42" s="1"/>
  <c r="F24" i="42" s="1"/>
  <c r="B25" i="42"/>
  <c r="D25" i="42" s="1"/>
  <c r="F25" i="42" s="1"/>
  <c r="B26" i="42"/>
  <c r="B27" i="42"/>
  <c r="B28" i="42"/>
  <c r="B29" i="42"/>
  <c r="B30" i="42"/>
  <c r="D30" i="42" s="1"/>
  <c r="F30" i="42" s="1"/>
  <c r="B31" i="42"/>
  <c r="B32" i="42"/>
  <c r="B33" i="42"/>
  <c r="D33" i="42" s="1"/>
  <c r="F33" i="42" s="1"/>
  <c r="B34" i="42"/>
  <c r="B35" i="42"/>
  <c r="B36" i="42"/>
  <c r="B37" i="42"/>
  <c r="B38" i="42"/>
  <c r="D38" i="42" s="1"/>
  <c r="F38" i="42" s="1"/>
  <c r="B39" i="42"/>
  <c r="B40" i="42"/>
  <c r="B41" i="42"/>
  <c r="D41" i="42" s="1"/>
  <c r="F41" i="42" s="1"/>
  <c r="B42" i="42"/>
  <c r="B43" i="42"/>
  <c r="D43" i="42" s="1"/>
  <c r="F43" i="42" s="1"/>
  <c r="B44" i="42"/>
  <c r="D44" i="42" s="1"/>
  <c r="F44" i="42" s="1"/>
  <c r="B45" i="42"/>
  <c r="B46" i="42"/>
  <c r="B47" i="42"/>
  <c r="B48" i="42"/>
  <c r="D48" i="42" s="1"/>
  <c r="F48" i="42" s="1"/>
  <c r="B49" i="42"/>
  <c r="D49" i="42" s="1"/>
  <c r="F49" i="42" s="1"/>
  <c r="B50" i="42"/>
  <c r="B51" i="42"/>
  <c r="D51" i="42" s="1"/>
  <c r="F51" i="42" s="1"/>
  <c r="B52" i="42"/>
  <c r="B2" i="42"/>
  <c r="B3" i="41"/>
  <c r="D3" i="41" s="1"/>
  <c r="F3" i="41" s="1"/>
  <c r="B4" i="41"/>
  <c r="B5" i="41"/>
  <c r="B6" i="41"/>
  <c r="B7" i="41"/>
  <c r="B8" i="41"/>
  <c r="B9" i="41"/>
  <c r="D9" i="41" s="1"/>
  <c r="F9" i="41" s="1"/>
  <c r="B10" i="41"/>
  <c r="B11" i="41"/>
  <c r="B12" i="41"/>
  <c r="B13" i="41"/>
  <c r="B14" i="41"/>
  <c r="B15" i="41"/>
  <c r="B16" i="41"/>
  <c r="B17" i="41"/>
  <c r="D17" i="41" s="1"/>
  <c r="B18" i="41"/>
  <c r="B19" i="41"/>
  <c r="D19" i="41" s="1"/>
  <c r="F19" i="41" s="1"/>
  <c r="B20" i="41"/>
  <c r="B21" i="41"/>
  <c r="B22" i="41"/>
  <c r="B23" i="41"/>
  <c r="B24" i="41"/>
  <c r="B25" i="41"/>
  <c r="D25" i="41" s="1"/>
  <c r="F25" i="41" s="1"/>
  <c r="B26" i="41"/>
  <c r="B27" i="41"/>
  <c r="B28" i="41"/>
  <c r="B29" i="41"/>
  <c r="B30" i="41"/>
  <c r="B31" i="41"/>
  <c r="B32" i="41"/>
  <c r="B2" i="41"/>
  <c r="B3" i="40"/>
  <c r="B4" i="40"/>
  <c r="D4" i="40" s="1"/>
  <c r="F4" i="40" s="1"/>
  <c r="B5" i="40"/>
  <c r="B6" i="40"/>
  <c r="B7" i="40"/>
  <c r="D7" i="40" s="1"/>
  <c r="B8" i="40"/>
  <c r="B9" i="40"/>
  <c r="D9" i="40" s="1"/>
  <c r="F9" i="40" s="1"/>
  <c r="B10" i="40"/>
  <c r="D10" i="40" s="1"/>
  <c r="F10" i="40" s="1"/>
  <c r="B11" i="40"/>
  <c r="B12" i="40"/>
  <c r="D12" i="40" s="1"/>
  <c r="F12" i="40" s="1"/>
  <c r="B13" i="40"/>
  <c r="B14" i="40"/>
  <c r="D14" i="40" s="1"/>
  <c r="F14" i="40" s="1"/>
  <c r="B15" i="40"/>
  <c r="B16" i="40"/>
  <c r="B17" i="40"/>
  <c r="D17" i="40" s="1"/>
  <c r="F17" i="40" s="1"/>
  <c r="B18" i="40"/>
  <c r="D18" i="40" s="1"/>
  <c r="F18" i="40" s="1"/>
  <c r="B19" i="40"/>
  <c r="B20" i="40"/>
  <c r="D20" i="40" s="1"/>
  <c r="F20" i="40" s="1"/>
  <c r="B21" i="40"/>
  <c r="B22" i="40"/>
  <c r="B23" i="40"/>
  <c r="D23" i="40" s="1"/>
  <c r="F23" i="40" s="1"/>
  <c r="B24" i="40"/>
  <c r="B25" i="40"/>
  <c r="D25" i="40" s="1"/>
  <c r="F25" i="40" s="1"/>
  <c r="B26" i="40"/>
  <c r="B27" i="40"/>
  <c r="B28" i="40"/>
  <c r="D28" i="40" s="1"/>
  <c r="B29" i="40"/>
  <c r="B30" i="40"/>
  <c r="D30" i="40" s="1"/>
  <c r="F30" i="40" s="1"/>
  <c r="B31" i="40"/>
  <c r="D31" i="40" s="1"/>
  <c r="F31" i="40" s="1"/>
  <c r="B32" i="40"/>
  <c r="B33" i="40"/>
  <c r="D33" i="40" s="1"/>
  <c r="F33" i="40" s="1"/>
  <c r="B34" i="40"/>
  <c r="D34" i="40" s="1"/>
  <c r="F34" i="40" s="1"/>
  <c r="B35" i="40"/>
  <c r="B36" i="40"/>
  <c r="D36" i="40" s="1"/>
  <c r="F36" i="40" s="1"/>
  <c r="B37" i="40"/>
  <c r="B38" i="40"/>
  <c r="B39" i="40"/>
  <c r="D39" i="40" s="1"/>
  <c r="F39" i="40" s="1"/>
  <c r="B40" i="40"/>
  <c r="B41" i="40"/>
  <c r="D41" i="40" s="1"/>
  <c r="F41" i="40" s="1"/>
  <c r="B42" i="40"/>
  <c r="D42" i="40" s="1"/>
  <c r="F42" i="40" s="1"/>
  <c r="B43" i="40"/>
  <c r="B44" i="40"/>
  <c r="D44" i="40" s="1"/>
  <c r="F44" i="40" s="1"/>
  <c r="A3" i="43"/>
  <c r="C3" i="43" s="1"/>
  <c r="E3" i="43" s="1"/>
  <c r="D3" i="43"/>
  <c r="F3" i="43" s="1"/>
  <c r="D4" i="43"/>
  <c r="F4" i="43" s="1"/>
  <c r="D6" i="43"/>
  <c r="F6" i="43" s="1"/>
  <c r="D7" i="43"/>
  <c r="F7" i="43" s="1"/>
  <c r="A8" i="43"/>
  <c r="C8" i="43" s="1"/>
  <c r="E8" i="43" s="1"/>
  <c r="D12" i="43"/>
  <c r="F12" i="43" s="1"/>
  <c r="D14" i="43"/>
  <c r="F14" i="43" s="1"/>
  <c r="D20" i="43"/>
  <c r="F20" i="43" s="1"/>
  <c r="A21" i="43"/>
  <c r="C21" i="43" s="1"/>
  <c r="D22" i="43"/>
  <c r="F22" i="43" s="1"/>
  <c r="A27" i="43"/>
  <c r="A28" i="43"/>
  <c r="C28" i="43" s="1"/>
  <c r="D30" i="43"/>
  <c r="D31" i="43"/>
  <c r="F31" i="43" s="1"/>
  <c r="A33" i="43"/>
  <c r="C33" i="43" s="1"/>
  <c r="A34" i="43"/>
  <c r="D38" i="43"/>
  <c r="A40" i="43"/>
  <c r="D40" i="43"/>
  <c r="F40" i="43" s="1"/>
  <c r="D42" i="43"/>
  <c r="F42" i="43" s="1"/>
  <c r="D2" i="43"/>
  <c r="F2" i="43" s="1"/>
  <c r="C40" i="43"/>
  <c r="D39" i="43"/>
  <c r="F39" i="43" s="1"/>
  <c r="D37" i="43"/>
  <c r="D36" i="43"/>
  <c r="F36" i="43" s="1"/>
  <c r="C34" i="43"/>
  <c r="E34" i="43" s="1"/>
  <c r="H32" i="43"/>
  <c r="D32" i="43"/>
  <c r="F32" i="43" s="1"/>
  <c r="H30" i="43"/>
  <c r="H29" i="43"/>
  <c r="D29" i="43"/>
  <c r="F29" i="43" s="1"/>
  <c r="D28" i="43"/>
  <c r="F28" i="43" s="1"/>
  <c r="H27" i="43"/>
  <c r="C27" i="43"/>
  <c r="D24" i="43"/>
  <c r="F24" i="43" s="1"/>
  <c r="D23" i="43"/>
  <c r="F23" i="43" s="1"/>
  <c r="D21" i="43"/>
  <c r="F21" i="43" s="1"/>
  <c r="D17" i="43"/>
  <c r="F17" i="43" s="1"/>
  <c r="D16" i="43"/>
  <c r="F16" i="43" s="1"/>
  <c r="D15" i="43"/>
  <c r="F15" i="43" s="1"/>
  <c r="D13" i="43"/>
  <c r="F13" i="43" s="1"/>
  <c r="D9" i="43"/>
  <c r="F9" i="43" s="1"/>
  <c r="D8" i="43"/>
  <c r="F8" i="43" s="1"/>
  <c r="D5" i="43"/>
  <c r="F5" i="43" s="1"/>
  <c r="P1" i="43"/>
  <c r="A45" i="29"/>
  <c r="C45" i="29" s="1"/>
  <c r="B45" i="29"/>
  <c r="D45" i="29"/>
  <c r="F45" i="29"/>
  <c r="A46" i="29"/>
  <c r="C46" i="29" s="1"/>
  <c r="B46" i="29"/>
  <c r="D46" i="29" s="1"/>
  <c r="F46" i="29" s="1"/>
  <c r="A47" i="29"/>
  <c r="C47" i="29" s="1"/>
  <c r="B47" i="29"/>
  <c r="D47" i="29" s="1"/>
  <c r="F47" i="29" s="1"/>
  <c r="A48" i="29"/>
  <c r="B48" i="29"/>
  <c r="D48" i="29" s="1"/>
  <c r="F48" i="29" s="1"/>
  <c r="C48" i="29"/>
  <c r="E48" i="29" s="1"/>
  <c r="A49" i="29"/>
  <c r="C49" i="29" s="1"/>
  <c r="E49" i="29" s="1"/>
  <c r="B49" i="29"/>
  <c r="D49" i="29"/>
  <c r="F49" i="29" s="1"/>
  <c r="A50" i="29"/>
  <c r="C50" i="29" s="1"/>
  <c r="B50" i="29"/>
  <c r="D50" i="29"/>
  <c r="F50" i="29" s="1"/>
  <c r="A51" i="29"/>
  <c r="C51" i="29" s="1"/>
  <c r="B51" i="29"/>
  <c r="D51" i="29"/>
  <c r="F51" i="29"/>
  <c r="A52" i="29"/>
  <c r="C52" i="29" s="1"/>
  <c r="B52" i="29"/>
  <c r="D52" i="29"/>
  <c r="F52" i="29"/>
  <c r="D45" i="42"/>
  <c r="D46" i="42"/>
  <c r="F46" i="42" s="1"/>
  <c r="D47" i="42"/>
  <c r="F47" i="42" s="1"/>
  <c r="A49" i="42"/>
  <c r="C49" i="42"/>
  <c r="E49" i="42" s="1"/>
  <c r="D50" i="42"/>
  <c r="F50" i="42" s="1"/>
  <c r="D52" i="42"/>
  <c r="F52" i="42" s="1"/>
  <c r="A3" i="42"/>
  <c r="A4" i="42"/>
  <c r="C4" i="42" s="1"/>
  <c r="D6" i="42"/>
  <c r="A10" i="42"/>
  <c r="C10" i="42" s="1"/>
  <c r="A11" i="42"/>
  <c r="C11" i="42" s="1"/>
  <c r="A18" i="42"/>
  <c r="C18" i="42" s="1"/>
  <c r="D18" i="42"/>
  <c r="F18" i="42" s="1"/>
  <c r="D22" i="42"/>
  <c r="F22" i="42" s="1"/>
  <c r="A24" i="42"/>
  <c r="A25" i="42"/>
  <c r="C25" i="42" s="1"/>
  <c r="D26" i="42"/>
  <c r="D29" i="42"/>
  <c r="F29" i="42" s="1"/>
  <c r="D34" i="42"/>
  <c r="F34" i="42" s="1"/>
  <c r="A37" i="42"/>
  <c r="C37" i="42" s="1"/>
  <c r="E37" i="42" s="1"/>
  <c r="A38" i="42"/>
  <c r="C38" i="42" s="1"/>
  <c r="D42" i="42"/>
  <c r="F42" i="42" s="1"/>
  <c r="A44" i="42"/>
  <c r="C44" i="42" s="1"/>
  <c r="D2" i="42"/>
  <c r="D40" i="42"/>
  <c r="F40" i="42" s="1"/>
  <c r="D39" i="42"/>
  <c r="F39" i="42" s="1"/>
  <c r="D37" i="42"/>
  <c r="F37" i="42" s="1"/>
  <c r="D36" i="42"/>
  <c r="D35" i="42"/>
  <c r="F35" i="42" s="1"/>
  <c r="H32" i="42"/>
  <c r="D32" i="42"/>
  <c r="F32" i="42" s="1"/>
  <c r="D31" i="42"/>
  <c r="F31" i="42" s="1"/>
  <c r="H30" i="42"/>
  <c r="H29" i="42"/>
  <c r="D28" i="42"/>
  <c r="F28" i="42" s="1"/>
  <c r="H27" i="42"/>
  <c r="D27" i="42"/>
  <c r="F27" i="42" s="1"/>
  <c r="C24" i="42"/>
  <c r="D23" i="42"/>
  <c r="F23" i="42" s="1"/>
  <c r="F21" i="42"/>
  <c r="D21" i="42"/>
  <c r="D20" i="42"/>
  <c r="F20" i="42" s="1"/>
  <c r="D19" i="42"/>
  <c r="D16" i="42"/>
  <c r="F16" i="42" s="1"/>
  <c r="D15" i="42"/>
  <c r="F15" i="42" s="1"/>
  <c r="D13" i="42"/>
  <c r="D10" i="42"/>
  <c r="F10" i="42" s="1"/>
  <c r="D8" i="42"/>
  <c r="F8" i="42" s="1"/>
  <c r="D7" i="42"/>
  <c r="F7" i="42" s="1"/>
  <c r="D5" i="42"/>
  <c r="F5" i="42" s="1"/>
  <c r="D4" i="42"/>
  <c r="F4" i="42" s="1"/>
  <c r="C3" i="42"/>
  <c r="P1" i="42"/>
  <c r="A5" i="41"/>
  <c r="A6" i="41"/>
  <c r="C6" i="41" s="1"/>
  <c r="A7" i="41"/>
  <c r="C7" i="41" s="1"/>
  <c r="A9" i="41"/>
  <c r="A13" i="41"/>
  <c r="D13" i="41"/>
  <c r="F13" i="41" s="1"/>
  <c r="A14" i="41"/>
  <c r="C14" i="41" s="1"/>
  <c r="D15" i="41"/>
  <c r="F15" i="41" s="1"/>
  <c r="A19" i="41"/>
  <c r="C19" i="41" s="1"/>
  <c r="A20" i="41"/>
  <c r="C20" i="41" s="1"/>
  <c r="E20" i="41" s="1"/>
  <c r="A21" i="41"/>
  <c r="C21" i="41" s="1"/>
  <c r="E21" i="41" s="1"/>
  <c r="D21" i="41"/>
  <c r="F21" i="41" s="1"/>
  <c r="D22" i="41"/>
  <c r="F22" i="41" s="1"/>
  <c r="A25" i="41"/>
  <c r="C25" i="41" s="1"/>
  <c r="E25" i="41" s="1"/>
  <c r="A26" i="41"/>
  <c r="C26" i="41" s="1"/>
  <c r="E26" i="41" s="1"/>
  <c r="D26" i="41"/>
  <c r="F26" i="41" s="1"/>
  <c r="A28" i="41"/>
  <c r="C28" i="41" s="1"/>
  <c r="E28" i="41" s="1"/>
  <c r="D29" i="41"/>
  <c r="F29" i="41" s="1"/>
  <c r="D30" i="41"/>
  <c r="F30" i="41" s="1"/>
  <c r="H32" i="41"/>
  <c r="D32" i="41"/>
  <c r="F32" i="41" s="1"/>
  <c r="D31" i="41"/>
  <c r="F31" i="41" s="1"/>
  <c r="H30" i="41"/>
  <c r="H29" i="41"/>
  <c r="D28" i="41"/>
  <c r="F28" i="41" s="1"/>
  <c r="H27" i="41"/>
  <c r="D27" i="41"/>
  <c r="F27" i="41" s="1"/>
  <c r="D24" i="41"/>
  <c r="D23" i="41"/>
  <c r="F23" i="41" s="1"/>
  <c r="D20" i="41"/>
  <c r="D18" i="41"/>
  <c r="F18" i="41" s="1"/>
  <c r="D16" i="41"/>
  <c r="F16" i="41" s="1"/>
  <c r="D14" i="41"/>
  <c r="F14" i="41" s="1"/>
  <c r="C13" i="41"/>
  <c r="D12" i="41"/>
  <c r="D11" i="41"/>
  <c r="F11" i="41" s="1"/>
  <c r="D10" i="41"/>
  <c r="F10" i="41" s="1"/>
  <c r="C9" i="41"/>
  <c r="D8" i="41"/>
  <c r="F8" i="41" s="1"/>
  <c r="D7" i="41"/>
  <c r="F7" i="41" s="1"/>
  <c r="D6" i="41"/>
  <c r="F6" i="41" s="1"/>
  <c r="D5" i="41"/>
  <c r="F5" i="41" s="1"/>
  <c r="C5" i="41"/>
  <c r="D4" i="41"/>
  <c r="D2" i="41"/>
  <c r="P1" i="41"/>
  <c r="D43" i="40"/>
  <c r="F43" i="40" s="1"/>
  <c r="D40" i="40"/>
  <c r="D38" i="40"/>
  <c r="F38" i="40" s="1"/>
  <c r="D37" i="40"/>
  <c r="F37" i="40" s="1"/>
  <c r="D35" i="40"/>
  <c r="F35" i="40" s="1"/>
  <c r="H32" i="40"/>
  <c r="D32" i="40"/>
  <c r="F32" i="40" s="1"/>
  <c r="H30" i="40"/>
  <c r="H29" i="40"/>
  <c r="F29" i="40"/>
  <c r="D29" i="40"/>
  <c r="H27" i="40"/>
  <c r="D27" i="40"/>
  <c r="D26" i="40"/>
  <c r="F26" i="40" s="1"/>
  <c r="D24" i="40"/>
  <c r="F24" i="40" s="1"/>
  <c r="D22" i="40"/>
  <c r="F22" i="40" s="1"/>
  <c r="D21" i="40"/>
  <c r="F21" i="40" s="1"/>
  <c r="D19" i="40"/>
  <c r="F19" i="40" s="1"/>
  <c r="D16" i="40"/>
  <c r="F16" i="40" s="1"/>
  <c r="D15" i="40"/>
  <c r="D13" i="40"/>
  <c r="F13" i="40" s="1"/>
  <c r="D11" i="40"/>
  <c r="F11" i="40" s="1"/>
  <c r="D8" i="40"/>
  <c r="F8" i="40" s="1"/>
  <c r="D6" i="40"/>
  <c r="F6" i="40" s="1"/>
  <c r="D5" i="40"/>
  <c r="F5" i="40" s="1"/>
  <c r="D3" i="40"/>
  <c r="F3" i="40" s="1"/>
  <c r="P1" i="40"/>
  <c r="W8" i="15"/>
  <c r="W9" i="15"/>
  <c r="A4" i="43" s="1"/>
  <c r="C4" i="43" s="1"/>
  <c r="W10" i="15"/>
  <c r="A5" i="43" s="1"/>
  <c r="C5" i="43" s="1"/>
  <c r="W11" i="15"/>
  <c r="A6" i="43" s="1"/>
  <c r="C6" i="43" s="1"/>
  <c r="E6" i="43" s="1"/>
  <c r="W12" i="15"/>
  <c r="A7" i="43" s="1"/>
  <c r="C7" i="43" s="1"/>
  <c r="W13" i="15"/>
  <c r="W14" i="15"/>
  <c r="A9" i="43" s="1"/>
  <c r="C9" i="43" s="1"/>
  <c r="E9" i="43" s="1"/>
  <c r="W15" i="15"/>
  <c r="A10" i="43" s="1"/>
  <c r="C10" i="43" s="1"/>
  <c r="E10" i="43" s="1"/>
  <c r="W16" i="15"/>
  <c r="A11" i="43" s="1"/>
  <c r="C11" i="43" s="1"/>
  <c r="E11" i="43" s="1"/>
  <c r="W17" i="15"/>
  <c r="A12" i="43" s="1"/>
  <c r="C12" i="43" s="1"/>
  <c r="W18" i="15"/>
  <c r="A13" i="43" s="1"/>
  <c r="C13" i="43" s="1"/>
  <c r="W19" i="15"/>
  <c r="A14" i="43" s="1"/>
  <c r="C14" i="43" s="1"/>
  <c r="W20" i="15"/>
  <c r="A15" i="43" s="1"/>
  <c r="C15" i="43" s="1"/>
  <c r="W21" i="15"/>
  <c r="A16" i="43" s="1"/>
  <c r="C16" i="43" s="1"/>
  <c r="W22" i="15"/>
  <c r="A17" i="43" s="1"/>
  <c r="C17" i="43" s="1"/>
  <c r="E17" i="43" s="1"/>
  <c r="W23" i="15"/>
  <c r="A18" i="43" s="1"/>
  <c r="C18" i="43" s="1"/>
  <c r="W24" i="15"/>
  <c r="A19" i="43" s="1"/>
  <c r="C19" i="43" s="1"/>
  <c r="W25" i="15"/>
  <c r="A20" i="43" s="1"/>
  <c r="C20" i="43" s="1"/>
  <c r="W26" i="15"/>
  <c r="W27" i="15"/>
  <c r="A22" i="43" s="1"/>
  <c r="C22" i="43" s="1"/>
  <c r="E22" i="43" s="1"/>
  <c r="W28" i="15"/>
  <c r="A23" i="43" s="1"/>
  <c r="C23" i="43" s="1"/>
  <c r="E23" i="43" s="1"/>
  <c r="W29" i="15"/>
  <c r="A24" i="43" s="1"/>
  <c r="C24" i="43" s="1"/>
  <c r="E24" i="43" s="1"/>
  <c r="W30" i="15"/>
  <c r="A25" i="43" s="1"/>
  <c r="C25" i="43" s="1"/>
  <c r="W31" i="15"/>
  <c r="A26" i="43" s="1"/>
  <c r="C26" i="43" s="1"/>
  <c r="W32" i="15"/>
  <c r="W33" i="15"/>
  <c r="W34" i="15"/>
  <c r="A29" i="43" s="1"/>
  <c r="C29" i="43" s="1"/>
  <c r="W35" i="15"/>
  <c r="A30" i="43" s="1"/>
  <c r="C30" i="43" s="1"/>
  <c r="E30" i="43" s="1"/>
  <c r="W36" i="15"/>
  <c r="A31" i="43" s="1"/>
  <c r="C31" i="43" s="1"/>
  <c r="W37" i="15"/>
  <c r="A32" i="43" s="1"/>
  <c r="C32" i="43" s="1"/>
  <c r="E32" i="43" s="1"/>
  <c r="W38" i="15"/>
  <c r="W39" i="15"/>
  <c r="W40" i="15"/>
  <c r="A35" i="43" s="1"/>
  <c r="C35" i="43" s="1"/>
  <c r="W41" i="15"/>
  <c r="A36" i="43" s="1"/>
  <c r="C36" i="43" s="1"/>
  <c r="W42" i="15"/>
  <c r="A37" i="43" s="1"/>
  <c r="C37" i="43" s="1"/>
  <c r="E37" i="43" s="1"/>
  <c r="W43" i="15"/>
  <c r="A38" i="43" s="1"/>
  <c r="C38" i="43" s="1"/>
  <c r="E38" i="43" s="1"/>
  <c r="W44" i="15"/>
  <c r="A39" i="43" s="1"/>
  <c r="C39" i="43" s="1"/>
  <c r="W45" i="15"/>
  <c r="W46" i="15"/>
  <c r="A41" i="43" s="1"/>
  <c r="C41" i="43" s="1"/>
  <c r="W47" i="15"/>
  <c r="A42" i="43" s="1"/>
  <c r="C42" i="43" s="1"/>
  <c r="E42" i="43" s="1"/>
  <c r="W7" i="15"/>
  <c r="A2" i="43" s="1"/>
  <c r="C2" i="43" s="1"/>
  <c r="W8" i="12"/>
  <c r="W9" i="12"/>
  <c r="W10" i="12"/>
  <c r="A5" i="42" s="1"/>
  <c r="C5" i="42" s="1"/>
  <c r="G5" i="42" s="1"/>
  <c r="W11" i="12"/>
  <c r="A6" i="42" s="1"/>
  <c r="C6" i="42" s="1"/>
  <c r="E6" i="42" s="1"/>
  <c r="W12" i="12"/>
  <c r="A7" i="42" s="1"/>
  <c r="C7" i="42" s="1"/>
  <c r="E7" i="42" s="1"/>
  <c r="W13" i="12"/>
  <c r="A8" i="42" s="1"/>
  <c r="C8" i="42" s="1"/>
  <c r="E8" i="42" s="1"/>
  <c r="W14" i="12"/>
  <c r="A9" i="42" s="1"/>
  <c r="C9" i="42" s="1"/>
  <c r="W15" i="12"/>
  <c r="W16" i="12"/>
  <c r="W17" i="12"/>
  <c r="A12" i="42" s="1"/>
  <c r="C12" i="42" s="1"/>
  <c r="W18" i="12"/>
  <c r="A13" i="42" s="1"/>
  <c r="C13" i="42" s="1"/>
  <c r="E13" i="42" s="1"/>
  <c r="W19" i="12"/>
  <c r="A14" i="42" s="1"/>
  <c r="C14" i="42" s="1"/>
  <c r="W20" i="12"/>
  <c r="A15" i="42" s="1"/>
  <c r="C15" i="42" s="1"/>
  <c r="E15" i="42" s="1"/>
  <c r="W21" i="12"/>
  <c r="A16" i="42" s="1"/>
  <c r="C16" i="42" s="1"/>
  <c r="W22" i="12"/>
  <c r="A17" i="42" s="1"/>
  <c r="C17" i="42" s="1"/>
  <c r="W23" i="12"/>
  <c r="W24" i="12"/>
  <c r="A19" i="42" s="1"/>
  <c r="C19" i="42" s="1"/>
  <c r="E19" i="42" s="1"/>
  <c r="W25" i="12"/>
  <c r="A20" i="42" s="1"/>
  <c r="C20" i="42" s="1"/>
  <c r="W26" i="12"/>
  <c r="A21" i="42" s="1"/>
  <c r="C21" i="42" s="1"/>
  <c r="E21" i="42" s="1"/>
  <c r="W27" i="12"/>
  <c r="A22" i="42" s="1"/>
  <c r="C22" i="42" s="1"/>
  <c r="W28" i="12"/>
  <c r="A23" i="42" s="1"/>
  <c r="C23" i="42" s="1"/>
  <c r="W29" i="12"/>
  <c r="W30" i="12"/>
  <c r="W31" i="12"/>
  <c r="A26" i="42" s="1"/>
  <c r="C26" i="42" s="1"/>
  <c r="E26" i="42" s="1"/>
  <c r="W32" i="12"/>
  <c r="A27" i="42" s="1"/>
  <c r="C27" i="42" s="1"/>
  <c r="E27" i="42" s="1"/>
  <c r="W33" i="12"/>
  <c r="A28" i="42" s="1"/>
  <c r="C28" i="42" s="1"/>
  <c r="E28" i="42" s="1"/>
  <c r="W34" i="12"/>
  <c r="A29" i="42" s="1"/>
  <c r="C29" i="42" s="1"/>
  <c r="W35" i="12"/>
  <c r="A30" i="42" s="1"/>
  <c r="C30" i="42" s="1"/>
  <c r="W36" i="12"/>
  <c r="A31" i="42" s="1"/>
  <c r="C31" i="42" s="1"/>
  <c r="W37" i="12"/>
  <c r="A32" i="42" s="1"/>
  <c r="C32" i="42" s="1"/>
  <c r="W38" i="12"/>
  <c r="A33" i="42" s="1"/>
  <c r="C33" i="42" s="1"/>
  <c r="W39" i="12"/>
  <c r="A34" i="42" s="1"/>
  <c r="C34" i="42" s="1"/>
  <c r="W40" i="12"/>
  <c r="A35" i="42" s="1"/>
  <c r="C35" i="42" s="1"/>
  <c r="W41" i="12"/>
  <c r="A36" i="42" s="1"/>
  <c r="C36" i="42" s="1"/>
  <c r="E36" i="42" s="1"/>
  <c r="W42" i="12"/>
  <c r="W43" i="12"/>
  <c r="W44" i="12"/>
  <c r="A39" i="42" s="1"/>
  <c r="C39" i="42" s="1"/>
  <c r="W45" i="12"/>
  <c r="A40" i="42" s="1"/>
  <c r="C40" i="42" s="1"/>
  <c r="E40" i="42" s="1"/>
  <c r="W46" i="12"/>
  <c r="A41" i="42" s="1"/>
  <c r="C41" i="42" s="1"/>
  <c r="W47" i="12"/>
  <c r="A42" i="42" s="1"/>
  <c r="C42" i="42" s="1"/>
  <c r="W48" i="12"/>
  <c r="A43" i="42" s="1"/>
  <c r="C43" i="42" s="1"/>
  <c r="W49" i="12"/>
  <c r="W50" i="12"/>
  <c r="A45" i="42" s="1"/>
  <c r="C45" i="42" s="1"/>
  <c r="E45" i="42" s="1"/>
  <c r="W51" i="12"/>
  <c r="A46" i="42" s="1"/>
  <c r="C46" i="42" s="1"/>
  <c r="E46" i="42" s="1"/>
  <c r="W52" i="12"/>
  <c r="A47" i="42" s="1"/>
  <c r="C47" i="42" s="1"/>
  <c r="W53" i="12"/>
  <c r="A48" i="42" s="1"/>
  <c r="C48" i="42" s="1"/>
  <c r="W54" i="12"/>
  <c r="W55" i="12"/>
  <c r="A50" i="42" s="1"/>
  <c r="C50" i="42" s="1"/>
  <c r="E50" i="42" s="1"/>
  <c r="W56" i="12"/>
  <c r="A51" i="42" s="1"/>
  <c r="C51" i="42" s="1"/>
  <c r="W57" i="12"/>
  <c r="A52" i="42" s="1"/>
  <c r="C52" i="42" s="1"/>
  <c r="W7" i="12"/>
  <c r="A2" i="42" s="1"/>
  <c r="C2" i="42" s="1"/>
  <c r="W8" i="1"/>
  <c r="A3" i="41" s="1"/>
  <c r="C3" i="41" s="1"/>
  <c r="W9" i="1"/>
  <c r="A4" i="41" s="1"/>
  <c r="C4" i="41" s="1"/>
  <c r="E4" i="41" s="1"/>
  <c r="W10" i="1"/>
  <c r="W11" i="1"/>
  <c r="W12" i="1"/>
  <c r="W13" i="1"/>
  <c r="A8" i="41" s="1"/>
  <c r="C8" i="41" s="1"/>
  <c r="W14" i="1"/>
  <c r="W15" i="1"/>
  <c r="A10" i="41" s="1"/>
  <c r="C10" i="41" s="1"/>
  <c r="W16" i="1"/>
  <c r="A11" i="41" s="1"/>
  <c r="C11" i="41" s="1"/>
  <c r="W17" i="1"/>
  <c r="A12" i="41" s="1"/>
  <c r="C12" i="41" s="1"/>
  <c r="E12" i="41" s="1"/>
  <c r="W18" i="1"/>
  <c r="W19" i="1"/>
  <c r="W20" i="1"/>
  <c r="A15" i="41" s="1"/>
  <c r="C15" i="41" s="1"/>
  <c r="E15" i="41" s="1"/>
  <c r="W21" i="1"/>
  <c r="A16" i="41" s="1"/>
  <c r="C16" i="41" s="1"/>
  <c r="G16" i="41" s="1"/>
  <c r="W22" i="1"/>
  <c r="A17" i="41" s="1"/>
  <c r="C17" i="41" s="1"/>
  <c r="E17" i="41" s="1"/>
  <c r="W23" i="1"/>
  <c r="A18" i="41" s="1"/>
  <c r="C18" i="41" s="1"/>
  <c r="E18" i="41" s="1"/>
  <c r="W24" i="1"/>
  <c r="W25" i="1"/>
  <c r="W26" i="1"/>
  <c r="W27" i="1"/>
  <c r="A22" i="41" s="1"/>
  <c r="C22" i="41" s="1"/>
  <c r="E22" i="41" s="1"/>
  <c r="W28" i="1"/>
  <c r="A23" i="41" s="1"/>
  <c r="C23" i="41" s="1"/>
  <c r="W29" i="1"/>
  <c r="A24" i="41" s="1"/>
  <c r="C24" i="41" s="1"/>
  <c r="E24" i="41" s="1"/>
  <c r="W30" i="1"/>
  <c r="W31" i="1"/>
  <c r="W32" i="1"/>
  <c r="A27" i="41" s="1"/>
  <c r="C27" i="41" s="1"/>
  <c r="E27" i="41" s="1"/>
  <c r="W33" i="1"/>
  <c r="W34" i="1"/>
  <c r="A29" i="41" s="1"/>
  <c r="C29" i="41" s="1"/>
  <c r="E29" i="41" s="1"/>
  <c r="W35" i="1"/>
  <c r="A30" i="41" s="1"/>
  <c r="C30" i="41" s="1"/>
  <c r="E30" i="41" s="1"/>
  <c r="W36" i="1"/>
  <c r="A31" i="41" s="1"/>
  <c r="C31" i="41" s="1"/>
  <c r="W37" i="1"/>
  <c r="A32" i="41" s="1"/>
  <c r="C32" i="41" s="1"/>
  <c r="W7" i="1"/>
  <c r="A2" i="41" s="1"/>
  <c r="C2" i="41" s="1"/>
  <c r="E2" i="41" s="1"/>
  <c r="H32" i="39"/>
  <c r="H30" i="39"/>
  <c r="H29" i="39"/>
  <c r="H27" i="39"/>
  <c r="P1" i="39"/>
  <c r="E29" i="43" l="1"/>
  <c r="G29" i="43"/>
  <c r="G38" i="43"/>
  <c r="G37" i="43"/>
  <c r="G51" i="29"/>
  <c r="E51" i="29"/>
  <c r="G50" i="29"/>
  <c r="E50" i="29"/>
  <c r="E52" i="29"/>
  <c r="G52" i="29"/>
  <c r="G13" i="42"/>
  <c r="G26" i="42"/>
  <c r="G4" i="41"/>
  <c r="G18" i="43"/>
  <c r="G20" i="42"/>
  <c r="G43" i="42"/>
  <c r="G42" i="42"/>
  <c r="G14" i="42"/>
  <c r="G11" i="41"/>
  <c r="G31" i="41"/>
  <c r="G32" i="41"/>
  <c r="F37" i="43"/>
  <c r="G11" i="43"/>
  <c r="G16" i="43"/>
  <c r="E18" i="43"/>
  <c r="G8" i="43"/>
  <c r="G10" i="43"/>
  <c r="E16" i="43"/>
  <c r="G33" i="43"/>
  <c r="G2" i="43"/>
  <c r="I25" i="43"/>
  <c r="G12" i="43"/>
  <c r="E12" i="43"/>
  <c r="I3" i="43"/>
  <c r="I24" i="43"/>
  <c r="G26" i="43"/>
  <c r="E26" i="43"/>
  <c r="F30" i="43"/>
  <c r="I6" i="43" s="1"/>
  <c r="G30" i="43"/>
  <c r="G35" i="43"/>
  <c r="E35" i="43"/>
  <c r="G4" i="43"/>
  <c r="E4" i="43"/>
  <c r="G21" i="43"/>
  <c r="E21" i="43"/>
  <c r="G25" i="43"/>
  <c r="E25" i="43"/>
  <c r="G40" i="43"/>
  <c r="E40" i="43"/>
  <c r="G14" i="43"/>
  <c r="G31" i="43"/>
  <c r="E31" i="43"/>
  <c r="F38" i="43"/>
  <c r="E41" i="43"/>
  <c r="G41" i="43"/>
  <c r="G13" i="43"/>
  <c r="E13" i="43"/>
  <c r="G17" i="43"/>
  <c r="E14" i="43"/>
  <c r="G20" i="43"/>
  <c r="E20" i="43"/>
  <c r="G28" i="43"/>
  <c r="E28" i="43"/>
  <c r="G7" i="43"/>
  <c r="E7" i="43"/>
  <c r="G9" i="43"/>
  <c r="G22" i="43"/>
  <c r="G23" i="43"/>
  <c r="G27" i="43"/>
  <c r="E27" i="43"/>
  <c r="G3" i="43"/>
  <c r="G15" i="43"/>
  <c r="E15" i="43"/>
  <c r="I4" i="43"/>
  <c r="E2" i="43"/>
  <c r="I2" i="43"/>
  <c r="G5" i="43"/>
  <c r="E5" i="43"/>
  <c r="G6" i="43"/>
  <c r="G19" i="43"/>
  <c r="E19" i="43"/>
  <c r="G24" i="43"/>
  <c r="E39" i="43"/>
  <c r="G39" i="43"/>
  <c r="G32" i="43"/>
  <c r="G36" i="43"/>
  <c r="G42" i="43"/>
  <c r="E33" i="43"/>
  <c r="G34" i="43"/>
  <c r="E36" i="43"/>
  <c r="E47" i="29"/>
  <c r="G47" i="29"/>
  <c r="E46" i="29"/>
  <c r="G46" i="29"/>
  <c r="E45" i="29"/>
  <c r="G45" i="29"/>
  <c r="G48" i="29"/>
  <c r="G49" i="29"/>
  <c r="E52" i="42"/>
  <c r="G52" i="42"/>
  <c r="E47" i="42"/>
  <c r="G47" i="42"/>
  <c r="G51" i="42"/>
  <c r="E51" i="42"/>
  <c r="G48" i="42"/>
  <c r="E48" i="42"/>
  <c r="F45" i="42"/>
  <c r="G45" i="42"/>
  <c r="G50" i="42"/>
  <c r="G46" i="42"/>
  <c r="G49" i="42"/>
  <c r="G6" i="42"/>
  <c r="F6" i="42"/>
  <c r="E5" i="42"/>
  <c r="G7" i="42"/>
  <c r="E14" i="42"/>
  <c r="E20" i="42"/>
  <c r="G37" i="42"/>
  <c r="G19" i="42"/>
  <c r="G25" i="42"/>
  <c r="I2" i="42"/>
  <c r="I24" i="42"/>
  <c r="I3" i="42"/>
  <c r="G2" i="42"/>
  <c r="I25" i="42"/>
  <c r="E2" i="42"/>
  <c r="G21" i="42"/>
  <c r="G30" i="42"/>
  <c r="E30" i="42"/>
  <c r="G34" i="42"/>
  <c r="E34" i="42"/>
  <c r="G36" i="42"/>
  <c r="F36" i="42"/>
  <c r="G4" i="42"/>
  <c r="E4" i="42"/>
  <c r="G15" i="42"/>
  <c r="G22" i="42"/>
  <c r="E22" i="42"/>
  <c r="G24" i="42"/>
  <c r="E24" i="42"/>
  <c r="G28" i="42"/>
  <c r="G38" i="42"/>
  <c r="E38" i="42"/>
  <c r="G10" i="42"/>
  <c r="E10" i="42"/>
  <c r="G27" i="42"/>
  <c r="G33" i="42"/>
  <c r="E33" i="42"/>
  <c r="G35" i="42"/>
  <c r="E35" i="42"/>
  <c r="G8" i="42"/>
  <c r="G16" i="42"/>
  <c r="E16" i="42"/>
  <c r="G18" i="42"/>
  <c r="E18" i="42"/>
  <c r="G29" i="42"/>
  <c r="E29" i="42"/>
  <c r="G31" i="42"/>
  <c r="E31" i="42"/>
  <c r="G11" i="42"/>
  <c r="E11" i="42"/>
  <c r="G3" i="42"/>
  <c r="E3" i="42"/>
  <c r="G12" i="42"/>
  <c r="G23" i="42"/>
  <c r="E23" i="42"/>
  <c r="I4" i="42"/>
  <c r="F2" i="42"/>
  <c r="G9" i="42"/>
  <c r="E9" i="42"/>
  <c r="G17" i="42"/>
  <c r="E17" i="42"/>
  <c r="G32" i="42"/>
  <c r="E32" i="42"/>
  <c r="G41" i="42"/>
  <c r="E41" i="42"/>
  <c r="E12" i="42"/>
  <c r="F13" i="42"/>
  <c r="F19" i="42"/>
  <c r="E25" i="42"/>
  <c r="F26" i="42"/>
  <c r="G44" i="42"/>
  <c r="E44" i="42"/>
  <c r="E42" i="42"/>
  <c r="E43" i="42"/>
  <c r="G39" i="42"/>
  <c r="E39" i="42"/>
  <c r="G40" i="42"/>
  <c r="G3" i="41"/>
  <c r="G17" i="41"/>
  <c r="F17" i="41"/>
  <c r="G12" i="41"/>
  <c r="E16" i="41"/>
  <c r="G28" i="41"/>
  <c r="G20" i="41"/>
  <c r="E6" i="41"/>
  <c r="G6" i="41"/>
  <c r="E14" i="41"/>
  <c r="G14" i="41"/>
  <c r="I4" i="41"/>
  <c r="F2" i="41"/>
  <c r="E7" i="41"/>
  <c r="G7" i="41"/>
  <c r="G10" i="41"/>
  <c r="G5" i="41"/>
  <c r="E5" i="41"/>
  <c r="G8" i="41"/>
  <c r="E8" i="41"/>
  <c r="E13" i="41"/>
  <c r="G13" i="41"/>
  <c r="F24" i="41"/>
  <c r="G24" i="41"/>
  <c r="G9" i="41"/>
  <c r="E9" i="41"/>
  <c r="G19" i="41"/>
  <c r="I24" i="41"/>
  <c r="E3" i="41"/>
  <c r="F4" i="41"/>
  <c r="E11" i="41"/>
  <c r="F12" i="41"/>
  <c r="G21" i="41"/>
  <c r="G23" i="41"/>
  <c r="I25" i="41"/>
  <c r="G29" i="41"/>
  <c r="E10" i="41"/>
  <c r="G18" i="41"/>
  <c r="E19" i="41"/>
  <c r="G22" i="41"/>
  <c r="E23" i="41"/>
  <c r="G30" i="41"/>
  <c r="G2" i="41"/>
  <c r="I3" i="41"/>
  <c r="E31" i="41"/>
  <c r="E32" i="41"/>
  <c r="I2" i="41"/>
  <c r="G15" i="41"/>
  <c r="F20" i="41"/>
  <c r="G27" i="41"/>
  <c r="G25" i="41"/>
  <c r="G26" i="41"/>
  <c r="F28" i="40"/>
  <c r="F15" i="40"/>
  <c r="F27" i="40"/>
  <c r="F7" i="40"/>
  <c r="F40" i="40"/>
  <c r="I11" i="41" l="1"/>
  <c r="I7" i="43"/>
  <c r="I10" i="43" s="1"/>
  <c r="I9" i="43"/>
  <c r="I12" i="43"/>
  <c r="I19" i="43"/>
  <c r="I20" i="43"/>
  <c r="J198" i="43"/>
  <c r="N198" i="43" s="1"/>
  <c r="J190" i="43"/>
  <c r="N190" i="43" s="1"/>
  <c r="J182" i="43"/>
  <c r="N182" i="43" s="1"/>
  <c r="J174" i="43"/>
  <c r="N174" i="43" s="1"/>
  <c r="J166" i="43"/>
  <c r="N166" i="43" s="1"/>
  <c r="J158" i="43"/>
  <c r="N158" i="43" s="1"/>
  <c r="J150" i="43"/>
  <c r="N150" i="43" s="1"/>
  <c r="J142" i="43"/>
  <c r="N142" i="43" s="1"/>
  <c r="J134" i="43"/>
  <c r="N134" i="43" s="1"/>
  <c r="J126" i="43"/>
  <c r="N126" i="43" s="1"/>
  <c r="J118" i="43"/>
  <c r="N118" i="43" s="1"/>
  <c r="J110" i="43"/>
  <c r="N110" i="43" s="1"/>
  <c r="J199" i="43"/>
  <c r="N199" i="43" s="1"/>
  <c r="J191" i="43"/>
  <c r="N191" i="43" s="1"/>
  <c r="J183" i="43"/>
  <c r="N183" i="43" s="1"/>
  <c r="J175" i="43"/>
  <c r="N175" i="43" s="1"/>
  <c r="J167" i="43"/>
  <c r="N167" i="43" s="1"/>
  <c r="J159" i="43"/>
  <c r="N159" i="43" s="1"/>
  <c r="J151" i="43"/>
  <c r="N151" i="43" s="1"/>
  <c r="J143" i="43"/>
  <c r="N143" i="43" s="1"/>
  <c r="J135" i="43"/>
  <c r="N135" i="43" s="1"/>
  <c r="J127" i="43"/>
  <c r="N127" i="43" s="1"/>
  <c r="J119" i="43"/>
  <c r="N119" i="43" s="1"/>
  <c r="J111" i="43"/>
  <c r="N111" i="43" s="1"/>
  <c r="J203" i="43"/>
  <c r="N203" i="43" s="1"/>
  <c r="J195" i="43"/>
  <c r="N195" i="43" s="1"/>
  <c r="J187" i="43"/>
  <c r="N187" i="43" s="1"/>
  <c r="J179" i="43"/>
  <c r="N179" i="43" s="1"/>
  <c r="J171" i="43"/>
  <c r="N171" i="43" s="1"/>
  <c r="J163" i="43"/>
  <c r="N163" i="43" s="1"/>
  <c r="J155" i="43"/>
  <c r="N155" i="43" s="1"/>
  <c r="J147" i="43"/>
  <c r="N147" i="43" s="1"/>
  <c r="J139" i="43"/>
  <c r="N139" i="43" s="1"/>
  <c r="J131" i="43"/>
  <c r="N131" i="43" s="1"/>
  <c r="J123" i="43"/>
  <c r="N123" i="43" s="1"/>
  <c r="J115" i="43"/>
  <c r="N115" i="43" s="1"/>
  <c r="J201" i="43"/>
  <c r="N201" i="43" s="1"/>
  <c r="J181" i="43"/>
  <c r="N181" i="43" s="1"/>
  <c r="J170" i="43"/>
  <c r="N170" i="43" s="1"/>
  <c r="J168" i="43"/>
  <c r="N168" i="43" s="1"/>
  <c r="J148" i="43"/>
  <c r="N148" i="43" s="1"/>
  <c r="J137" i="43"/>
  <c r="N137" i="43" s="1"/>
  <c r="J117" i="43"/>
  <c r="N117" i="43" s="1"/>
  <c r="J108" i="43"/>
  <c r="N108" i="43" s="1"/>
  <c r="J99" i="43"/>
  <c r="N99" i="43" s="1"/>
  <c r="J91" i="43"/>
  <c r="N91" i="43" s="1"/>
  <c r="J83" i="43"/>
  <c r="N83" i="43" s="1"/>
  <c r="J75" i="43"/>
  <c r="N75" i="43" s="1"/>
  <c r="J67" i="43"/>
  <c r="N67" i="43" s="1"/>
  <c r="J188" i="43"/>
  <c r="N188" i="43" s="1"/>
  <c r="J177" i="43"/>
  <c r="N177" i="43" s="1"/>
  <c r="J157" i="43"/>
  <c r="N157" i="43" s="1"/>
  <c r="J146" i="43"/>
  <c r="N146" i="43" s="1"/>
  <c r="J144" i="43"/>
  <c r="N144" i="43" s="1"/>
  <c r="J124" i="43"/>
  <c r="N124" i="43" s="1"/>
  <c r="J113" i="43"/>
  <c r="N113" i="43" s="1"/>
  <c r="J100" i="43"/>
  <c r="N100" i="43" s="1"/>
  <c r="J92" i="43"/>
  <c r="N92" i="43" s="1"/>
  <c r="J84" i="43"/>
  <c r="N84" i="43" s="1"/>
  <c r="J76" i="43"/>
  <c r="N76" i="43" s="1"/>
  <c r="J68" i="43"/>
  <c r="N68" i="43" s="1"/>
  <c r="J197" i="43"/>
  <c r="N197" i="43" s="1"/>
  <c r="J186" i="43"/>
  <c r="N186" i="43" s="1"/>
  <c r="J184" i="43"/>
  <c r="N184" i="43" s="1"/>
  <c r="J164" i="43"/>
  <c r="N164" i="43" s="1"/>
  <c r="J153" i="43"/>
  <c r="N153" i="43" s="1"/>
  <c r="J133" i="43"/>
  <c r="N133" i="43" s="1"/>
  <c r="J122" i="43"/>
  <c r="N122" i="43" s="1"/>
  <c r="J120" i="43"/>
  <c r="N120" i="43" s="1"/>
  <c r="J101" i="43"/>
  <c r="N101" i="43" s="1"/>
  <c r="J93" i="43"/>
  <c r="N93" i="43" s="1"/>
  <c r="J85" i="43"/>
  <c r="N85" i="43" s="1"/>
  <c r="J77" i="43"/>
  <c r="N77" i="43" s="1"/>
  <c r="J204" i="43"/>
  <c r="N204" i="43" s="1"/>
  <c r="J193" i="43"/>
  <c r="N193" i="43" s="1"/>
  <c r="J173" i="43"/>
  <c r="N173" i="43" s="1"/>
  <c r="J162" i="43"/>
  <c r="N162" i="43" s="1"/>
  <c r="J160" i="43"/>
  <c r="N160" i="43" s="1"/>
  <c r="J140" i="43"/>
  <c r="N140" i="43" s="1"/>
  <c r="J129" i="43"/>
  <c r="N129" i="43" s="1"/>
  <c r="J189" i="43"/>
  <c r="N189" i="43" s="1"/>
  <c r="J178" i="43"/>
  <c r="N178" i="43" s="1"/>
  <c r="J176" i="43"/>
  <c r="N176" i="43" s="1"/>
  <c r="J156" i="43"/>
  <c r="N156" i="43" s="1"/>
  <c r="J145" i="43"/>
  <c r="N145" i="43" s="1"/>
  <c r="J125" i="43"/>
  <c r="N125" i="43" s="1"/>
  <c r="J114" i="43"/>
  <c r="N114" i="43" s="1"/>
  <c r="J112" i="43"/>
  <c r="N112" i="43" s="1"/>
  <c r="J105" i="43"/>
  <c r="N105" i="43" s="1"/>
  <c r="J96" i="43"/>
  <c r="N96" i="43" s="1"/>
  <c r="J165" i="43"/>
  <c r="N165" i="43" s="1"/>
  <c r="J141" i="43"/>
  <c r="N141" i="43" s="1"/>
  <c r="J121" i="43"/>
  <c r="N121" i="43" s="1"/>
  <c r="J97" i="43"/>
  <c r="N97" i="43" s="1"/>
  <c r="J81" i="43"/>
  <c r="N81" i="43" s="1"/>
  <c r="J79" i="43"/>
  <c r="N79" i="43" s="1"/>
  <c r="J70" i="43"/>
  <c r="N70" i="43" s="1"/>
  <c r="J63" i="43"/>
  <c r="N63" i="43" s="1"/>
  <c r="J55" i="43"/>
  <c r="N55" i="43" s="1"/>
  <c r="J47" i="43"/>
  <c r="N47" i="43" s="1"/>
  <c r="J38" i="43"/>
  <c r="N38" i="43" s="1"/>
  <c r="J37" i="43"/>
  <c r="N37" i="43" s="1"/>
  <c r="J36" i="43"/>
  <c r="N36" i="43" s="1"/>
  <c r="J194" i="43"/>
  <c r="N194" i="43" s="1"/>
  <c r="J169" i="43"/>
  <c r="N169" i="43" s="1"/>
  <c r="J107" i="43"/>
  <c r="N107" i="43" s="1"/>
  <c r="J90" i="43"/>
  <c r="N90" i="43" s="1"/>
  <c r="J88" i="43"/>
  <c r="N88" i="43" s="1"/>
  <c r="J86" i="43"/>
  <c r="N86" i="43" s="1"/>
  <c r="J64" i="43"/>
  <c r="N64" i="43" s="1"/>
  <c r="J56" i="43"/>
  <c r="N56" i="43" s="1"/>
  <c r="J48" i="43"/>
  <c r="N48" i="43" s="1"/>
  <c r="J30" i="43"/>
  <c r="N30" i="43" s="1"/>
  <c r="J29" i="43"/>
  <c r="N29" i="43" s="1"/>
  <c r="J154" i="43"/>
  <c r="N154" i="43" s="1"/>
  <c r="J149" i="43"/>
  <c r="N149" i="43" s="1"/>
  <c r="J130" i="43"/>
  <c r="N130" i="43" s="1"/>
  <c r="J109" i="43"/>
  <c r="N109" i="43" s="1"/>
  <c r="J94" i="43"/>
  <c r="N94" i="43" s="1"/>
  <c r="J57" i="43"/>
  <c r="N57" i="43" s="1"/>
  <c r="J49" i="43"/>
  <c r="N49" i="43" s="1"/>
  <c r="J39" i="43"/>
  <c r="J32" i="43"/>
  <c r="N32" i="43" s="1"/>
  <c r="J31" i="43"/>
  <c r="N31" i="43" s="1"/>
  <c r="J202" i="43"/>
  <c r="N202" i="43" s="1"/>
  <c r="J116" i="43"/>
  <c r="N116" i="43" s="1"/>
  <c r="J104" i="43"/>
  <c r="N104" i="43" s="1"/>
  <c r="J73" i="43"/>
  <c r="N73" i="43" s="1"/>
  <c r="J71" i="43"/>
  <c r="N71" i="43" s="1"/>
  <c r="J65" i="43"/>
  <c r="N65" i="43" s="1"/>
  <c r="J58" i="43"/>
  <c r="N58" i="43" s="1"/>
  <c r="J50" i="43"/>
  <c r="N50" i="43" s="1"/>
  <c r="J196" i="43"/>
  <c r="N196" i="43" s="1"/>
  <c r="J172" i="43"/>
  <c r="N172" i="43" s="1"/>
  <c r="J152" i="43"/>
  <c r="N152" i="43" s="1"/>
  <c r="J128" i="43"/>
  <c r="N128" i="43" s="1"/>
  <c r="J98" i="43"/>
  <c r="N98" i="43" s="1"/>
  <c r="J89" i="43"/>
  <c r="N89" i="43" s="1"/>
  <c r="J87" i="43"/>
  <c r="N87" i="43" s="1"/>
  <c r="J69" i="43"/>
  <c r="N69" i="43" s="1"/>
  <c r="J60" i="43"/>
  <c r="N60" i="43" s="1"/>
  <c r="J52" i="43"/>
  <c r="N52" i="43" s="1"/>
  <c r="J34" i="43"/>
  <c r="N34" i="43" s="1"/>
  <c r="J82" i="43"/>
  <c r="N82" i="43" s="1"/>
  <c r="J61" i="43"/>
  <c r="N61" i="43" s="1"/>
  <c r="J46" i="43"/>
  <c r="N46" i="43" s="1"/>
  <c r="J43" i="43"/>
  <c r="N43" i="43" s="1"/>
  <c r="J33" i="43"/>
  <c r="N33" i="43" s="1"/>
  <c r="J27" i="43"/>
  <c r="N27" i="43" s="1"/>
  <c r="J26" i="43"/>
  <c r="N26" i="43" s="1"/>
  <c r="J20" i="43"/>
  <c r="N20" i="43" s="1"/>
  <c r="J14" i="43"/>
  <c r="N14" i="43" s="1"/>
  <c r="J6" i="43"/>
  <c r="N6" i="43" s="1"/>
  <c r="J200" i="43"/>
  <c r="N200" i="43" s="1"/>
  <c r="J136" i="43"/>
  <c r="N136" i="43" s="1"/>
  <c r="J72" i="43"/>
  <c r="N72" i="43" s="1"/>
  <c r="J28" i="43"/>
  <c r="N28" i="43" s="1"/>
  <c r="J21" i="43"/>
  <c r="N21" i="43" s="1"/>
  <c r="J15" i="43"/>
  <c r="N15" i="43" s="1"/>
  <c r="J7" i="43"/>
  <c r="N7" i="43" s="1"/>
  <c r="J161" i="43"/>
  <c r="N161" i="43" s="1"/>
  <c r="J51" i="43"/>
  <c r="N51" i="43" s="1"/>
  <c r="J40" i="43"/>
  <c r="N40" i="43" s="1"/>
  <c r="J22" i="43"/>
  <c r="N22" i="43" s="1"/>
  <c r="J8" i="43"/>
  <c r="N8" i="43" s="1"/>
  <c r="J66" i="43"/>
  <c r="N66" i="43" s="1"/>
  <c r="J23" i="43"/>
  <c r="N23" i="43" s="1"/>
  <c r="J185" i="43"/>
  <c r="N185" i="43" s="1"/>
  <c r="J132" i="43"/>
  <c r="N132" i="43" s="1"/>
  <c r="J102" i="43"/>
  <c r="N102" i="43" s="1"/>
  <c r="J80" i="43"/>
  <c r="N80" i="43" s="1"/>
  <c r="J54" i="43"/>
  <c r="N54" i="43" s="1"/>
  <c r="J45" i="43"/>
  <c r="N45" i="43" s="1"/>
  <c r="J42" i="43"/>
  <c r="N42" i="43" s="1"/>
  <c r="J41" i="43"/>
  <c r="N41" i="43" s="1"/>
  <c r="J16" i="43"/>
  <c r="N16" i="43" s="1"/>
  <c r="J9" i="43"/>
  <c r="N9" i="43" s="1"/>
  <c r="J95" i="43"/>
  <c r="N95" i="43" s="1"/>
  <c r="J59" i="43"/>
  <c r="N59" i="43" s="1"/>
  <c r="J53" i="43"/>
  <c r="N53" i="43" s="1"/>
  <c r="J24" i="43"/>
  <c r="N24" i="43" s="1"/>
  <c r="J11" i="43"/>
  <c r="N11" i="43" s="1"/>
  <c r="J3" i="43"/>
  <c r="N3" i="43" s="1"/>
  <c r="J192" i="43"/>
  <c r="N192" i="43" s="1"/>
  <c r="J180" i="43"/>
  <c r="N180" i="43" s="1"/>
  <c r="J78" i="43"/>
  <c r="N78" i="43" s="1"/>
  <c r="J74" i="43"/>
  <c r="N74" i="43" s="1"/>
  <c r="J62" i="43"/>
  <c r="N62" i="43" s="1"/>
  <c r="J44" i="43"/>
  <c r="N44" i="43" s="1"/>
  <c r="J25" i="43"/>
  <c r="N25" i="43" s="1"/>
  <c r="J13" i="43"/>
  <c r="N13" i="43" s="1"/>
  <c r="J138" i="43"/>
  <c r="N138" i="43" s="1"/>
  <c r="J35" i="43"/>
  <c r="N35" i="43" s="1"/>
  <c r="J18" i="43"/>
  <c r="N18" i="43" s="1"/>
  <c r="J17" i="43"/>
  <c r="N17" i="43" s="1"/>
  <c r="J4" i="43"/>
  <c r="N4" i="43" s="1"/>
  <c r="J2" i="43"/>
  <c r="N2" i="43" s="1"/>
  <c r="J12" i="43"/>
  <c r="N12" i="43" s="1"/>
  <c r="J5" i="43"/>
  <c r="N5" i="43" s="1"/>
  <c r="J10" i="43"/>
  <c r="N10" i="43" s="1"/>
  <c r="J106" i="43"/>
  <c r="N106" i="43" s="1"/>
  <c r="J19" i="43"/>
  <c r="N19" i="43" s="1"/>
  <c r="I11" i="43"/>
  <c r="I5" i="43"/>
  <c r="I8" i="43" s="1"/>
  <c r="I17" i="43" s="1"/>
  <c r="I12" i="42"/>
  <c r="I11" i="42"/>
  <c r="I19" i="42"/>
  <c r="I20" i="42"/>
  <c r="I6" i="42"/>
  <c r="I9" i="42" s="1"/>
  <c r="I5" i="42"/>
  <c r="I8" i="42" s="1"/>
  <c r="I7" i="42"/>
  <c r="I10" i="42" s="1"/>
  <c r="J198" i="42"/>
  <c r="N198" i="42" s="1"/>
  <c r="J190" i="42"/>
  <c r="N190" i="42" s="1"/>
  <c r="J182" i="42"/>
  <c r="N182" i="42" s="1"/>
  <c r="J174" i="42"/>
  <c r="N174" i="42" s="1"/>
  <c r="J166" i="42"/>
  <c r="N166" i="42" s="1"/>
  <c r="J158" i="42"/>
  <c r="N158" i="42" s="1"/>
  <c r="J150" i="42"/>
  <c r="N150" i="42" s="1"/>
  <c r="J142" i="42"/>
  <c r="N142" i="42" s="1"/>
  <c r="J134" i="42"/>
  <c r="N134" i="42" s="1"/>
  <c r="J126" i="42"/>
  <c r="N126" i="42" s="1"/>
  <c r="J118" i="42"/>
  <c r="N118" i="42" s="1"/>
  <c r="J110" i="42"/>
  <c r="N110" i="42" s="1"/>
  <c r="J199" i="42"/>
  <c r="N199" i="42" s="1"/>
  <c r="J191" i="42"/>
  <c r="N191" i="42" s="1"/>
  <c r="J183" i="42"/>
  <c r="N183" i="42" s="1"/>
  <c r="J175" i="42"/>
  <c r="N175" i="42" s="1"/>
  <c r="J167" i="42"/>
  <c r="N167" i="42" s="1"/>
  <c r="J159" i="42"/>
  <c r="N159" i="42" s="1"/>
  <c r="J151" i="42"/>
  <c r="N151" i="42" s="1"/>
  <c r="J143" i="42"/>
  <c r="N143" i="42" s="1"/>
  <c r="J135" i="42"/>
  <c r="N135" i="42" s="1"/>
  <c r="J127" i="42"/>
  <c r="N127" i="42" s="1"/>
  <c r="J119" i="42"/>
  <c r="N119" i="42" s="1"/>
  <c r="J111" i="42"/>
  <c r="N111" i="42" s="1"/>
  <c r="J200" i="42"/>
  <c r="N200" i="42" s="1"/>
  <c r="J192" i="42"/>
  <c r="N192" i="42" s="1"/>
  <c r="J184" i="42"/>
  <c r="N184" i="42" s="1"/>
  <c r="J176" i="42"/>
  <c r="N176" i="42" s="1"/>
  <c r="J168" i="42"/>
  <c r="N168" i="42" s="1"/>
  <c r="J160" i="42"/>
  <c r="N160" i="42" s="1"/>
  <c r="J152" i="42"/>
  <c r="N152" i="42" s="1"/>
  <c r="J144" i="42"/>
  <c r="N144" i="42" s="1"/>
  <c r="J136" i="42"/>
  <c r="N136" i="42" s="1"/>
  <c r="J128" i="42"/>
  <c r="N128" i="42" s="1"/>
  <c r="J120" i="42"/>
  <c r="N120" i="42" s="1"/>
  <c r="J112" i="42"/>
  <c r="N112" i="42" s="1"/>
  <c r="J201" i="42"/>
  <c r="N201" i="42" s="1"/>
  <c r="J193" i="42"/>
  <c r="N193" i="42" s="1"/>
  <c r="J185" i="42"/>
  <c r="N185" i="42" s="1"/>
  <c r="J177" i="42"/>
  <c r="N177" i="42" s="1"/>
  <c r="J169" i="42"/>
  <c r="N169" i="42" s="1"/>
  <c r="J161" i="42"/>
  <c r="N161" i="42" s="1"/>
  <c r="J153" i="42"/>
  <c r="N153" i="42" s="1"/>
  <c r="J145" i="42"/>
  <c r="N145" i="42" s="1"/>
  <c r="J137" i="42"/>
  <c r="N137" i="42" s="1"/>
  <c r="J129" i="42"/>
  <c r="N129" i="42" s="1"/>
  <c r="J121" i="42"/>
  <c r="N121" i="42" s="1"/>
  <c r="J113" i="42"/>
  <c r="N113" i="42" s="1"/>
  <c r="J202" i="42"/>
  <c r="N202" i="42" s="1"/>
  <c r="J194" i="42"/>
  <c r="N194" i="42" s="1"/>
  <c r="J186" i="42"/>
  <c r="N186" i="42" s="1"/>
  <c r="J178" i="42"/>
  <c r="N178" i="42" s="1"/>
  <c r="J170" i="42"/>
  <c r="N170" i="42" s="1"/>
  <c r="J162" i="42"/>
  <c r="N162" i="42" s="1"/>
  <c r="J154" i="42"/>
  <c r="N154" i="42" s="1"/>
  <c r="J146" i="42"/>
  <c r="N146" i="42" s="1"/>
  <c r="J138" i="42"/>
  <c r="N138" i="42" s="1"/>
  <c r="J130" i="42"/>
  <c r="N130" i="42" s="1"/>
  <c r="J122" i="42"/>
  <c r="N122" i="42" s="1"/>
  <c r="J114" i="42"/>
  <c r="N114" i="42" s="1"/>
  <c r="J204" i="42"/>
  <c r="N204" i="42" s="1"/>
  <c r="J196" i="42"/>
  <c r="N196" i="42" s="1"/>
  <c r="J188" i="42"/>
  <c r="N188" i="42" s="1"/>
  <c r="J180" i="42"/>
  <c r="N180" i="42" s="1"/>
  <c r="J172" i="42"/>
  <c r="N172" i="42" s="1"/>
  <c r="J197" i="42"/>
  <c r="N197" i="42" s="1"/>
  <c r="J189" i="42"/>
  <c r="N189" i="42" s="1"/>
  <c r="J203" i="42"/>
  <c r="N203" i="42" s="1"/>
  <c r="J156" i="42"/>
  <c r="N156" i="42" s="1"/>
  <c r="J141" i="42"/>
  <c r="N141" i="42" s="1"/>
  <c r="J101" i="42"/>
  <c r="N101" i="42" s="1"/>
  <c r="J93" i="42"/>
  <c r="N93" i="42" s="1"/>
  <c r="J85" i="42"/>
  <c r="N85" i="42" s="1"/>
  <c r="J77" i="42"/>
  <c r="N77" i="42" s="1"/>
  <c r="J69" i="42"/>
  <c r="N69" i="42" s="1"/>
  <c r="J61" i="42"/>
  <c r="N61" i="42" s="1"/>
  <c r="J53" i="42"/>
  <c r="N53" i="42" s="1"/>
  <c r="J45" i="42"/>
  <c r="N45" i="42" s="1"/>
  <c r="J40" i="42"/>
  <c r="N40" i="42" s="1"/>
  <c r="J171" i="42"/>
  <c r="N171" i="42" s="1"/>
  <c r="J155" i="42"/>
  <c r="N155" i="42" s="1"/>
  <c r="J140" i="42"/>
  <c r="N140" i="42" s="1"/>
  <c r="J125" i="42"/>
  <c r="N125" i="42" s="1"/>
  <c r="J104" i="42"/>
  <c r="N104" i="42" s="1"/>
  <c r="J95" i="42"/>
  <c r="N95" i="42" s="1"/>
  <c r="J87" i="42"/>
  <c r="N87" i="42" s="1"/>
  <c r="J79" i="42"/>
  <c r="N79" i="42" s="1"/>
  <c r="J71" i="42"/>
  <c r="N71" i="42" s="1"/>
  <c r="J63" i="42"/>
  <c r="N63" i="42" s="1"/>
  <c r="J55" i="42"/>
  <c r="N55" i="42" s="1"/>
  <c r="J47" i="42"/>
  <c r="N47" i="42" s="1"/>
  <c r="J41" i="42"/>
  <c r="N41" i="42" s="1"/>
  <c r="J164" i="42"/>
  <c r="N164" i="42" s="1"/>
  <c r="J149" i="42"/>
  <c r="N149" i="42" s="1"/>
  <c r="J115" i="42"/>
  <c r="N115" i="42" s="1"/>
  <c r="J105" i="42"/>
  <c r="N105" i="42" s="1"/>
  <c r="J96" i="42"/>
  <c r="N96" i="42" s="1"/>
  <c r="J88" i="42"/>
  <c r="N88" i="42" s="1"/>
  <c r="J80" i="42"/>
  <c r="N80" i="42" s="1"/>
  <c r="J72" i="42"/>
  <c r="N72" i="42" s="1"/>
  <c r="J64" i="42"/>
  <c r="N64" i="42" s="1"/>
  <c r="J56" i="42"/>
  <c r="N56" i="42" s="1"/>
  <c r="J48" i="42"/>
  <c r="N48" i="42" s="1"/>
  <c r="J179" i="42"/>
  <c r="N179" i="42" s="1"/>
  <c r="J139" i="42"/>
  <c r="N139" i="42" s="1"/>
  <c r="J124" i="42"/>
  <c r="N124" i="42" s="1"/>
  <c r="J109" i="42"/>
  <c r="N109" i="42" s="1"/>
  <c r="J106" i="42"/>
  <c r="N106" i="42" s="1"/>
  <c r="J97" i="42"/>
  <c r="N97" i="42" s="1"/>
  <c r="J89" i="42"/>
  <c r="N89" i="42" s="1"/>
  <c r="J81" i="42"/>
  <c r="N81" i="42" s="1"/>
  <c r="J73" i="42"/>
  <c r="N73" i="42" s="1"/>
  <c r="J65" i="42"/>
  <c r="N65" i="42" s="1"/>
  <c r="J57" i="42"/>
  <c r="N57" i="42" s="1"/>
  <c r="J49" i="42"/>
  <c r="N49" i="42" s="1"/>
  <c r="J42" i="42"/>
  <c r="N42" i="42" s="1"/>
  <c r="J187" i="42"/>
  <c r="N187" i="42" s="1"/>
  <c r="J157" i="42"/>
  <c r="N157" i="42" s="1"/>
  <c r="J123" i="42"/>
  <c r="N123" i="42" s="1"/>
  <c r="J108" i="42"/>
  <c r="N108" i="42" s="1"/>
  <c r="J99" i="42"/>
  <c r="N99" i="42" s="1"/>
  <c r="J91" i="42"/>
  <c r="N91" i="42" s="1"/>
  <c r="J83" i="42"/>
  <c r="N83" i="42" s="1"/>
  <c r="J75" i="42"/>
  <c r="N75" i="42" s="1"/>
  <c r="J67" i="42"/>
  <c r="N67" i="42" s="1"/>
  <c r="J59" i="42"/>
  <c r="N59" i="42" s="1"/>
  <c r="J51" i="42"/>
  <c r="N51" i="42" s="1"/>
  <c r="J107" i="42"/>
  <c r="N107" i="42" s="1"/>
  <c r="J100" i="42"/>
  <c r="N100" i="42" s="1"/>
  <c r="J94" i="42"/>
  <c r="N94" i="42" s="1"/>
  <c r="J39" i="42"/>
  <c r="J38" i="42"/>
  <c r="N38" i="42" s="1"/>
  <c r="J33" i="42"/>
  <c r="N33" i="42" s="1"/>
  <c r="J23" i="42"/>
  <c r="N23" i="42" s="1"/>
  <c r="J17" i="42"/>
  <c r="N17" i="42" s="1"/>
  <c r="J66" i="42"/>
  <c r="N66" i="42" s="1"/>
  <c r="J60" i="42"/>
  <c r="N60" i="42" s="1"/>
  <c r="J54" i="42"/>
  <c r="N54" i="42" s="1"/>
  <c r="J43" i="42"/>
  <c r="N43" i="42" s="1"/>
  <c r="J34" i="42"/>
  <c r="N34" i="42" s="1"/>
  <c r="J24" i="42"/>
  <c r="N24" i="42" s="1"/>
  <c r="J11" i="42"/>
  <c r="N11" i="42" s="1"/>
  <c r="J3" i="42"/>
  <c r="N3" i="42" s="1"/>
  <c r="J181" i="42"/>
  <c r="N181" i="42" s="1"/>
  <c r="J90" i="42"/>
  <c r="N90" i="42" s="1"/>
  <c r="J84" i="42"/>
  <c r="N84" i="42" s="1"/>
  <c r="J78" i="42"/>
  <c r="N78" i="42" s="1"/>
  <c r="J35" i="42"/>
  <c r="N35" i="42" s="1"/>
  <c r="J25" i="42"/>
  <c r="N25" i="42" s="1"/>
  <c r="J18" i="42"/>
  <c r="N18" i="42" s="1"/>
  <c r="J12" i="42"/>
  <c r="N12" i="42" s="1"/>
  <c r="J4" i="42"/>
  <c r="N4" i="42" s="1"/>
  <c r="J195" i="42"/>
  <c r="N195" i="42" s="1"/>
  <c r="J102" i="42"/>
  <c r="N102" i="42" s="1"/>
  <c r="J50" i="42"/>
  <c r="N50" i="42" s="1"/>
  <c r="J44" i="42"/>
  <c r="N44" i="42" s="1"/>
  <c r="J19" i="42"/>
  <c r="N19" i="42" s="1"/>
  <c r="J13" i="42"/>
  <c r="N13" i="42" s="1"/>
  <c r="J5" i="42"/>
  <c r="N5" i="42" s="1"/>
  <c r="J74" i="42"/>
  <c r="N74" i="42" s="1"/>
  <c r="J68" i="42"/>
  <c r="N68" i="42" s="1"/>
  <c r="J62" i="42"/>
  <c r="N62" i="42" s="1"/>
  <c r="J37" i="42"/>
  <c r="N37" i="42" s="1"/>
  <c r="J36" i="42"/>
  <c r="N36" i="42" s="1"/>
  <c r="J27" i="42"/>
  <c r="N27" i="42" s="1"/>
  <c r="J26" i="42"/>
  <c r="N26" i="42" s="1"/>
  <c r="J20" i="42"/>
  <c r="N20" i="42" s="1"/>
  <c r="J14" i="42"/>
  <c r="N14" i="42" s="1"/>
  <c r="J6" i="42"/>
  <c r="N6" i="42" s="1"/>
  <c r="J133" i="42"/>
  <c r="N133" i="42" s="1"/>
  <c r="J117" i="42"/>
  <c r="N117" i="42" s="1"/>
  <c r="J98" i="42"/>
  <c r="N98" i="42" s="1"/>
  <c r="J92" i="42"/>
  <c r="N92" i="42" s="1"/>
  <c r="J86" i="42"/>
  <c r="N86" i="42" s="1"/>
  <c r="J30" i="42"/>
  <c r="N30" i="42" s="1"/>
  <c r="J29" i="42"/>
  <c r="N29" i="42" s="1"/>
  <c r="J28" i="42"/>
  <c r="N28" i="42" s="1"/>
  <c r="J21" i="42"/>
  <c r="N21" i="42" s="1"/>
  <c r="J15" i="42"/>
  <c r="N15" i="42" s="1"/>
  <c r="J7" i="42"/>
  <c r="N7" i="42" s="1"/>
  <c r="J165" i="42"/>
  <c r="N165" i="42" s="1"/>
  <c r="J148" i="42"/>
  <c r="N148" i="42" s="1"/>
  <c r="J132" i="42"/>
  <c r="N132" i="42" s="1"/>
  <c r="J116" i="42"/>
  <c r="N116" i="42" s="1"/>
  <c r="J58" i="42"/>
  <c r="N58" i="42" s="1"/>
  <c r="J52" i="42"/>
  <c r="N52" i="42" s="1"/>
  <c r="J46" i="42"/>
  <c r="N46" i="42" s="1"/>
  <c r="J32" i="42"/>
  <c r="N32" i="42" s="1"/>
  <c r="J31" i="42"/>
  <c r="N31" i="42" s="1"/>
  <c r="J22" i="42"/>
  <c r="N22" i="42" s="1"/>
  <c r="J8" i="42"/>
  <c r="N8" i="42" s="1"/>
  <c r="J173" i="42"/>
  <c r="N173" i="42" s="1"/>
  <c r="J82" i="42"/>
  <c r="N82" i="42" s="1"/>
  <c r="J16" i="42"/>
  <c r="N16" i="42" s="1"/>
  <c r="J163" i="42"/>
  <c r="N163" i="42" s="1"/>
  <c r="J10" i="42"/>
  <c r="N10" i="42" s="1"/>
  <c r="J2" i="42"/>
  <c r="N2" i="42" s="1"/>
  <c r="J76" i="42"/>
  <c r="N76" i="42" s="1"/>
  <c r="J147" i="42"/>
  <c r="N147" i="42" s="1"/>
  <c r="J70" i="42"/>
  <c r="N70" i="42" s="1"/>
  <c r="J9" i="42"/>
  <c r="N9" i="42" s="1"/>
  <c r="J131" i="42"/>
  <c r="N131" i="42" s="1"/>
  <c r="I5" i="41"/>
  <c r="I8" i="41" s="1"/>
  <c r="I12" i="41"/>
  <c r="J198" i="41"/>
  <c r="N198" i="41" s="1"/>
  <c r="J190" i="41"/>
  <c r="N190" i="41" s="1"/>
  <c r="J182" i="41"/>
  <c r="N182" i="41" s="1"/>
  <c r="J174" i="41"/>
  <c r="N174" i="41" s="1"/>
  <c r="J166" i="41"/>
  <c r="N166" i="41" s="1"/>
  <c r="J158" i="41"/>
  <c r="N158" i="41" s="1"/>
  <c r="J150" i="41"/>
  <c r="N150" i="41" s="1"/>
  <c r="J142" i="41"/>
  <c r="N142" i="41" s="1"/>
  <c r="J134" i="41"/>
  <c r="N134" i="41" s="1"/>
  <c r="J126" i="41"/>
  <c r="N126" i="41" s="1"/>
  <c r="J118" i="41"/>
  <c r="N118" i="41" s="1"/>
  <c r="J110" i="41"/>
  <c r="N110" i="41" s="1"/>
  <c r="J200" i="41"/>
  <c r="N200" i="41" s="1"/>
  <c r="J192" i="41"/>
  <c r="N192" i="41" s="1"/>
  <c r="J184" i="41"/>
  <c r="N184" i="41" s="1"/>
  <c r="J176" i="41"/>
  <c r="N176" i="41" s="1"/>
  <c r="J168" i="41"/>
  <c r="N168" i="41" s="1"/>
  <c r="J160" i="41"/>
  <c r="N160" i="41" s="1"/>
  <c r="J152" i="41"/>
  <c r="N152" i="41" s="1"/>
  <c r="J144" i="41"/>
  <c r="N144" i="41" s="1"/>
  <c r="J136" i="41"/>
  <c r="N136" i="41" s="1"/>
  <c r="J197" i="41"/>
  <c r="N197" i="41" s="1"/>
  <c r="J189" i="41"/>
  <c r="N189" i="41" s="1"/>
  <c r="J181" i="41"/>
  <c r="N181" i="41" s="1"/>
  <c r="J173" i="41"/>
  <c r="N173" i="41" s="1"/>
  <c r="J165" i="41"/>
  <c r="N165" i="41" s="1"/>
  <c r="J157" i="41"/>
  <c r="N157" i="41" s="1"/>
  <c r="J149" i="41"/>
  <c r="N149" i="41" s="1"/>
  <c r="J141" i="41"/>
  <c r="N141" i="41" s="1"/>
  <c r="J133" i="41"/>
  <c r="N133" i="41" s="1"/>
  <c r="J125" i="41"/>
  <c r="N125" i="41" s="1"/>
  <c r="J117" i="41"/>
  <c r="N117" i="41" s="1"/>
  <c r="J109" i="41"/>
  <c r="N109" i="41" s="1"/>
  <c r="J203" i="41"/>
  <c r="N203" i="41" s="1"/>
  <c r="J201" i="41"/>
  <c r="N201" i="41" s="1"/>
  <c r="J172" i="41"/>
  <c r="N172" i="41" s="1"/>
  <c r="J170" i="41"/>
  <c r="N170" i="41" s="1"/>
  <c r="J159" i="41"/>
  <c r="N159" i="41" s="1"/>
  <c r="J199" i="41"/>
  <c r="N199" i="41" s="1"/>
  <c r="J179" i="41"/>
  <c r="N179" i="41" s="1"/>
  <c r="J177" i="41"/>
  <c r="N177" i="41" s="1"/>
  <c r="J148" i="41"/>
  <c r="N148" i="41" s="1"/>
  <c r="J146" i="41"/>
  <c r="N146" i="41" s="1"/>
  <c r="J135" i="41"/>
  <c r="N135" i="41" s="1"/>
  <c r="J111" i="41"/>
  <c r="N111" i="41" s="1"/>
  <c r="J99" i="41"/>
  <c r="N99" i="41" s="1"/>
  <c r="J91" i="41"/>
  <c r="N91" i="41" s="1"/>
  <c r="J83" i="41"/>
  <c r="N83" i="41" s="1"/>
  <c r="J75" i="41"/>
  <c r="N75" i="41" s="1"/>
  <c r="J188" i="41"/>
  <c r="N188" i="41" s="1"/>
  <c r="J186" i="41"/>
  <c r="N186" i="41" s="1"/>
  <c r="J175" i="41"/>
  <c r="N175" i="41" s="1"/>
  <c r="J155" i="41"/>
  <c r="N155" i="41" s="1"/>
  <c r="J153" i="41"/>
  <c r="N153" i="41" s="1"/>
  <c r="J120" i="41"/>
  <c r="N120" i="41" s="1"/>
  <c r="J114" i="41"/>
  <c r="N114" i="41" s="1"/>
  <c r="J108" i="41"/>
  <c r="N108" i="41" s="1"/>
  <c r="J100" i="41"/>
  <c r="N100" i="41" s="1"/>
  <c r="J92" i="41"/>
  <c r="N92" i="41" s="1"/>
  <c r="J84" i="41"/>
  <c r="N84" i="41" s="1"/>
  <c r="J76" i="41"/>
  <c r="N76" i="41" s="1"/>
  <c r="J196" i="41"/>
  <c r="N196" i="41" s="1"/>
  <c r="J187" i="41"/>
  <c r="N187" i="41" s="1"/>
  <c r="J178" i="41"/>
  <c r="N178" i="41" s="1"/>
  <c r="J169" i="41"/>
  <c r="N169" i="41" s="1"/>
  <c r="J131" i="41"/>
  <c r="N131" i="41" s="1"/>
  <c r="J101" i="41"/>
  <c r="N101" i="41" s="1"/>
  <c r="J95" i="41"/>
  <c r="N95" i="41" s="1"/>
  <c r="J89" i="41"/>
  <c r="N89" i="41" s="1"/>
  <c r="J69" i="41"/>
  <c r="N69" i="41" s="1"/>
  <c r="J61" i="41"/>
  <c r="N61" i="41" s="1"/>
  <c r="J53" i="41"/>
  <c r="N53" i="41" s="1"/>
  <c r="J204" i="41"/>
  <c r="N204" i="41" s="1"/>
  <c r="J195" i="41"/>
  <c r="N195" i="41" s="1"/>
  <c r="J151" i="41"/>
  <c r="N151" i="41" s="1"/>
  <c r="J143" i="41"/>
  <c r="N143" i="41" s="1"/>
  <c r="J138" i="41"/>
  <c r="N138" i="41" s="1"/>
  <c r="J112" i="41"/>
  <c r="N112" i="41" s="1"/>
  <c r="J105" i="41"/>
  <c r="N105" i="41" s="1"/>
  <c r="J98" i="41"/>
  <c r="N98" i="41" s="1"/>
  <c r="J78" i="41"/>
  <c r="N78" i="41" s="1"/>
  <c r="J70" i="41"/>
  <c r="N70" i="41" s="1"/>
  <c r="J62" i="41"/>
  <c r="N62" i="41" s="1"/>
  <c r="J54" i="41"/>
  <c r="N54" i="41" s="1"/>
  <c r="J46" i="41"/>
  <c r="N46" i="41" s="1"/>
  <c r="J163" i="41"/>
  <c r="N163" i="41" s="1"/>
  <c r="J154" i="41"/>
  <c r="N154" i="41" s="1"/>
  <c r="J145" i="41"/>
  <c r="N145" i="41" s="1"/>
  <c r="J93" i="41"/>
  <c r="N93" i="41" s="1"/>
  <c r="J87" i="41"/>
  <c r="N87" i="41" s="1"/>
  <c r="J81" i="41"/>
  <c r="N81" i="41" s="1"/>
  <c r="J71" i="41"/>
  <c r="N71" i="41" s="1"/>
  <c r="J63" i="41"/>
  <c r="N63" i="41" s="1"/>
  <c r="J55" i="41"/>
  <c r="N55" i="41" s="1"/>
  <c r="J47" i="41"/>
  <c r="N47" i="41" s="1"/>
  <c r="J194" i="41"/>
  <c r="N194" i="41" s="1"/>
  <c r="J185" i="41"/>
  <c r="N185" i="41" s="1"/>
  <c r="J156" i="41"/>
  <c r="N156" i="41" s="1"/>
  <c r="J147" i="41"/>
  <c r="N147" i="41" s="1"/>
  <c r="J137" i="41"/>
  <c r="N137" i="41" s="1"/>
  <c r="J94" i="41"/>
  <c r="N94" i="41" s="1"/>
  <c r="J88" i="41"/>
  <c r="N88" i="41" s="1"/>
  <c r="J82" i="41"/>
  <c r="N82" i="41" s="1"/>
  <c r="J66" i="41"/>
  <c r="N66" i="41" s="1"/>
  <c r="J58" i="41"/>
  <c r="N58" i="41" s="1"/>
  <c r="J50" i="41"/>
  <c r="N50" i="41" s="1"/>
  <c r="J180" i="41"/>
  <c r="N180" i="41" s="1"/>
  <c r="J162" i="41"/>
  <c r="N162" i="41" s="1"/>
  <c r="J140" i="41"/>
  <c r="N140" i="41" s="1"/>
  <c r="J122" i="41"/>
  <c r="N122" i="41" s="1"/>
  <c r="J102" i="41"/>
  <c r="N102" i="41" s="1"/>
  <c r="J96" i="41"/>
  <c r="N96" i="41" s="1"/>
  <c r="J90" i="41"/>
  <c r="N90" i="41" s="1"/>
  <c r="J72" i="41"/>
  <c r="N72" i="41" s="1"/>
  <c r="J56" i="41"/>
  <c r="N56" i="41" s="1"/>
  <c r="J27" i="41"/>
  <c r="N27" i="41" s="1"/>
  <c r="J26" i="41"/>
  <c r="N26" i="41" s="1"/>
  <c r="J20" i="41"/>
  <c r="N20" i="41" s="1"/>
  <c r="J191" i="41"/>
  <c r="N191" i="41" s="1"/>
  <c r="J130" i="41"/>
  <c r="N130" i="41" s="1"/>
  <c r="J106" i="41"/>
  <c r="N106" i="41" s="1"/>
  <c r="J65" i="41"/>
  <c r="N65" i="41" s="1"/>
  <c r="J49" i="41"/>
  <c r="N49" i="41" s="1"/>
  <c r="J30" i="41"/>
  <c r="N30" i="41" s="1"/>
  <c r="J29" i="41"/>
  <c r="N29" i="41" s="1"/>
  <c r="J28" i="41"/>
  <c r="N28" i="41" s="1"/>
  <c r="J21" i="41"/>
  <c r="N21" i="41" s="1"/>
  <c r="J15" i="41"/>
  <c r="N15" i="41" s="1"/>
  <c r="J202" i="41"/>
  <c r="N202" i="41" s="1"/>
  <c r="J167" i="41"/>
  <c r="N167" i="41" s="1"/>
  <c r="J129" i="41"/>
  <c r="N129" i="41" s="1"/>
  <c r="J121" i="41"/>
  <c r="N121" i="41" s="1"/>
  <c r="J113" i="41"/>
  <c r="N113" i="41" s="1"/>
  <c r="J77" i="41"/>
  <c r="N77" i="41" s="1"/>
  <c r="J67" i="41"/>
  <c r="N67" i="41" s="1"/>
  <c r="J51" i="41"/>
  <c r="N51" i="41" s="1"/>
  <c r="J45" i="41"/>
  <c r="N45" i="41" s="1"/>
  <c r="J38" i="41"/>
  <c r="N38" i="41" s="1"/>
  <c r="J32" i="41"/>
  <c r="N32" i="41" s="1"/>
  <c r="J31" i="41"/>
  <c r="N31" i="41" s="1"/>
  <c r="J85" i="41"/>
  <c r="N85" i="41" s="1"/>
  <c r="J79" i="41"/>
  <c r="N79" i="41" s="1"/>
  <c r="J73" i="41"/>
  <c r="N73" i="41" s="1"/>
  <c r="J57" i="41"/>
  <c r="N57" i="41" s="1"/>
  <c r="J43" i="41"/>
  <c r="N43" i="41" s="1"/>
  <c r="J42" i="41"/>
  <c r="N42" i="41" s="1"/>
  <c r="J24" i="41"/>
  <c r="N24" i="41" s="1"/>
  <c r="J124" i="41"/>
  <c r="N124" i="41" s="1"/>
  <c r="J116" i="41"/>
  <c r="N116" i="41" s="1"/>
  <c r="J48" i="41"/>
  <c r="N48" i="41" s="1"/>
  <c r="J36" i="41"/>
  <c r="N36" i="41" s="1"/>
  <c r="J10" i="41"/>
  <c r="N10" i="41" s="1"/>
  <c r="J2" i="41"/>
  <c r="N2" i="41" s="1"/>
  <c r="J164" i="41"/>
  <c r="N164" i="41" s="1"/>
  <c r="J132" i="41"/>
  <c r="N132" i="41" s="1"/>
  <c r="J123" i="41"/>
  <c r="N123" i="41" s="1"/>
  <c r="J115" i="41"/>
  <c r="N115" i="41" s="1"/>
  <c r="J23" i="41"/>
  <c r="N23" i="41" s="1"/>
  <c r="J22" i="41"/>
  <c r="N22" i="41" s="1"/>
  <c r="J11" i="41"/>
  <c r="N11" i="41" s="1"/>
  <c r="J3" i="41"/>
  <c r="N3" i="41" s="1"/>
  <c r="J171" i="41"/>
  <c r="N171" i="41" s="1"/>
  <c r="J6" i="41"/>
  <c r="N6" i="41" s="1"/>
  <c r="J107" i="41"/>
  <c r="N107" i="41" s="1"/>
  <c r="J52" i="41"/>
  <c r="N52" i="41" s="1"/>
  <c r="J44" i="41"/>
  <c r="N44" i="41" s="1"/>
  <c r="J19" i="41"/>
  <c r="N19" i="41" s="1"/>
  <c r="J12" i="41"/>
  <c r="N12" i="41" s="1"/>
  <c r="J4" i="41"/>
  <c r="N4" i="41" s="1"/>
  <c r="J183" i="41"/>
  <c r="N183" i="41" s="1"/>
  <c r="J128" i="41"/>
  <c r="N128" i="41" s="1"/>
  <c r="J64" i="41"/>
  <c r="N64" i="41" s="1"/>
  <c r="J41" i="41"/>
  <c r="N41" i="41" s="1"/>
  <c r="J14" i="41"/>
  <c r="N14" i="41" s="1"/>
  <c r="J8" i="41"/>
  <c r="N8" i="41" s="1"/>
  <c r="J40" i="41"/>
  <c r="N40" i="41" s="1"/>
  <c r="J161" i="41"/>
  <c r="N161" i="41" s="1"/>
  <c r="J139" i="41"/>
  <c r="N139" i="41" s="1"/>
  <c r="J86" i="41"/>
  <c r="N86" i="41" s="1"/>
  <c r="J80" i="41"/>
  <c r="N80" i="41" s="1"/>
  <c r="J74" i="41"/>
  <c r="N74" i="41" s="1"/>
  <c r="J60" i="41"/>
  <c r="N60" i="41" s="1"/>
  <c r="J39" i="41"/>
  <c r="J37" i="41"/>
  <c r="N37" i="41" s="1"/>
  <c r="J35" i="41"/>
  <c r="N35" i="41" s="1"/>
  <c r="J33" i="41"/>
  <c r="N33" i="41" s="1"/>
  <c r="J18" i="41"/>
  <c r="N18" i="41" s="1"/>
  <c r="J13" i="41"/>
  <c r="N13" i="41" s="1"/>
  <c r="J5" i="41"/>
  <c r="N5" i="41" s="1"/>
  <c r="J25" i="41"/>
  <c r="N25" i="41" s="1"/>
  <c r="J193" i="41"/>
  <c r="N193" i="41" s="1"/>
  <c r="J127" i="41"/>
  <c r="N127" i="41" s="1"/>
  <c r="J119" i="41"/>
  <c r="N119" i="41" s="1"/>
  <c r="J104" i="41"/>
  <c r="N104" i="41" s="1"/>
  <c r="J97" i="41"/>
  <c r="N97" i="41" s="1"/>
  <c r="J59" i="41"/>
  <c r="N59" i="41" s="1"/>
  <c r="J17" i="41"/>
  <c r="N17" i="41" s="1"/>
  <c r="J7" i="41"/>
  <c r="N7" i="41" s="1"/>
  <c r="J68" i="41"/>
  <c r="N68" i="41" s="1"/>
  <c r="J16" i="41"/>
  <c r="N16" i="41" s="1"/>
  <c r="J34" i="41"/>
  <c r="N34" i="41" s="1"/>
  <c r="J9" i="41"/>
  <c r="N9" i="41" s="1"/>
  <c r="I6" i="41"/>
  <c r="I9" i="41" s="1"/>
  <c r="I7" i="41"/>
  <c r="I10" i="41" s="1"/>
  <c r="I19" i="41"/>
  <c r="I20" i="41"/>
  <c r="I43" i="43" l="1"/>
  <c r="N39" i="43"/>
  <c r="L200" i="43"/>
  <c r="L192" i="43"/>
  <c r="L184" i="43"/>
  <c r="L176" i="43"/>
  <c r="L168" i="43"/>
  <c r="L160" i="43"/>
  <c r="L152" i="43"/>
  <c r="L144" i="43"/>
  <c r="L136" i="43"/>
  <c r="L128" i="43"/>
  <c r="L120" i="43"/>
  <c r="L112" i="43"/>
  <c r="L201" i="43"/>
  <c r="L193" i="43"/>
  <c r="L185" i="43"/>
  <c r="L177" i="43"/>
  <c r="L169" i="43"/>
  <c r="L161" i="43"/>
  <c r="L153" i="43"/>
  <c r="L145" i="43"/>
  <c r="L137" i="43"/>
  <c r="L129" i="43"/>
  <c r="L121" i="43"/>
  <c r="L113" i="43"/>
  <c r="L197" i="43"/>
  <c r="L189" i="43"/>
  <c r="L181" i="43"/>
  <c r="L173" i="43"/>
  <c r="L165" i="43"/>
  <c r="L157" i="43"/>
  <c r="L149" i="43"/>
  <c r="L141" i="43"/>
  <c r="L133" i="43"/>
  <c r="L125" i="43"/>
  <c r="L117" i="43"/>
  <c r="L109" i="43"/>
  <c r="L199" i="43"/>
  <c r="L188" i="43"/>
  <c r="L186" i="43"/>
  <c r="L166" i="43"/>
  <c r="L155" i="43"/>
  <c r="L135" i="43"/>
  <c r="L124" i="43"/>
  <c r="L122" i="43"/>
  <c r="L101" i="43"/>
  <c r="L93" i="43"/>
  <c r="L85" i="43"/>
  <c r="L77" i="43"/>
  <c r="L69" i="43"/>
  <c r="L195" i="43"/>
  <c r="L175" i="43"/>
  <c r="L164" i="43"/>
  <c r="L162" i="43"/>
  <c r="L142" i="43"/>
  <c r="L131" i="43"/>
  <c r="L111" i="43"/>
  <c r="L102" i="43"/>
  <c r="L94" i="43"/>
  <c r="L86" i="43"/>
  <c r="L78" i="43"/>
  <c r="L70" i="43"/>
  <c r="L204" i="43"/>
  <c r="L202" i="43"/>
  <c r="L182" i="43"/>
  <c r="L171" i="43"/>
  <c r="L151" i="43"/>
  <c r="L140" i="43"/>
  <c r="L138" i="43"/>
  <c r="L118" i="43"/>
  <c r="L104" i="43"/>
  <c r="L95" i="43"/>
  <c r="L87" i="43"/>
  <c r="L79" i="43"/>
  <c r="L71" i="43"/>
  <c r="L191" i="43"/>
  <c r="L180" i="43"/>
  <c r="L178" i="43"/>
  <c r="L158" i="43"/>
  <c r="L147" i="43"/>
  <c r="L127" i="43"/>
  <c r="L196" i="43"/>
  <c r="L194" i="43"/>
  <c r="L174" i="43"/>
  <c r="L163" i="43"/>
  <c r="L143" i="43"/>
  <c r="L132" i="43"/>
  <c r="L130" i="43"/>
  <c r="L110" i="43"/>
  <c r="L107" i="43"/>
  <c r="L98" i="43"/>
  <c r="L90" i="43"/>
  <c r="L150" i="43"/>
  <c r="L126" i="43"/>
  <c r="L99" i="43"/>
  <c r="L57" i="43"/>
  <c r="L49" i="43"/>
  <c r="L39" i="43"/>
  <c r="L32" i="43"/>
  <c r="L31" i="43"/>
  <c r="L203" i="43"/>
  <c r="L198" i="43"/>
  <c r="L179" i="43"/>
  <c r="L154" i="43"/>
  <c r="L92" i="43"/>
  <c r="L75" i="43"/>
  <c r="L73" i="43"/>
  <c r="L65" i="43"/>
  <c r="L58" i="43"/>
  <c r="L50" i="43"/>
  <c r="L40" i="43"/>
  <c r="L183" i="43"/>
  <c r="L159" i="43"/>
  <c r="L139" i="43"/>
  <c r="L134" i="43"/>
  <c r="L116" i="43"/>
  <c r="L96" i="43"/>
  <c r="L84" i="43"/>
  <c r="L82" i="43"/>
  <c r="L80" i="43"/>
  <c r="L68" i="43"/>
  <c r="L59" i="43"/>
  <c r="L51" i="43"/>
  <c r="L41" i="43"/>
  <c r="L33" i="43"/>
  <c r="L187" i="43"/>
  <c r="L106" i="43"/>
  <c r="L89" i="43"/>
  <c r="L60" i="43"/>
  <c r="L52" i="43"/>
  <c r="L115" i="43"/>
  <c r="L100" i="43"/>
  <c r="L76" i="43"/>
  <c r="L74" i="43"/>
  <c r="L72" i="43"/>
  <c r="L62" i="43"/>
  <c r="L54" i="43"/>
  <c r="L46" i="43"/>
  <c r="L45" i="43"/>
  <c r="L44" i="43"/>
  <c r="L190" i="43"/>
  <c r="L123" i="43"/>
  <c r="L105" i="43"/>
  <c r="L64" i="43"/>
  <c r="L28" i="43"/>
  <c r="L22" i="43"/>
  <c r="L8" i="43"/>
  <c r="L156" i="43"/>
  <c r="L25" i="43"/>
  <c r="L148" i="43"/>
  <c r="L91" i="43"/>
  <c r="L81" i="43"/>
  <c r="L16" i="43"/>
  <c r="L9" i="43"/>
  <c r="L170" i="43"/>
  <c r="L172" i="43"/>
  <c r="L97" i="43"/>
  <c r="L67" i="43"/>
  <c r="L63" i="43"/>
  <c r="L48" i="43"/>
  <c r="L42" i="43"/>
  <c r="L30" i="43"/>
  <c r="L23" i="43"/>
  <c r="L17" i="43"/>
  <c r="L10" i="43"/>
  <c r="L2" i="43"/>
  <c r="L47" i="43"/>
  <c r="L29" i="43"/>
  <c r="L146" i="43"/>
  <c r="L119" i="43"/>
  <c r="L66" i="43"/>
  <c r="L38" i="43"/>
  <c r="L24" i="43"/>
  <c r="L11" i="43"/>
  <c r="L3" i="43"/>
  <c r="L108" i="43"/>
  <c r="L53" i="43"/>
  <c r="L167" i="43"/>
  <c r="L56" i="43"/>
  <c r="L37" i="43"/>
  <c r="L19" i="43"/>
  <c r="L13" i="43"/>
  <c r="L5" i="43"/>
  <c r="L88" i="43"/>
  <c r="L83" i="43"/>
  <c r="L61" i="43"/>
  <c r="L36" i="43"/>
  <c r="L34" i="43"/>
  <c r="L20" i="43"/>
  <c r="L14" i="43"/>
  <c r="L26" i="43"/>
  <c r="L12" i="43"/>
  <c r="L18" i="43"/>
  <c r="L15" i="43"/>
  <c r="L4" i="43"/>
  <c r="L55" i="43"/>
  <c r="L35" i="43"/>
  <c r="L21" i="43"/>
  <c r="L27" i="43"/>
  <c r="L6" i="43"/>
  <c r="L7" i="43"/>
  <c r="L114" i="43"/>
  <c r="L43" i="43"/>
  <c r="I21" i="43"/>
  <c r="I22" i="43"/>
  <c r="I15" i="43"/>
  <c r="I13" i="43"/>
  <c r="I14" i="43" s="1"/>
  <c r="I17" i="42"/>
  <c r="L144" i="42" s="1"/>
  <c r="I13" i="42"/>
  <c r="I15" i="42"/>
  <c r="N39" i="42"/>
  <c r="I43" i="42"/>
  <c r="I15" i="41"/>
  <c r="I13" i="41"/>
  <c r="I17" i="41"/>
  <c r="I22" i="41" s="1"/>
  <c r="N39" i="41"/>
  <c r="I43" i="41"/>
  <c r="J3" i="36"/>
  <c r="J4" i="36"/>
  <c r="J5" i="36"/>
  <c r="J2" i="36"/>
  <c r="M201" i="43" l="1"/>
  <c r="P201" i="43" s="1"/>
  <c r="K199" i="43"/>
  <c r="O199" i="43" s="1"/>
  <c r="M193" i="43"/>
  <c r="P193" i="43" s="1"/>
  <c r="K191" i="43"/>
  <c r="O191" i="43" s="1"/>
  <c r="M185" i="43"/>
  <c r="P185" i="43" s="1"/>
  <c r="K183" i="43"/>
  <c r="O183" i="43" s="1"/>
  <c r="M177" i="43"/>
  <c r="P177" i="43" s="1"/>
  <c r="K175" i="43"/>
  <c r="O175" i="43" s="1"/>
  <c r="M169" i="43"/>
  <c r="P169" i="43" s="1"/>
  <c r="K167" i="43"/>
  <c r="O167" i="43" s="1"/>
  <c r="M161" i="43"/>
  <c r="P161" i="43" s="1"/>
  <c r="K159" i="43"/>
  <c r="O159" i="43" s="1"/>
  <c r="M153" i="43"/>
  <c r="P153" i="43" s="1"/>
  <c r="K151" i="43"/>
  <c r="O151" i="43" s="1"/>
  <c r="M145" i="43"/>
  <c r="P145" i="43" s="1"/>
  <c r="K143" i="43"/>
  <c r="O143" i="43" s="1"/>
  <c r="M137" i="43"/>
  <c r="P137" i="43" s="1"/>
  <c r="K135" i="43"/>
  <c r="O135" i="43" s="1"/>
  <c r="M129" i="43"/>
  <c r="P129" i="43" s="1"/>
  <c r="K127" i="43"/>
  <c r="O127" i="43" s="1"/>
  <c r="M121" i="43"/>
  <c r="P121" i="43" s="1"/>
  <c r="K119" i="43"/>
  <c r="O119" i="43" s="1"/>
  <c r="M113" i="43"/>
  <c r="P113" i="43" s="1"/>
  <c r="K111" i="43"/>
  <c r="O111" i="43" s="1"/>
  <c r="M202" i="43"/>
  <c r="P202" i="43" s="1"/>
  <c r="K200" i="43"/>
  <c r="O200" i="43" s="1"/>
  <c r="M194" i="43"/>
  <c r="P194" i="43" s="1"/>
  <c r="K192" i="43"/>
  <c r="O192" i="43" s="1"/>
  <c r="M186" i="43"/>
  <c r="P186" i="43" s="1"/>
  <c r="K184" i="43"/>
  <c r="O184" i="43" s="1"/>
  <c r="M178" i="43"/>
  <c r="P178" i="43" s="1"/>
  <c r="K176" i="43"/>
  <c r="O176" i="43" s="1"/>
  <c r="M170" i="43"/>
  <c r="P170" i="43" s="1"/>
  <c r="K168" i="43"/>
  <c r="O168" i="43" s="1"/>
  <c r="M162" i="43"/>
  <c r="P162" i="43" s="1"/>
  <c r="K160" i="43"/>
  <c r="O160" i="43" s="1"/>
  <c r="M154" i="43"/>
  <c r="P154" i="43" s="1"/>
  <c r="K152" i="43"/>
  <c r="O152" i="43" s="1"/>
  <c r="M146" i="43"/>
  <c r="P146" i="43" s="1"/>
  <c r="K144" i="43"/>
  <c r="O144" i="43" s="1"/>
  <c r="M138" i="43"/>
  <c r="P138" i="43" s="1"/>
  <c r="K136" i="43"/>
  <c r="O136" i="43" s="1"/>
  <c r="M130" i="43"/>
  <c r="P130" i="43" s="1"/>
  <c r="K128" i="43"/>
  <c r="O128" i="43" s="1"/>
  <c r="M122" i="43"/>
  <c r="P122" i="43" s="1"/>
  <c r="K120" i="43"/>
  <c r="O120" i="43" s="1"/>
  <c r="M114" i="43"/>
  <c r="P114" i="43" s="1"/>
  <c r="K112" i="43"/>
  <c r="O112" i="43" s="1"/>
  <c r="K204" i="43"/>
  <c r="O204" i="43" s="1"/>
  <c r="M198" i="43"/>
  <c r="P198" i="43" s="1"/>
  <c r="K196" i="43"/>
  <c r="O196" i="43" s="1"/>
  <c r="M190" i="43"/>
  <c r="P190" i="43" s="1"/>
  <c r="K188" i="43"/>
  <c r="O188" i="43" s="1"/>
  <c r="M182" i="43"/>
  <c r="P182" i="43" s="1"/>
  <c r="K180" i="43"/>
  <c r="O180" i="43" s="1"/>
  <c r="M174" i="43"/>
  <c r="P174" i="43" s="1"/>
  <c r="K172" i="43"/>
  <c r="O172" i="43" s="1"/>
  <c r="M166" i="43"/>
  <c r="P166" i="43" s="1"/>
  <c r="K164" i="43"/>
  <c r="O164" i="43" s="1"/>
  <c r="M158" i="43"/>
  <c r="P158" i="43" s="1"/>
  <c r="K156" i="43"/>
  <c r="O156" i="43" s="1"/>
  <c r="M150" i="43"/>
  <c r="P150" i="43" s="1"/>
  <c r="K148" i="43"/>
  <c r="O148" i="43" s="1"/>
  <c r="M142" i="43"/>
  <c r="P142" i="43" s="1"/>
  <c r="K140" i="43"/>
  <c r="O140" i="43" s="1"/>
  <c r="M134" i="43"/>
  <c r="P134" i="43" s="1"/>
  <c r="K132" i="43"/>
  <c r="O132" i="43" s="1"/>
  <c r="M126" i="43"/>
  <c r="P126" i="43" s="1"/>
  <c r="K124" i="43"/>
  <c r="O124" i="43" s="1"/>
  <c r="M118" i="43"/>
  <c r="P118" i="43" s="1"/>
  <c r="K116" i="43"/>
  <c r="O116" i="43" s="1"/>
  <c r="M110" i="43"/>
  <c r="P110" i="43" s="1"/>
  <c r="M197" i="43"/>
  <c r="P197" i="43" s="1"/>
  <c r="M195" i="43"/>
  <c r="P195" i="43" s="1"/>
  <c r="K190" i="43"/>
  <c r="O190" i="43" s="1"/>
  <c r="K179" i="43"/>
  <c r="O179" i="43" s="1"/>
  <c r="K177" i="43"/>
  <c r="O177" i="43" s="1"/>
  <c r="M175" i="43"/>
  <c r="P175" i="43" s="1"/>
  <c r="M164" i="43"/>
  <c r="P164" i="43" s="1"/>
  <c r="K157" i="43"/>
  <c r="O157" i="43" s="1"/>
  <c r="K146" i="43"/>
  <c r="O146" i="43" s="1"/>
  <c r="M144" i="43"/>
  <c r="P144" i="43" s="1"/>
  <c r="M133" i="43"/>
  <c r="P133" i="43" s="1"/>
  <c r="M131" i="43"/>
  <c r="P131" i="43" s="1"/>
  <c r="K126" i="43"/>
  <c r="O126" i="43" s="1"/>
  <c r="K115" i="43"/>
  <c r="O115" i="43" s="1"/>
  <c r="K113" i="43"/>
  <c r="O113" i="43" s="1"/>
  <c r="M111" i="43"/>
  <c r="P111" i="43" s="1"/>
  <c r="M102" i="43"/>
  <c r="P102" i="43" s="1"/>
  <c r="K100" i="43"/>
  <c r="O100" i="43" s="1"/>
  <c r="M94" i="43"/>
  <c r="P94" i="43" s="1"/>
  <c r="K92" i="43"/>
  <c r="O92" i="43" s="1"/>
  <c r="M86" i="43"/>
  <c r="P86" i="43" s="1"/>
  <c r="K84" i="43"/>
  <c r="O84" i="43" s="1"/>
  <c r="M78" i="43"/>
  <c r="P78" i="43" s="1"/>
  <c r="K76" i="43"/>
  <c r="O76" i="43" s="1"/>
  <c r="M70" i="43"/>
  <c r="P70" i="43" s="1"/>
  <c r="K68" i="43"/>
  <c r="O68" i="43" s="1"/>
  <c r="M204" i="43"/>
  <c r="P204" i="43" s="1"/>
  <c r="K197" i="43"/>
  <c r="O197" i="43" s="1"/>
  <c r="K186" i="43"/>
  <c r="O186" i="43" s="1"/>
  <c r="M184" i="43"/>
  <c r="P184" i="43" s="1"/>
  <c r="M173" i="43"/>
  <c r="P173" i="43" s="1"/>
  <c r="M171" i="43"/>
  <c r="P171" i="43" s="1"/>
  <c r="K166" i="43"/>
  <c r="O166" i="43" s="1"/>
  <c r="K155" i="43"/>
  <c r="O155" i="43" s="1"/>
  <c r="K153" i="43"/>
  <c r="O153" i="43" s="1"/>
  <c r="M151" i="43"/>
  <c r="P151" i="43" s="1"/>
  <c r="M140" i="43"/>
  <c r="P140" i="43" s="1"/>
  <c r="K133" i="43"/>
  <c r="O133" i="43" s="1"/>
  <c r="K122" i="43"/>
  <c r="O122" i="43" s="1"/>
  <c r="M120" i="43"/>
  <c r="P120" i="43" s="1"/>
  <c r="M109" i="43"/>
  <c r="P109" i="43" s="1"/>
  <c r="M104" i="43"/>
  <c r="P104" i="43" s="1"/>
  <c r="K101" i="43"/>
  <c r="O101" i="43" s="1"/>
  <c r="M95" i="43"/>
  <c r="P95" i="43" s="1"/>
  <c r="K93" i="43"/>
  <c r="O93" i="43" s="1"/>
  <c r="M87" i="43"/>
  <c r="P87" i="43" s="1"/>
  <c r="K85" i="43"/>
  <c r="O85" i="43" s="1"/>
  <c r="M79" i="43"/>
  <c r="P79" i="43" s="1"/>
  <c r="K77" i="43"/>
  <c r="O77" i="43" s="1"/>
  <c r="M71" i="43"/>
  <c r="P71" i="43" s="1"/>
  <c r="K69" i="43"/>
  <c r="O69" i="43" s="1"/>
  <c r="K195" i="43"/>
  <c r="O195" i="43" s="1"/>
  <c r="K193" i="43"/>
  <c r="O193" i="43" s="1"/>
  <c r="M191" i="43"/>
  <c r="P191" i="43" s="1"/>
  <c r="M180" i="43"/>
  <c r="P180" i="43" s="1"/>
  <c r="K173" i="43"/>
  <c r="O173" i="43" s="1"/>
  <c r="K162" i="43"/>
  <c r="O162" i="43" s="1"/>
  <c r="M160" i="43"/>
  <c r="P160" i="43" s="1"/>
  <c r="M149" i="43"/>
  <c r="P149" i="43" s="1"/>
  <c r="M147" i="43"/>
  <c r="P147" i="43" s="1"/>
  <c r="K142" i="43"/>
  <c r="O142" i="43" s="1"/>
  <c r="K131" i="43"/>
  <c r="O131" i="43" s="1"/>
  <c r="K129" i="43"/>
  <c r="O129" i="43" s="1"/>
  <c r="M127" i="43"/>
  <c r="P127" i="43" s="1"/>
  <c r="M116" i="43"/>
  <c r="P116" i="43" s="1"/>
  <c r="K109" i="43"/>
  <c r="O109" i="43" s="1"/>
  <c r="M105" i="43"/>
  <c r="P105" i="43" s="1"/>
  <c r="K102" i="43"/>
  <c r="O102" i="43" s="1"/>
  <c r="M96" i="43"/>
  <c r="P96" i="43" s="1"/>
  <c r="K94" i="43"/>
  <c r="O94" i="43" s="1"/>
  <c r="M88" i="43"/>
  <c r="P88" i="43" s="1"/>
  <c r="K86" i="43"/>
  <c r="O86" i="43" s="1"/>
  <c r="M80" i="43"/>
  <c r="P80" i="43" s="1"/>
  <c r="K78" i="43"/>
  <c r="O78" i="43" s="1"/>
  <c r="M72" i="43"/>
  <c r="P72" i="43" s="1"/>
  <c r="K202" i="43"/>
  <c r="O202" i="43" s="1"/>
  <c r="M200" i="43"/>
  <c r="P200" i="43" s="1"/>
  <c r="M189" i="43"/>
  <c r="P189" i="43" s="1"/>
  <c r="M187" i="43"/>
  <c r="P187" i="43" s="1"/>
  <c r="K182" i="43"/>
  <c r="O182" i="43" s="1"/>
  <c r="K171" i="43"/>
  <c r="O171" i="43" s="1"/>
  <c r="K169" i="43"/>
  <c r="O169" i="43" s="1"/>
  <c r="M167" i="43"/>
  <c r="P167" i="43" s="1"/>
  <c r="M156" i="43"/>
  <c r="P156" i="43" s="1"/>
  <c r="K149" i="43"/>
  <c r="O149" i="43" s="1"/>
  <c r="K138" i="43"/>
  <c r="O138" i="43" s="1"/>
  <c r="M136" i="43"/>
  <c r="P136" i="43" s="1"/>
  <c r="M125" i="43"/>
  <c r="P125" i="43" s="1"/>
  <c r="M123" i="43"/>
  <c r="P123" i="43" s="1"/>
  <c r="M203" i="43"/>
  <c r="P203" i="43" s="1"/>
  <c r="K198" i="43"/>
  <c r="O198" i="43" s="1"/>
  <c r="K187" i="43"/>
  <c r="O187" i="43" s="1"/>
  <c r="K185" i="43"/>
  <c r="O185" i="43" s="1"/>
  <c r="M183" i="43"/>
  <c r="P183" i="43" s="1"/>
  <c r="M172" i="43"/>
  <c r="P172" i="43" s="1"/>
  <c r="K165" i="43"/>
  <c r="O165" i="43" s="1"/>
  <c r="K154" i="43"/>
  <c r="O154" i="43" s="1"/>
  <c r="M152" i="43"/>
  <c r="P152" i="43" s="1"/>
  <c r="M141" i="43"/>
  <c r="P141" i="43" s="1"/>
  <c r="M139" i="43"/>
  <c r="P139" i="43" s="1"/>
  <c r="K134" i="43"/>
  <c r="O134" i="43" s="1"/>
  <c r="K123" i="43"/>
  <c r="O123" i="43" s="1"/>
  <c r="K121" i="43"/>
  <c r="O121" i="43" s="1"/>
  <c r="M119" i="43"/>
  <c r="P119" i="43" s="1"/>
  <c r="M108" i="43"/>
  <c r="P108" i="43" s="1"/>
  <c r="K106" i="43"/>
  <c r="O106" i="43" s="1"/>
  <c r="M99" i="43"/>
  <c r="P99" i="43" s="1"/>
  <c r="K97" i="43"/>
  <c r="O97" i="43" s="1"/>
  <c r="M91" i="43"/>
  <c r="P91" i="43" s="1"/>
  <c r="M199" i="43"/>
  <c r="P199" i="43" s="1"/>
  <c r="K194" i="43"/>
  <c r="O194" i="43" s="1"/>
  <c r="K189" i="43"/>
  <c r="O189" i="43" s="1"/>
  <c r="M179" i="43"/>
  <c r="P179" i="43" s="1"/>
  <c r="K170" i="43"/>
  <c r="O170" i="43" s="1"/>
  <c r="M155" i="43"/>
  <c r="P155" i="43" s="1"/>
  <c r="K145" i="43"/>
  <c r="O145" i="43" s="1"/>
  <c r="M117" i="43"/>
  <c r="P117" i="43" s="1"/>
  <c r="K110" i="43"/>
  <c r="O110" i="43" s="1"/>
  <c r="K107" i="43"/>
  <c r="O107" i="43" s="1"/>
  <c r="M92" i="43"/>
  <c r="P92" i="43" s="1"/>
  <c r="K90" i="43"/>
  <c r="O90" i="43" s="1"/>
  <c r="K88" i="43"/>
  <c r="O88" i="43" s="1"/>
  <c r="M77" i="43"/>
  <c r="P77" i="43" s="1"/>
  <c r="M75" i="43"/>
  <c r="P75" i="43" s="1"/>
  <c r="M73" i="43"/>
  <c r="P73" i="43" s="1"/>
  <c r="K67" i="43"/>
  <c r="O67" i="43" s="1"/>
  <c r="M65" i="43"/>
  <c r="P65" i="43" s="1"/>
  <c r="K64" i="43"/>
  <c r="O64" i="43" s="1"/>
  <c r="M58" i="43"/>
  <c r="P58" i="43" s="1"/>
  <c r="K56" i="43"/>
  <c r="O56" i="43" s="1"/>
  <c r="M50" i="43"/>
  <c r="P50" i="43" s="1"/>
  <c r="K48" i="43"/>
  <c r="O48" i="43" s="1"/>
  <c r="M40" i="43"/>
  <c r="P40" i="43" s="1"/>
  <c r="K30" i="43"/>
  <c r="O30" i="43" s="1"/>
  <c r="K29" i="43"/>
  <c r="O29" i="43" s="1"/>
  <c r="K28" i="43"/>
  <c r="O28" i="43" s="1"/>
  <c r="K174" i="43"/>
  <c r="O174" i="43" s="1"/>
  <c r="M159" i="43"/>
  <c r="P159" i="43" s="1"/>
  <c r="K150" i="43"/>
  <c r="O150" i="43" s="1"/>
  <c r="M135" i="43"/>
  <c r="P135" i="43" s="1"/>
  <c r="K130" i="43"/>
  <c r="O130" i="43" s="1"/>
  <c r="K125" i="43"/>
  <c r="O125" i="43" s="1"/>
  <c r="K117" i="43"/>
  <c r="O117" i="43" s="1"/>
  <c r="M101" i="43"/>
  <c r="P101" i="43" s="1"/>
  <c r="K99" i="43"/>
  <c r="O99" i="43" s="1"/>
  <c r="M84" i="43"/>
  <c r="P84" i="43" s="1"/>
  <c r="M82" i="43"/>
  <c r="P82" i="43" s="1"/>
  <c r="M68" i="43"/>
  <c r="P68" i="43" s="1"/>
  <c r="M59" i="43"/>
  <c r="P59" i="43" s="1"/>
  <c r="K57" i="43"/>
  <c r="O57" i="43" s="1"/>
  <c r="M51" i="43"/>
  <c r="P51" i="43" s="1"/>
  <c r="K49" i="43"/>
  <c r="O49" i="43" s="1"/>
  <c r="M41" i="43"/>
  <c r="P41" i="43" s="1"/>
  <c r="K39" i="43"/>
  <c r="O39" i="43" s="1"/>
  <c r="M33" i="43"/>
  <c r="P33" i="43" s="1"/>
  <c r="K32" i="43"/>
  <c r="O32" i="43" s="1"/>
  <c r="K31" i="43"/>
  <c r="O31" i="43" s="1"/>
  <c r="K203" i="43"/>
  <c r="O203" i="43" s="1"/>
  <c r="M188" i="43"/>
  <c r="P188" i="43" s="1"/>
  <c r="K178" i="43"/>
  <c r="O178" i="43" s="1"/>
  <c r="M163" i="43"/>
  <c r="P163" i="43" s="1"/>
  <c r="M106" i="43"/>
  <c r="P106" i="43" s="1"/>
  <c r="K104" i="43"/>
  <c r="O104" i="43" s="1"/>
  <c r="M89" i="43"/>
  <c r="P89" i="43" s="1"/>
  <c r="K75" i="43"/>
  <c r="O75" i="43" s="1"/>
  <c r="K73" i="43"/>
  <c r="O73" i="43" s="1"/>
  <c r="K71" i="43"/>
  <c r="O71" i="43" s="1"/>
  <c r="K65" i="43"/>
  <c r="O65" i="43" s="1"/>
  <c r="M60" i="43"/>
  <c r="P60" i="43" s="1"/>
  <c r="K58" i="43"/>
  <c r="O58" i="43" s="1"/>
  <c r="M52" i="43"/>
  <c r="P52" i="43" s="1"/>
  <c r="K50" i="43"/>
  <c r="O50" i="43" s="1"/>
  <c r="K40" i="43"/>
  <c r="O40" i="43" s="1"/>
  <c r="M34" i="43"/>
  <c r="P34" i="43" s="1"/>
  <c r="I30" i="43"/>
  <c r="M192" i="43"/>
  <c r="P192" i="43" s="1"/>
  <c r="M168" i="43"/>
  <c r="P168" i="43" s="1"/>
  <c r="K163" i="43"/>
  <c r="O163" i="43" s="1"/>
  <c r="K158" i="43"/>
  <c r="O158" i="43" s="1"/>
  <c r="M148" i="43"/>
  <c r="P148" i="43" s="1"/>
  <c r="M143" i="43"/>
  <c r="P143" i="43" s="1"/>
  <c r="K139" i="43"/>
  <c r="O139" i="43" s="1"/>
  <c r="M124" i="43"/>
  <c r="P124" i="43" s="1"/>
  <c r="M112" i="43"/>
  <c r="P112" i="43" s="1"/>
  <c r="M98" i="43"/>
  <c r="P98" i="43" s="1"/>
  <c r="K96" i="43"/>
  <c r="O96" i="43" s="1"/>
  <c r="K82" i="43"/>
  <c r="O82" i="43" s="1"/>
  <c r="K80" i="43"/>
  <c r="O80" i="43" s="1"/>
  <c r="M66" i="43"/>
  <c r="P66" i="43" s="1"/>
  <c r="M61" i="43"/>
  <c r="P61" i="43" s="1"/>
  <c r="K59" i="43"/>
  <c r="O59" i="43" s="1"/>
  <c r="M53" i="43"/>
  <c r="P53" i="43" s="1"/>
  <c r="K51" i="43"/>
  <c r="O51" i="43" s="1"/>
  <c r="M43" i="43"/>
  <c r="P43" i="43" s="1"/>
  <c r="M42" i="43"/>
  <c r="P42" i="43" s="1"/>
  <c r="K201" i="43"/>
  <c r="O201" i="43" s="1"/>
  <c r="M181" i="43"/>
  <c r="P181" i="43" s="1"/>
  <c r="M176" i="43"/>
  <c r="P176" i="43" s="1"/>
  <c r="M157" i="43"/>
  <c r="P157" i="43" s="1"/>
  <c r="K147" i="43"/>
  <c r="O147" i="43" s="1"/>
  <c r="M132" i="43"/>
  <c r="P132" i="43" s="1"/>
  <c r="K108" i="43"/>
  <c r="O108" i="43" s="1"/>
  <c r="M93" i="43"/>
  <c r="P93" i="43" s="1"/>
  <c r="K91" i="43"/>
  <c r="O91" i="43" s="1"/>
  <c r="M85" i="43"/>
  <c r="P85" i="43" s="1"/>
  <c r="M83" i="43"/>
  <c r="P83" i="43" s="1"/>
  <c r="M81" i="43"/>
  <c r="P81" i="43" s="1"/>
  <c r="K66" i="43"/>
  <c r="O66" i="43" s="1"/>
  <c r="M63" i="43"/>
  <c r="P63" i="43" s="1"/>
  <c r="K61" i="43"/>
  <c r="O61" i="43" s="1"/>
  <c r="M55" i="43"/>
  <c r="P55" i="43" s="1"/>
  <c r="K53" i="43"/>
  <c r="O53" i="43" s="1"/>
  <c r="M47" i="43"/>
  <c r="P47" i="43" s="1"/>
  <c r="K43" i="43"/>
  <c r="O43" i="43" s="1"/>
  <c r="K42" i="43"/>
  <c r="O42" i="43" s="1"/>
  <c r="M38" i="43"/>
  <c r="P38" i="43" s="1"/>
  <c r="M37" i="43"/>
  <c r="P37" i="43" s="1"/>
  <c r="M36" i="43"/>
  <c r="P36" i="43" s="1"/>
  <c r="K35" i="43"/>
  <c r="O35" i="43" s="1"/>
  <c r="K137" i="43"/>
  <c r="O137" i="43" s="1"/>
  <c r="K114" i="43"/>
  <c r="O114" i="43" s="1"/>
  <c r="K98" i="43"/>
  <c r="O98" i="43" s="1"/>
  <c r="K72" i="43"/>
  <c r="O72" i="43" s="1"/>
  <c r="K55" i="43"/>
  <c r="O55" i="43" s="1"/>
  <c r="K36" i="43"/>
  <c r="O36" i="43" s="1"/>
  <c r="I32" i="43"/>
  <c r="M31" i="43"/>
  <c r="P31" i="43" s="1"/>
  <c r="K21" i="43"/>
  <c r="O21" i="43" s="1"/>
  <c r="M16" i="43"/>
  <c r="P16" i="43" s="1"/>
  <c r="K15" i="43"/>
  <c r="O15" i="43" s="1"/>
  <c r="M9" i="43"/>
  <c r="P9" i="43" s="1"/>
  <c r="K7" i="43"/>
  <c r="O7" i="43" s="1"/>
  <c r="K118" i="43"/>
  <c r="O118" i="43" s="1"/>
  <c r="K70" i="43"/>
  <c r="O70" i="43" s="1"/>
  <c r="M44" i="43"/>
  <c r="P44" i="43" s="1"/>
  <c r="K161" i="43"/>
  <c r="O161" i="43" s="1"/>
  <c r="K105" i="43"/>
  <c r="O105" i="43" s="1"/>
  <c r="M97" i="43"/>
  <c r="P97" i="43" s="1"/>
  <c r="M76" i="43"/>
  <c r="P76" i="43" s="1"/>
  <c r="M67" i="43"/>
  <c r="P67" i="43" s="1"/>
  <c r="M54" i="43"/>
  <c r="P54" i="43" s="1"/>
  <c r="M48" i="43"/>
  <c r="P48" i="43" s="1"/>
  <c r="M45" i="43"/>
  <c r="P45" i="43" s="1"/>
  <c r="I31" i="43"/>
  <c r="M30" i="43"/>
  <c r="P30" i="43" s="1"/>
  <c r="M23" i="43"/>
  <c r="P23" i="43" s="1"/>
  <c r="K22" i="43"/>
  <c r="O22" i="43" s="1"/>
  <c r="M17" i="43"/>
  <c r="P17" i="43" s="1"/>
  <c r="M10" i="43"/>
  <c r="P10" i="43" s="1"/>
  <c r="K8" i="43"/>
  <c r="O8" i="43" s="1"/>
  <c r="M2" i="43"/>
  <c r="P2" i="43" s="1"/>
  <c r="K95" i="43"/>
  <c r="O95" i="43" s="1"/>
  <c r="M74" i="43"/>
  <c r="P74" i="43" s="1"/>
  <c r="M56" i="43"/>
  <c r="P56" i="43" s="1"/>
  <c r="K81" i="43"/>
  <c r="O81" i="43" s="1"/>
  <c r="K60" i="43"/>
  <c r="O60" i="43" s="1"/>
  <c r="M57" i="43"/>
  <c r="P57" i="43" s="1"/>
  <c r="K54" i="43"/>
  <c r="O54" i="43" s="1"/>
  <c r="K45" i="43"/>
  <c r="O45" i="43" s="1"/>
  <c r="K41" i="43"/>
  <c r="O41" i="43" s="1"/>
  <c r="M39" i="43"/>
  <c r="P39" i="43" s="1"/>
  <c r="M24" i="43"/>
  <c r="P24" i="43" s="1"/>
  <c r="K16" i="43"/>
  <c r="O16" i="43" s="1"/>
  <c r="M11" i="43"/>
  <c r="P11" i="43" s="1"/>
  <c r="K9" i="43"/>
  <c r="O9" i="43" s="1"/>
  <c r="M3" i="43"/>
  <c r="P3" i="43" s="1"/>
  <c r="M19" i="43"/>
  <c r="P19" i="43" s="1"/>
  <c r="M196" i="43"/>
  <c r="P196" i="43" s="1"/>
  <c r="M90" i="43"/>
  <c r="P90" i="43" s="1"/>
  <c r="K63" i="43"/>
  <c r="O63" i="43" s="1"/>
  <c r="M29" i="43"/>
  <c r="P29" i="43" s="1"/>
  <c r="M25" i="43"/>
  <c r="P25" i="43" s="1"/>
  <c r="K23" i="43"/>
  <c r="O23" i="43" s="1"/>
  <c r="M18" i="43"/>
  <c r="P18" i="43" s="1"/>
  <c r="K17" i="43"/>
  <c r="O17" i="43" s="1"/>
  <c r="M12" i="43"/>
  <c r="P12" i="43" s="1"/>
  <c r="K10" i="43"/>
  <c r="O10" i="43" s="1"/>
  <c r="M4" i="43"/>
  <c r="P4" i="43" s="1"/>
  <c r="K2" i="43"/>
  <c r="O2" i="43" s="1"/>
  <c r="K89" i="43"/>
  <c r="O89" i="43" s="1"/>
  <c r="M62" i="43"/>
  <c r="P62" i="43" s="1"/>
  <c r="K38" i="43"/>
  <c r="O38" i="43" s="1"/>
  <c r="K24" i="43"/>
  <c r="O24" i="43" s="1"/>
  <c r="K181" i="43"/>
  <c r="O181" i="43" s="1"/>
  <c r="M128" i="43"/>
  <c r="P128" i="43" s="1"/>
  <c r="M100" i="43"/>
  <c r="P100" i="43" s="1"/>
  <c r="K79" i="43"/>
  <c r="O79" i="43" s="1"/>
  <c r="K74" i="43"/>
  <c r="O74" i="43" s="1"/>
  <c r="M69" i="43"/>
  <c r="P69" i="43" s="1"/>
  <c r="K62" i="43"/>
  <c r="O62" i="43" s="1"/>
  <c r="K47" i="43"/>
  <c r="O47" i="43" s="1"/>
  <c r="K44" i="43"/>
  <c r="O44" i="43" s="1"/>
  <c r="M35" i="43"/>
  <c r="P35" i="43" s="1"/>
  <c r="M27" i="43"/>
  <c r="P27" i="43" s="1"/>
  <c r="M26" i="43"/>
  <c r="P26" i="43" s="1"/>
  <c r="K25" i="43"/>
  <c r="O25" i="43" s="1"/>
  <c r="M20" i="43"/>
  <c r="P20" i="43" s="1"/>
  <c r="K18" i="43"/>
  <c r="O18" i="43" s="1"/>
  <c r="M14" i="43"/>
  <c r="P14" i="43" s="1"/>
  <c r="K12" i="43"/>
  <c r="O12" i="43" s="1"/>
  <c r="M6" i="43"/>
  <c r="P6" i="43" s="1"/>
  <c r="K4" i="43"/>
  <c r="O4" i="43" s="1"/>
  <c r="K141" i="43"/>
  <c r="O141" i="43" s="1"/>
  <c r="M115" i="43"/>
  <c r="P115" i="43" s="1"/>
  <c r="M107" i="43"/>
  <c r="P107" i="43" s="1"/>
  <c r="M46" i="43"/>
  <c r="P46" i="43" s="1"/>
  <c r="K37" i="43"/>
  <c r="O37" i="43" s="1"/>
  <c r="M28" i="43"/>
  <c r="P28" i="43" s="1"/>
  <c r="M15" i="43"/>
  <c r="P15" i="43" s="1"/>
  <c r="K83" i="43"/>
  <c r="O83" i="43" s="1"/>
  <c r="M5" i="43"/>
  <c r="P5" i="43" s="1"/>
  <c r="K34" i="43"/>
  <c r="O34" i="43" s="1"/>
  <c r="K20" i="43"/>
  <c r="O20" i="43" s="1"/>
  <c r="K14" i="43"/>
  <c r="O14" i="43" s="1"/>
  <c r="M165" i="43"/>
  <c r="P165" i="43" s="1"/>
  <c r="K87" i="43"/>
  <c r="O87" i="43" s="1"/>
  <c r="M32" i="43"/>
  <c r="P32" i="43" s="1"/>
  <c r="M21" i="43"/>
  <c r="P21" i="43" s="1"/>
  <c r="K3" i="43"/>
  <c r="O3" i="43" s="1"/>
  <c r="K52" i="43"/>
  <c r="O52" i="43" s="1"/>
  <c r="K5" i="43"/>
  <c r="O5" i="43" s="1"/>
  <c r="M49" i="43"/>
  <c r="P49" i="43" s="1"/>
  <c r="K46" i="43"/>
  <c r="O46" i="43" s="1"/>
  <c r="K26" i="43"/>
  <c r="O26" i="43" s="1"/>
  <c r="M22" i="43"/>
  <c r="P22" i="43" s="1"/>
  <c r="K19" i="43"/>
  <c r="O19" i="43" s="1"/>
  <c r="K11" i="43"/>
  <c r="O11" i="43" s="1"/>
  <c r="M7" i="43"/>
  <c r="P7" i="43" s="1"/>
  <c r="M8" i="43"/>
  <c r="P8" i="43" s="1"/>
  <c r="K6" i="43"/>
  <c r="O6" i="43" s="1"/>
  <c r="M64" i="43"/>
  <c r="P64" i="43" s="1"/>
  <c r="K13" i="43"/>
  <c r="O13" i="43" s="1"/>
  <c r="K33" i="43"/>
  <c r="O33" i="43" s="1"/>
  <c r="K27" i="43"/>
  <c r="O27" i="43" s="1"/>
  <c r="M13" i="43"/>
  <c r="P13" i="43" s="1"/>
  <c r="I27" i="43"/>
  <c r="I28" i="43"/>
  <c r="I29" i="43"/>
  <c r="L133" i="42"/>
  <c r="L81" i="42"/>
  <c r="L23" i="42"/>
  <c r="L62" i="42"/>
  <c r="L61" i="42"/>
  <c r="L190" i="42"/>
  <c r="L162" i="42"/>
  <c r="L33" i="42"/>
  <c r="L69" i="42"/>
  <c r="L167" i="42"/>
  <c r="L198" i="42"/>
  <c r="L121" i="42"/>
  <c r="L46" i="42"/>
  <c r="L26" i="42"/>
  <c r="L141" i="42"/>
  <c r="L156" i="42"/>
  <c r="L129" i="42"/>
  <c r="I22" i="42"/>
  <c r="L52" i="42"/>
  <c r="L27" i="42"/>
  <c r="L173" i="42"/>
  <c r="L89" i="42"/>
  <c r="L164" i="42"/>
  <c r="L185" i="42"/>
  <c r="L68" i="42"/>
  <c r="L32" i="42"/>
  <c r="L99" i="42"/>
  <c r="L123" i="42"/>
  <c r="L127" i="42"/>
  <c r="L166" i="42"/>
  <c r="L25" i="42"/>
  <c r="L58" i="42"/>
  <c r="L110" i="42"/>
  <c r="L187" i="42"/>
  <c r="L5" i="42"/>
  <c r="L47" i="42"/>
  <c r="L193" i="42"/>
  <c r="L40" i="42"/>
  <c r="L13" i="42"/>
  <c r="L55" i="42"/>
  <c r="L131" i="42"/>
  <c r="L152" i="42"/>
  <c r="L94" i="42"/>
  <c r="L24" i="42"/>
  <c r="L7" i="42"/>
  <c r="L35" i="42"/>
  <c r="L66" i="42"/>
  <c r="L125" i="42"/>
  <c r="L195" i="42"/>
  <c r="L154" i="42"/>
  <c r="L160" i="42"/>
  <c r="I21" i="42"/>
  <c r="I29" i="42" s="1"/>
  <c r="L39" i="42"/>
  <c r="L80" i="42"/>
  <c r="L119" i="42"/>
  <c r="L19" i="42"/>
  <c r="L77" i="42"/>
  <c r="L142" i="42"/>
  <c r="L175" i="42"/>
  <c r="L63" i="42"/>
  <c r="L108" i="42"/>
  <c r="L139" i="42"/>
  <c r="L201" i="42"/>
  <c r="L100" i="42"/>
  <c r="L86" i="42"/>
  <c r="L37" i="42"/>
  <c r="L157" i="42"/>
  <c r="L178" i="42"/>
  <c r="L3" i="42"/>
  <c r="L70" i="42"/>
  <c r="L165" i="42"/>
  <c r="L92" i="42"/>
  <c r="L28" i="42"/>
  <c r="L151" i="42"/>
  <c r="L44" i="42"/>
  <c r="L78" i="42"/>
  <c r="L60" i="42"/>
  <c r="L93" i="42"/>
  <c r="L67" i="42"/>
  <c r="L189" i="42"/>
  <c r="L90" i="42"/>
  <c r="L49" i="42"/>
  <c r="L109" i="42"/>
  <c r="L79" i="42"/>
  <c r="L191" i="42"/>
  <c r="L124" i="42"/>
  <c r="L188" i="42"/>
  <c r="L155" i="42"/>
  <c r="L122" i="42"/>
  <c r="L186" i="42"/>
  <c r="L153" i="42"/>
  <c r="L120" i="42"/>
  <c r="L184" i="42"/>
  <c r="L149" i="42"/>
  <c r="L135" i="42"/>
  <c r="L54" i="42"/>
  <c r="L59" i="42"/>
  <c r="L42" i="42"/>
  <c r="L71" i="42"/>
  <c r="L116" i="42"/>
  <c r="L147" i="42"/>
  <c r="L114" i="42"/>
  <c r="L145" i="42"/>
  <c r="L176" i="42"/>
  <c r="L88" i="42"/>
  <c r="L76" i="42"/>
  <c r="L117" i="42"/>
  <c r="L6" i="42"/>
  <c r="L84" i="42"/>
  <c r="L101" i="42"/>
  <c r="L38" i="42"/>
  <c r="L57" i="42"/>
  <c r="L87" i="42"/>
  <c r="L132" i="42"/>
  <c r="L163" i="42"/>
  <c r="L130" i="42"/>
  <c r="L194" i="42"/>
  <c r="L161" i="42"/>
  <c r="L192" i="42"/>
  <c r="L11" i="42"/>
  <c r="L10" i="42"/>
  <c r="L9" i="42"/>
  <c r="L22" i="42"/>
  <c r="L134" i="42"/>
  <c r="L30" i="42"/>
  <c r="L14" i="42"/>
  <c r="L102" i="42"/>
  <c r="L12" i="42"/>
  <c r="L45" i="42"/>
  <c r="L111" i="42"/>
  <c r="L83" i="42"/>
  <c r="L43" i="42"/>
  <c r="L107" i="42"/>
  <c r="L65" i="42"/>
  <c r="L158" i="42"/>
  <c r="L95" i="42"/>
  <c r="L174" i="42"/>
  <c r="L140" i="42"/>
  <c r="L204" i="42"/>
  <c r="L171" i="42"/>
  <c r="L138" i="42"/>
  <c r="L202" i="42"/>
  <c r="L169" i="42"/>
  <c r="L136" i="42"/>
  <c r="L200" i="42"/>
  <c r="L4" i="42"/>
  <c r="L105" i="42"/>
  <c r="L15" i="42"/>
  <c r="L36" i="42"/>
  <c r="L48" i="42"/>
  <c r="L51" i="42"/>
  <c r="L74" i="42"/>
  <c r="L97" i="42"/>
  <c r="L159" i="42"/>
  <c r="L172" i="42"/>
  <c r="L203" i="42"/>
  <c r="L170" i="42"/>
  <c r="L137" i="42"/>
  <c r="L168" i="42"/>
  <c r="L64" i="42"/>
  <c r="L21" i="42"/>
  <c r="L72" i="42"/>
  <c r="L85" i="42"/>
  <c r="L82" i="42"/>
  <c r="L106" i="42"/>
  <c r="L181" i="42"/>
  <c r="L180" i="42"/>
  <c r="L112" i="42"/>
  <c r="L2" i="42"/>
  <c r="L8" i="42"/>
  <c r="L29" i="42"/>
  <c r="L96" i="42"/>
  <c r="L183" i="42"/>
  <c r="L75" i="42"/>
  <c r="L98" i="42"/>
  <c r="L143" i="42"/>
  <c r="L199" i="42"/>
  <c r="L196" i="42"/>
  <c r="L128" i="42"/>
  <c r="L34" i="42"/>
  <c r="L17" i="42"/>
  <c r="L16" i="42"/>
  <c r="L31" i="42"/>
  <c r="L150" i="42"/>
  <c r="L56" i="42"/>
  <c r="L20" i="42"/>
  <c r="L197" i="42"/>
  <c r="L18" i="42"/>
  <c r="L53" i="42"/>
  <c r="L126" i="42"/>
  <c r="L91" i="42"/>
  <c r="L50" i="42"/>
  <c r="L118" i="42"/>
  <c r="L73" i="42"/>
  <c r="L41" i="42"/>
  <c r="L104" i="42"/>
  <c r="L182" i="42"/>
  <c r="L148" i="42"/>
  <c r="L115" i="42"/>
  <c r="L179" i="42"/>
  <c r="L146" i="42"/>
  <c r="L113" i="42"/>
  <c r="L177" i="42"/>
  <c r="I27" i="42"/>
  <c r="I28" i="42"/>
  <c r="H37" i="42" s="1"/>
  <c r="I14" i="42"/>
  <c r="L7" i="41"/>
  <c r="L98" i="41"/>
  <c r="L6" i="41"/>
  <c r="L20" i="41"/>
  <c r="L13" i="41"/>
  <c r="L196" i="41"/>
  <c r="L179" i="41"/>
  <c r="L180" i="41"/>
  <c r="L94" i="41"/>
  <c r="L131" i="41"/>
  <c r="L194" i="41"/>
  <c r="L105" i="41"/>
  <c r="L88" i="41"/>
  <c r="L68" i="41"/>
  <c r="L48" i="41"/>
  <c r="L189" i="41"/>
  <c r="L81" i="41"/>
  <c r="L102" i="41"/>
  <c r="L204" i="41"/>
  <c r="L133" i="41"/>
  <c r="L151" i="41"/>
  <c r="L138" i="41"/>
  <c r="L202" i="41"/>
  <c r="L168" i="41"/>
  <c r="I28" i="41"/>
  <c r="I14" i="41"/>
  <c r="L54" i="41"/>
  <c r="L21" i="41"/>
  <c r="L3" i="41"/>
  <c r="L18" i="41"/>
  <c r="L61" i="41"/>
  <c r="L165" i="41"/>
  <c r="L132" i="41"/>
  <c r="L89" i="41"/>
  <c r="L33" i="41"/>
  <c r="L109" i="41"/>
  <c r="L45" i="41"/>
  <c r="L74" i="41"/>
  <c r="L57" i="41"/>
  <c r="L56" i="41"/>
  <c r="L114" i="41"/>
  <c r="L198" i="41"/>
  <c r="L87" i="41"/>
  <c r="L126" i="41"/>
  <c r="L77" i="41"/>
  <c r="L153" i="41"/>
  <c r="L188" i="41"/>
  <c r="L159" i="41"/>
  <c r="L146" i="41"/>
  <c r="L112" i="41"/>
  <c r="L176" i="41"/>
  <c r="L82" i="41"/>
  <c r="L51" i="41"/>
  <c r="L148" i="41"/>
  <c r="L130" i="41"/>
  <c r="L16" i="41"/>
  <c r="L25" i="41"/>
  <c r="L15" i="41"/>
  <c r="L26" i="41"/>
  <c r="L187" i="41"/>
  <c r="L19" i="41"/>
  <c r="L137" i="41"/>
  <c r="L95" i="41"/>
  <c r="L34" i="41"/>
  <c r="L113" i="41"/>
  <c r="L58" i="41"/>
  <c r="L80" i="41"/>
  <c r="L65" i="41"/>
  <c r="L64" i="41"/>
  <c r="L116" i="41"/>
  <c r="L201" i="41"/>
  <c r="L163" i="41"/>
  <c r="L129" i="41"/>
  <c r="L85" i="41"/>
  <c r="L164" i="41"/>
  <c r="L190" i="41"/>
  <c r="L167" i="41"/>
  <c r="L154" i="41"/>
  <c r="L120" i="41"/>
  <c r="L184" i="41"/>
  <c r="L104" i="41"/>
  <c r="L32" i="41"/>
  <c r="L75" i="41"/>
  <c r="L143" i="41"/>
  <c r="L67" i="41"/>
  <c r="L9" i="41"/>
  <c r="L70" i="41"/>
  <c r="L4" i="41"/>
  <c r="L44" i="41"/>
  <c r="L182" i="41"/>
  <c r="L125" i="41"/>
  <c r="L35" i="41"/>
  <c r="L121" i="41"/>
  <c r="L156" i="41"/>
  <c r="L100" i="41"/>
  <c r="L73" i="41"/>
  <c r="L72" i="41"/>
  <c r="L118" i="41"/>
  <c r="L47" i="41"/>
  <c r="L172" i="41"/>
  <c r="L140" i="41"/>
  <c r="L93" i="41"/>
  <c r="L166" i="41"/>
  <c r="L111" i="41"/>
  <c r="L175" i="41"/>
  <c r="L162" i="41"/>
  <c r="L128" i="41"/>
  <c r="L192" i="41"/>
  <c r="L69" i="41"/>
  <c r="L60" i="41"/>
  <c r="L108" i="41"/>
  <c r="L193" i="41"/>
  <c r="L157" i="41"/>
  <c r="L160" i="41"/>
  <c r="L27" i="41"/>
  <c r="L17" i="41"/>
  <c r="L30" i="41"/>
  <c r="L115" i="41"/>
  <c r="L38" i="41"/>
  <c r="L110" i="41"/>
  <c r="L11" i="41"/>
  <c r="L23" i="41"/>
  <c r="L42" i="41"/>
  <c r="L24" i="41"/>
  <c r="L43" i="41"/>
  <c r="L2" i="41"/>
  <c r="L141" i="41"/>
  <c r="L12" i="41"/>
  <c r="L59" i="41"/>
  <c r="L36" i="41"/>
  <c r="L134" i="41"/>
  <c r="L37" i="41"/>
  <c r="L185" i="41"/>
  <c r="L174" i="41"/>
  <c r="L107" i="41"/>
  <c r="L79" i="41"/>
  <c r="L84" i="41"/>
  <c r="L122" i="41"/>
  <c r="L55" i="41"/>
  <c r="L181" i="41"/>
  <c r="L142" i="41"/>
  <c r="L101" i="41"/>
  <c r="L195" i="41"/>
  <c r="L119" i="41"/>
  <c r="L183" i="41"/>
  <c r="L170" i="41"/>
  <c r="L136" i="41"/>
  <c r="L200" i="41"/>
  <c r="L14" i="41"/>
  <c r="L83" i="41"/>
  <c r="L49" i="41"/>
  <c r="L177" i="41"/>
  <c r="L169" i="41"/>
  <c r="L29" i="41"/>
  <c r="L62" i="41"/>
  <c r="L28" i="41"/>
  <c r="L46" i="41"/>
  <c r="L8" i="41"/>
  <c r="L50" i="41"/>
  <c r="L66" i="41"/>
  <c r="L91" i="41"/>
  <c r="L41" i="41"/>
  <c r="L149" i="41"/>
  <c r="L39" i="41"/>
  <c r="L22" i="41"/>
  <c r="L203" i="41"/>
  <c r="L139" i="41"/>
  <c r="L99" i="41"/>
  <c r="L90" i="41"/>
  <c r="L124" i="41"/>
  <c r="L63" i="41"/>
  <c r="L78" i="41"/>
  <c r="L171" i="41"/>
  <c r="L117" i="41"/>
  <c r="L197" i="41"/>
  <c r="L127" i="41"/>
  <c r="L191" i="41"/>
  <c r="L178" i="41"/>
  <c r="L144" i="41"/>
  <c r="I21" i="41"/>
  <c r="I27" i="41" s="1"/>
  <c r="L10" i="41"/>
  <c r="L158" i="41"/>
  <c r="L92" i="41"/>
  <c r="L147" i="41"/>
  <c r="L5" i="41"/>
  <c r="L76" i="41"/>
  <c r="L97" i="41"/>
  <c r="L53" i="41"/>
  <c r="L161" i="41"/>
  <c r="L40" i="41"/>
  <c r="L31" i="41"/>
  <c r="L52" i="41"/>
  <c r="L150" i="41"/>
  <c r="L106" i="41"/>
  <c r="L96" i="41"/>
  <c r="L145" i="41"/>
  <c r="L71" i="41"/>
  <c r="L86" i="41"/>
  <c r="L173" i="41"/>
  <c r="L123" i="41"/>
  <c r="L155" i="41"/>
  <c r="L135" i="41"/>
  <c r="L199" i="41"/>
  <c r="L186" i="41"/>
  <c r="L152" i="41"/>
  <c r="U60" i="4"/>
  <c r="Q60" i="4" s="1"/>
  <c r="K60" i="4"/>
  <c r="H60" i="4"/>
  <c r="G60" i="4"/>
  <c r="H37" i="41" l="1"/>
  <c r="I45" i="41"/>
  <c r="H38" i="43"/>
  <c r="I45" i="43"/>
  <c r="I37" i="43"/>
  <c r="H41" i="43"/>
  <c r="H35" i="43"/>
  <c r="H34" i="43"/>
  <c r="I38" i="43"/>
  <c r="I46" i="43"/>
  <c r="H37" i="43"/>
  <c r="H40" i="43" s="1"/>
  <c r="H38" i="42"/>
  <c r="H40" i="42" s="1"/>
  <c r="M201" i="42"/>
  <c r="P201" i="42" s="1"/>
  <c r="K199" i="42"/>
  <c r="O199" i="42" s="1"/>
  <c r="M193" i="42"/>
  <c r="P193" i="42" s="1"/>
  <c r="K191" i="42"/>
  <c r="O191" i="42" s="1"/>
  <c r="M185" i="42"/>
  <c r="P185" i="42" s="1"/>
  <c r="K183" i="42"/>
  <c r="O183" i="42" s="1"/>
  <c r="M177" i="42"/>
  <c r="P177" i="42" s="1"/>
  <c r="K175" i="42"/>
  <c r="O175" i="42" s="1"/>
  <c r="M169" i="42"/>
  <c r="P169" i="42" s="1"/>
  <c r="K167" i="42"/>
  <c r="O167" i="42" s="1"/>
  <c r="M161" i="42"/>
  <c r="P161" i="42" s="1"/>
  <c r="K159" i="42"/>
  <c r="O159" i="42" s="1"/>
  <c r="M153" i="42"/>
  <c r="P153" i="42" s="1"/>
  <c r="K151" i="42"/>
  <c r="O151" i="42" s="1"/>
  <c r="M145" i="42"/>
  <c r="P145" i="42" s="1"/>
  <c r="K143" i="42"/>
  <c r="O143" i="42" s="1"/>
  <c r="M137" i="42"/>
  <c r="P137" i="42" s="1"/>
  <c r="K135" i="42"/>
  <c r="O135" i="42" s="1"/>
  <c r="M129" i="42"/>
  <c r="P129" i="42" s="1"/>
  <c r="K127" i="42"/>
  <c r="O127" i="42" s="1"/>
  <c r="M121" i="42"/>
  <c r="P121" i="42" s="1"/>
  <c r="K119" i="42"/>
  <c r="O119" i="42" s="1"/>
  <c r="M113" i="42"/>
  <c r="P113" i="42" s="1"/>
  <c r="K111" i="42"/>
  <c r="O111" i="42" s="1"/>
  <c r="M202" i="42"/>
  <c r="P202" i="42" s="1"/>
  <c r="K200" i="42"/>
  <c r="O200" i="42" s="1"/>
  <c r="M194" i="42"/>
  <c r="P194" i="42" s="1"/>
  <c r="K192" i="42"/>
  <c r="O192" i="42" s="1"/>
  <c r="M186" i="42"/>
  <c r="P186" i="42" s="1"/>
  <c r="K184" i="42"/>
  <c r="O184" i="42" s="1"/>
  <c r="M178" i="42"/>
  <c r="P178" i="42" s="1"/>
  <c r="K176" i="42"/>
  <c r="O176" i="42" s="1"/>
  <c r="M170" i="42"/>
  <c r="P170" i="42" s="1"/>
  <c r="K168" i="42"/>
  <c r="O168" i="42" s="1"/>
  <c r="M162" i="42"/>
  <c r="P162" i="42" s="1"/>
  <c r="K160" i="42"/>
  <c r="O160" i="42" s="1"/>
  <c r="M154" i="42"/>
  <c r="P154" i="42" s="1"/>
  <c r="K152" i="42"/>
  <c r="O152" i="42" s="1"/>
  <c r="M146" i="42"/>
  <c r="P146" i="42" s="1"/>
  <c r="K144" i="42"/>
  <c r="O144" i="42" s="1"/>
  <c r="M138" i="42"/>
  <c r="P138" i="42" s="1"/>
  <c r="K136" i="42"/>
  <c r="O136" i="42" s="1"/>
  <c r="M130" i="42"/>
  <c r="P130" i="42" s="1"/>
  <c r="K128" i="42"/>
  <c r="O128" i="42" s="1"/>
  <c r="M122" i="42"/>
  <c r="P122" i="42" s="1"/>
  <c r="K120" i="42"/>
  <c r="O120" i="42" s="1"/>
  <c r="M114" i="42"/>
  <c r="P114" i="42" s="1"/>
  <c r="K112" i="42"/>
  <c r="O112" i="42" s="1"/>
  <c r="M203" i="42"/>
  <c r="P203" i="42" s="1"/>
  <c r="K201" i="42"/>
  <c r="O201" i="42" s="1"/>
  <c r="M195" i="42"/>
  <c r="P195" i="42" s="1"/>
  <c r="K193" i="42"/>
  <c r="O193" i="42" s="1"/>
  <c r="M187" i="42"/>
  <c r="P187" i="42" s="1"/>
  <c r="K185" i="42"/>
  <c r="O185" i="42" s="1"/>
  <c r="M179" i="42"/>
  <c r="P179" i="42" s="1"/>
  <c r="K177" i="42"/>
  <c r="O177" i="42" s="1"/>
  <c r="M171" i="42"/>
  <c r="P171" i="42" s="1"/>
  <c r="K169" i="42"/>
  <c r="O169" i="42" s="1"/>
  <c r="M163" i="42"/>
  <c r="P163" i="42" s="1"/>
  <c r="K161" i="42"/>
  <c r="O161" i="42" s="1"/>
  <c r="M155" i="42"/>
  <c r="P155" i="42" s="1"/>
  <c r="K153" i="42"/>
  <c r="O153" i="42" s="1"/>
  <c r="M147" i="42"/>
  <c r="P147" i="42" s="1"/>
  <c r="K145" i="42"/>
  <c r="O145" i="42" s="1"/>
  <c r="M139" i="42"/>
  <c r="P139" i="42" s="1"/>
  <c r="K137" i="42"/>
  <c r="O137" i="42" s="1"/>
  <c r="M131" i="42"/>
  <c r="P131" i="42" s="1"/>
  <c r="K129" i="42"/>
  <c r="O129" i="42" s="1"/>
  <c r="M123" i="42"/>
  <c r="P123" i="42" s="1"/>
  <c r="K121" i="42"/>
  <c r="O121" i="42" s="1"/>
  <c r="M115" i="42"/>
  <c r="P115" i="42" s="1"/>
  <c r="K113" i="42"/>
  <c r="O113" i="42" s="1"/>
  <c r="M204" i="42"/>
  <c r="P204" i="42" s="1"/>
  <c r="K202" i="42"/>
  <c r="O202" i="42" s="1"/>
  <c r="M196" i="42"/>
  <c r="P196" i="42" s="1"/>
  <c r="K194" i="42"/>
  <c r="O194" i="42" s="1"/>
  <c r="M188" i="42"/>
  <c r="P188" i="42" s="1"/>
  <c r="K186" i="42"/>
  <c r="O186" i="42" s="1"/>
  <c r="M180" i="42"/>
  <c r="P180" i="42" s="1"/>
  <c r="K178" i="42"/>
  <c r="O178" i="42" s="1"/>
  <c r="M172" i="42"/>
  <c r="P172" i="42" s="1"/>
  <c r="K170" i="42"/>
  <c r="O170" i="42" s="1"/>
  <c r="M164" i="42"/>
  <c r="P164" i="42" s="1"/>
  <c r="K162" i="42"/>
  <c r="O162" i="42" s="1"/>
  <c r="M156" i="42"/>
  <c r="P156" i="42" s="1"/>
  <c r="K154" i="42"/>
  <c r="O154" i="42" s="1"/>
  <c r="M148" i="42"/>
  <c r="P148" i="42" s="1"/>
  <c r="K146" i="42"/>
  <c r="O146" i="42" s="1"/>
  <c r="M140" i="42"/>
  <c r="P140" i="42" s="1"/>
  <c r="K138" i="42"/>
  <c r="O138" i="42" s="1"/>
  <c r="M132" i="42"/>
  <c r="P132" i="42" s="1"/>
  <c r="K130" i="42"/>
  <c r="O130" i="42" s="1"/>
  <c r="M124" i="42"/>
  <c r="P124" i="42" s="1"/>
  <c r="K122" i="42"/>
  <c r="O122" i="42" s="1"/>
  <c r="M116" i="42"/>
  <c r="P116" i="42" s="1"/>
  <c r="K114" i="42"/>
  <c r="O114" i="42" s="1"/>
  <c r="M108" i="42"/>
  <c r="P108" i="42" s="1"/>
  <c r="K203" i="42"/>
  <c r="O203" i="42" s="1"/>
  <c r="M197" i="42"/>
  <c r="P197" i="42" s="1"/>
  <c r="K195" i="42"/>
  <c r="O195" i="42" s="1"/>
  <c r="M189" i="42"/>
  <c r="P189" i="42" s="1"/>
  <c r="K187" i="42"/>
  <c r="O187" i="42" s="1"/>
  <c r="M181" i="42"/>
  <c r="P181" i="42" s="1"/>
  <c r="K179" i="42"/>
  <c r="O179" i="42" s="1"/>
  <c r="M173" i="42"/>
  <c r="P173" i="42" s="1"/>
  <c r="K171" i="42"/>
  <c r="O171" i="42" s="1"/>
  <c r="M165" i="42"/>
  <c r="P165" i="42" s="1"/>
  <c r="K163" i="42"/>
  <c r="O163" i="42" s="1"/>
  <c r="M157" i="42"/>
  <c r="P157" i="42" s="1"/>
  <c r="K155" i="42"/>
  <c r="O155" i="42" s="1"/>
  <c r="M149" i="42"/>
  <c r="P149" i="42" s="1"/>
  <c r="K147" i="42"/>
  <c r="O147" i="42" s="1"/>
  <c r="M141" i="42"/>
  <c r="P141" i="42" s="1"/>
  <c r="K139" i="42"/>
  <c r="O139" i="42" s="1"/>
  <c r="M133" i="42"/>
  <c r="P133" i="42" s="1"/>
  <c r="K131" i="42"/>
  <c r="O131" i="42" s="1"/>
  <c r="M125" i="42"/>
  <c r="P125" i="42" s="1"/>
  <c r="K123" i="42"/>
  <c r="O123" i="42" s="1"/>
  <c r="M117" i="42"/>
  <c r="P117" i="42" s="1"/>
  <c r="K115" i="42"/>
  <c r="O115" i="42" s="1"/>
  <c r="M109" i="42"/>
  <c r="P109" i="42" s="1"/>
  <c r="M199" i="42"/>
  <c r="P199" i="42" s="1"/>
  <c r="K197" i="42"/>
  <c r="O197" i="42" s="1"/>
  <c r="M191" i="42"/>
  <c r="P191" i="42" s="1"/>
  <c r="K189" i="42"/>
  <c r="O189" i="42" s="1"/>
  <c r="M183" i="42"/>
  <c r="P183" i="42" s="1"/>
  <c r="K181" i="42"/>
  <c r="O181" i="42" s="1"/>
  <c r="M175" i="42"/>
  <c r="P175" i="42" s="1"/>
  <c r="K173" i="42"/>
  <c r="O173" i="42" s="1"/>
  <c r="M200" i="42"/>
  <c r="P200" i="42" s="1"/>
  <c r="K198" i="42"/>
  <c r="O198" i="42" s="1"/>
  <c r="M192" i="42"/>
  <c r="P192" i="42" s="1"/>
  <c r="K190" i="42"/>
  <c r="O190" i="42" s="1"/>
  <c r="K172" i="42"/>
  <c r="O172" i="42" s="1"/>
  <c r="M168" i="42"/>
  <c r="P168" i="42" s="1"/>
  <c r="K165" i="42"/>
  <c r="O165" i="42" s="1"/>
  <c r="K150" i="42"/>
  <c r="O150" i="42" s="1"/>
  <c r="M134" i="42"/>
  <c r="P134" i="42" s="1"/>
  <c r="M119" i="42"/>
  <c r="P119" i="42" s="1"/>
  <c r="K116" i="42"/>
  <c r="O116" i="42" s="1"/>
  <c r="M105" i="42"/>
  <c r="P105" i="42" s="1"/>
  <c r="K102" i="42"/>
  <c r="O102" i="42" s="1"/>
  <c r="M96" i="42"/>
  <c r="P96" i="42" s="1"/>
  <c r="K94" i="42"/>
  <c r="O94" i="42" s="1"/>
  <c r="M88" i="42"/>
  <c r="P88" i="42" s="1"/>
  <c r="K86" i="42"/>
  <c r="O86" i="42" s="1"/>
  <c r="M80" i="42"/>
  <c r="P80" i="42" s="1"/>
  <c r="K78" i="42"/>
  <c r="O78" i="42" s="1"/>
  <c r="M72" i="42"/>
  <c r="P72" i="42" s="1"/>
  <c r="K70" i="42"/>
  <c r="O70" i="42" s="1"/>
  <c r="M64" i="42"/>
  <c r="P64" i="42" s="1"/>
  <c r="K62" i="42"/>
  <c r="O62" i="42" s="1"/>
  <c r="M56" i="42"/>
  <c r="P56" i="42" s="1"/>
  <c r="K54" i="42"/>
  <c r="O54" i="42" s="1"/>
  <c r="M48" i="42"/>
  <c r="P48" i="42" s="1"/>
  <c r="K46" i="42"/>
  <c r="O46" i="42" s="1"/>
  <c r="K180" i="42"/>
  <c r="O180" i="42" s="1"/>
  <c r="M167" i="42"/>
  <c r="P167" i="42" s="1"/>
  <c r="K164" i="42"/>
  <c r="O164" i="42" s="1"/>
  <c r="M152" i="42"/>
  <c r="P152" i="42" s="1"/>
  <c r="K149" i="42"/>
  <c r="O149" i="42" s="1"/>
  <c r="K134" i="42"/>
  <c r="O134" i="42" s="1"/>
  <c r="M118" i="42"/>
  <c r="P118" i="42" s="1"/>
  <c r="M107" i="42"/>
  <c r="P107" i="42" s="1"/>
  <c r="K105" i="42"/>
  <c r="O105" i="42" s="1"/>
  <c r="M98" i="42"/>
  <c r="P98" i="42" s="1"/>
  <c r="K96" i="42"/>
  <c r="O96" i="42" s="1"/>
  <c r="M90" i="42"/>
  <c r="P90" i="42" s="1"/>
  <c r="K88" i="42"/>
  <c r="O88" i="42" s="1"/>
  <c r="M82" i="42"/>
  <c r="P82" i="42" s="1"/>
  <c r="K80" i="42"/>
  <c r="O80" i="42" s="1"/>
  <c r="M74" i="42"/>
  <c r="P74" i="42" s="1"/>
  <c r="K72" i="42"/>
  <c r="O72" i="42" s="1"/>
  <c r="M66" i="42"/>
  <c r="P66" i="42" s="1"/>
  <c r="K64" i="42"/>
  <c r="O64" i="42" s="1"/>
  <c r="M58" i="42"/>
  <c r="P58" i="42" s="1"/>
  <c r="K56" i="42"/>
  <c r="O56" i="42" s="1"/>
  <c r="M50" i="42"/>
  <c r="P50" i="42" s="1"/>
  <c r="K48" i="42"/>
  <c r="O48" i="42" s="1"/>
  <c r="M43" i="42"/>
  <c r="P43" i="42" s="1"/>
  <c r="M38" i="42"/>
  <c r="P38" i="42" s="1"/>
  <c r="M37" i="42"/>
  <c r="P37" i="42" s="1"/>
  <c r="M190" i="42"/>
  <c r="P190" i="42" s="1"/>
  <c r="M184" i="42"/>
  <c r="P184" i="42" s="1"/>
  <c r="K158" i="42"/>
  <c r="O158" i="42" s="1"/>
  <c r="M142" i="42"/>
  <c r="P142" i="42" s="1"/>
  <c r="M127" i="42"/>
  <c r="P127" i="42" s="1"/>
  <c r="K124" i="42"/>
  <c r="O124" i="42" s="1"/>
  <c r="M112" i="42"/>
  <c r="P112" i="42" s="1"/>
  <c r="K109" i="42"/>
  <c r="O109" i="42" s="1"/>
  <c r="K106" i="42"/>
  <c r="O106" i="42" s="1"/>
  <c r="M99" i="42"/>
  <c r="P99" i="42" s="1"/>
  <c r="K97" i="42"/>
  <c r="O97" i="42" s="1"/>
  <c r="M91" i="42"/>
  <c r="P91" i="42" s="1"/>
  <c r="K89" i="42"/>
  <c r="O89" i="42" s="1"/>
  <c r="M83" i="42"/>
  <c r="P83" i="42" s="1"/>
  <c r="K81" i="42"/>
  <c r="O81" i="42" s="1"/>
  <c r="M75" i="42"/>
  <c r="P75" i="42" s="1"/>
  <c r="K73" i="42"/>
  <c r="O73" i="42" s="1"/>
  <c r="M67" i="42"/>
  <c r="P67" i="42" s="1"/>
  <c r="K65" i="42"/>
  <c r="O65" i="42" s="1"/>
  <c r="M59" i="42"/>
  <c r="P59" i="42" s="1"/>
  <c r="K57" i="42"/>
  <c r="O57" i="42" s="1"/>
  <c r="M51" i="42"/>
  <c r="P51" i="42" s="1"/>
  <c r="K49" i="42"/>
  <c r="O49" i="42" s="1"/>
  <c r="K42" i="42"/>
  <c r="O42" i="42" s="1"/>
  <c r="M198" i="42"/>
  <c r="P198" i="42" s="1"/>
  <c r="M174" i="42"/>
  <c r="P174" i="42" s="1"/>
  <c r="M166" i="42"/>
  <c r="P166" i="42" s="1"/>
  <c r="M151" i="42"/>
  <c r="P151" i="42" s="1"/>
  <c r="K148" i="42"/>
  <c r="O148" i="42" s="1"/>
  <c r="M136" i="42"/>
  <c r="P136" i="42" s="1"/>
  <c r="K133" i="42"/>
  <c r="O133" i="42" s="1"/>
  <c r="K118" i="42"/>
  <c r="O118" i="42" s="1"/>
  <c r="K107" i="42"/>
  <c r="O107" i="42" s="1"/>
  <c r="M100" i="42"/>
  <c r="P100" i="42" s="1"/>
  <c r="K98" i="42"/>
  <c r="O98" i="42" s="1"/>
  <c r="M92" i="42"/>
  <c r="P92" i="42" s="1"/>
  <c r="K90" i="42"/>
  <c r="O90" i="42" s="1"/>
  <c r="M84" i="42"/>
  <c r="P84" i="42" s="1"/>
  <c r="K82" i="42"/>
  <c r="O82" i="42" s="1"/>
  <c r="M76" i="42"/>
  <c r="P76" i="42" s="1"/>
  <c r="K74" i="42"/>
  <c r="O74" i="42" s="1"/>
  <c r="M68" i="42"/>
  <c r="P68" i="42" s="1"/>
  <c r="K66" i="42"/>
  <c r="O66" i="42" s="1"/>
  <c r="M60" i="42"/>
  <c r="P60" i="42" s="1"/>
  <c r="K58" i="42"/>
  <c r="O58" i="42" s="1"/>
  <c r="M52" i="42"/>
  <c r="P52" i="42" s="1"/>
  <c r="K50" i="42"/>
  <c r="O50" i="42" s="1"/>
  <c r="M44" i="42"/>
  <c r="P44" i="42" s="1"/>
  <c r="K43" i="42"/>
  <c r="O43" i="42" s="1"/>
  <c r="K196" i="42"/>
  <c r="O196" i="42" s="1"/>
  <c r="M182" i="42"/>
  <c r="P182" i="42" s="1"/>
  <c r="K166" i="42"/>
  <c r="O166" i="42" s="1"/>
  <c r="M150" i="42"/>
  <c r="P150" i="42" s="1"/>
  <c r="M135" i="42"/>
  <c r="P135" i="42" s="1"/>
  <c r="K132" i="42"/>
  <c r="O132" i="42" s="1"/>
  <c r="M120" i="42"/>
  <c r="P120" i="42" s="1"/>
  <c r="K117" i="42"/>
  <c r="O117" i="42" s="1"/>
  <c r="M102" i="42"/>
  <c r="P102" i="42" s="1"/>
  <c r="K100" i="42"/>
  <c r="O100" i="42" s="1"/>
  <c r="M94" i="42"/>
  <c r="P94" i="42" s="1"/>
  <c r="K92" i="42"/>
  <c r="O92" i="42" s="1"/>
  <c r="M86" i="42"/>
  <c r="P86" i="42" s="1"/>
  <c r="K84" i="42"/>
  <c r="O84" i="42" s="1"/>
  <c r="M78" i="42"/>
  <c r="P78" i="42" s="1"/>
  <c r="K76" i="42"/>
  <c r="O76" i="42" s="1"/>
  <c r="M70" i="42"/>
  <c r="P70" i="42" s="1"/>
  <c r="K68" i="42"/>
  <c r="O68" i="42" s="1"/>
  <c r="M62" i="42"/>
  <c r="P62" i="42" s="1"/>
  <c r="K60" i="42"/>
  <c r="O60" i="42" s="1"/>
  <c r="M54" i="42"/>
  <c r="P54" i="42" s="1"/>
  <c r="K52" i="42"/>
  <c r="O52" i="42" s="1"/>
  <c r="M46" i="42"/>
  <c r="P46" i="42" s="1"/>
  <c r="K44" i="42"/>
  <c r="O44" i="42" s="1"/>
  <c r="K204" i="42"/>
  <c r="O204" i="42" s="1"/>
  <c r="K104" i="42"/>
  <c r="O104" i="42" s="1"/>
  <c r="M69" i="42"/>
  <c r="P69" i="42" s="1"/>
  <c r="M63" i="42"/>
  <c r="P63" i="42" s="1"/>
  <c r="M57" i="42"/>
  <c r="P57" i="42" s="1"/>
  <c r="K51" i="42"/>
  <c r="O51" i="42" s="1"/>
  <c r="K45" i="42"/>
  <c r="O45" i="42" s="1"/>
  <c r="K34" i="42"/>
  <c r="O34" i="42" s="1"/>
  <c r="K24" i="42"/>
  <c r="O24" i="42" s="1"/>
  <c r="M19" i="42"/>
  <c r="P19" i="42" s="1"/>
  <c r="M13" i="42"/>
  <c r="P13" i="42" s="1"/>
  <c r="K11" i="42"/>
  <c r="O11" i="42" s="1"/>
  <c r="K182" i="42"/>
  <c r="O182" i="42" s="1"/>
  <c r="M93" i="42"/>
  <c r="P93" i="42" s="1"/>
  <c r="M87" i="42"/>
  <c r="P87" i="42" s="1"/>
  <c r="M81" i="42"/>
  <c r="P81" i="42" s="1"/>
  <c r="K75" i="42"/>
  <c r="O75" i="42" s="1"/>
  <c r="K69" i="42"/>
  <c r="O69" i="42" s="1"/>
  <c r="K63" i="42"/>
  <c r="O63" i="42" s="1"/>
  <c r="M42" i="42"/>
  <c r="P42" i="42" s="1"/>
  <c r="M36" i="42"/>
  <c r="P36" i="42" s="1"/>
  <c r="K35" i="42"/>
  <c r="O35" i="42" s="1"/>
  <c r="M27" i="42"/>
  <c r="P27" i="42" s="1"/>
  <c r="M26" i="42"/>
  <c r="P26" i="42" s="1"/>
  <c r="K25" i="42"/>
  <c r="O25" i="42" s="1"/>
  <c r="M20" i="42"/>
  <c r="P20" i="42" s="1"/>
  <c r="K18" i="42"/>
  <c r="O18" i="42" s="1"/>
  <c r="M14" i="42"/>
  <c r="P14" i="42" s="1"/>
  <c r="K12" i="42"/>
  <c r="O12" i="42" s="1"/>
  <c r="M6" i="42"/>
  <c r="P6" i="42" s="1"/>
  <c r="K4" i="42"/>
  <c r="O4" i="42" s="1"/>
  <c r="M160" i="42"/>
  <c r="P160" i="42" s="1"/>
  <c r="M144" i="42"/>
  <c r="P144" i="42" s="1"/>
  <c r="M128" i="42"/>
  <c r="P128" i="42" s="1"/>
  <c r="M111" i="42"/>
  <c r="P111" i="42" s="1"/>
  <c r="M106" i="42"/>
  <c r="P106" i="42" s="1"/>
  <c r="K99" i="42"/>
  <c r="O99" i="42" s="1"/>
  <c r="K93" i="42"/>
  <c r="O93" i="42" s="1"/>
  <c r="K87" i="42"/>
  <c r="O87" i="42" s="1"/>
  <c r="M53" i="42"/>
  <c r="P53" i="42" s="1"/>
  <c r="M47" i="42"/>
  <c r="P47" i="42" s="1"/>
  <c r="M41" i="42"/>
  <c r="P41" i="42" s="1"/>
  <c r="M30" i="42"/>
  <c r="P30" i="42" s="1"/>
  <c r="M29" i="42"/>
  <c r="P29" i="42" s="1"/>
  <c r="M28" i="42"/>
  <c r="P28" i="42" s="1"/>
  <c r="M21" i="42"/>
  <c r="P21" i="42" s="1"/>
  <c r="K19" i="42"/>
  <c r="O19" i="42" s="1"/>
  <c r="M15" i="42"/>
  <c r="P15" i="42" s="1"/>
  <c r="K13" i="42"/>
  <c r="O13" i="42" s="1"/>
  <c r="M7" i="42"/>
  <c r="P7" i="42" s="1"/>
  <c r="K5" i="42"/>
  <c r="O5" i="42" s="1"/>
  <c r="M159" i="42"/>
  <c r="P159" i="42" s="1"/>
  <c r="M143" i="42"/>
  <c r="P143" i="42" s="1"/>
  <c r="M126" i="42"/>
  <c r="P126" i="42" s="1"/>
  <c r="M110" i="42"/>
  <c r="P110" i="42" s="1"/>
  <c r="M77" i="42"/>
  <c r="P77" i="42" s="1"/>
  <c r="M71" i="42"/>
  <c r="P71" i="42" s="1"/>
  <c r="M65" i="42"/>
  <c r="P65" i="42" s="1"/>
  <c r="K59" i="42"/>
  <c r="O59" i="42" s="1"/>
  <c r="K53" i="42"/>
  <c r="O53" i="42" s="1"/>
  <c r="K47" i="42"/>
  <c r="O47" i="42" s="1"/>
  <c r="K41" i="42"/>
  <c r="O41" i="42" s="1"/>
  <c r="M40" i="42"/>
  <c r="P40" i="42" s="1"/>
  <c r="K37" i="42"/>
  <c r="O37" i="42" s="1"/>
  <c r="K36" i="42"/>
  <c r="O36" i="42" s="1"/>
  <c r="M32" i="42"/>
  <c r="P32" i="42" s="1"/>
  <c r="M31" i="42"/>
  <c r="P31" i="42" s="1"/>
  <c r="K27" i="42"/>
  <c r="O27" i="42" s="1"/>
  <c r="K26" i="42"/>
  <c r="O26" i="42" s="1"/>
  <c r="M22" i="42"/>
  <c r="P22" i="42" s="1"/>
  <c r="K20" i="42"/>
  <c r="O20" i="42" s="1"/>
  <c r="K14" i="42"/>
  <c r="O14" i="42" s="1"/>
  <c r="M8" i="42"/>
  <c r="P8" i="42" s="1"/>
  <c r="K6" i="42"/>
  <c r="O6" i="42" s="1"/>
  <c r="M158" i="42"/>
  <c r="P158" i="42" s="1"/>
  <c r="K142" i="42"/>
  <c r="O142" i="42" s="1"/>
  <c r="K126" i="42"/>
  <c r="O126" i="42" s="1"/>
  <c r="K110" i="42"/>
  <c r="O110" i="42" s="1"/>
  <c r="M101" i="42"/>
  <c r="P101" i="42" s="1"/>
  <c r="M95" i="42"/>
  <c r="P95" i="42" s="1"/>
  <c r="M89" i="42"/>
  <c r="P89" i="42" s="1"/>
  <c r="K83" i="42"/>
  <c r="O83" i="42" s="1"/>
  <c r="K77" i="42"/>
  <c r="O77" i="42" s="1"/>
  <c r="K71" i="42"/>
  <c r="O71" i="42" s="1"/>
  <c r="K30" i="42"/>
  <c r="O30" i="42" s="1"/>
  <c r="K29" i="42"/>
  <c r="O29" i="42" s="1"/>
  <c r="K28" i="42"/>
  <c r="O28" i="42" s="1"/>
  <c r="K21" i="42"/>
  <c r="O21" i="42" s="1"/>
  <c r="M16" i="42"/>
  <c r="P16" i="42" s="1"/>
  <c r="K15" i="42"/>
  <c r="O15" i="42" s="1"/>
  <c r="M9" i="42"/>
  <c r="P9" i="42" s="1"/>
  <c r="K7" i="42"/>
  <c r="O7" i="42" s="1"/>
  <c r="K188" i="42"/>
  <c r="O188" i="42" s="1"/>
  <c r="M176" i="42"/>
  <c r="P176" i="42" s="1"/>
  <c r="K157" i="42"/>
  <c r="O157" i="42" s="1"/>
  <c r="K141" i="42"/>
  <c r="O141" i="42" s="1"/>
  <c r="K125" i="42"/>
  <c r="O125" i="42" s="1"/>
  <c r="K108" i="42"/>
  <c r="O108" i="42" s="1"/>
  <c r="K101" i="42"/>
  <c r="O101" i="42" s="1"/>
  <c r="K95" i="42"/>
  <c r="O95" i="42" s="1"/>
  <c r="M61" i="42"/>
  <c r="P61" i="42" s="1"/>
  <c r="M55" i="42"/>
  <c r="P55" i="42" s="1"/>
  <c r="M49" i="42"/>
  <c r="P49" i="42" s="1"/>
  <c r="K40" i="42"/>
  <c r="O40" i="42" s="1"/>
  <c r="M39" i="42"/>
  <c r="P39" i="42" s="1"/>
  <c r="M33" i="42"/>
  <c r="P33" i="42" s="1"/>
  <c r="K32" i="42"/>
  <c r="O32" i="42" s="1"/>
  <c r="K31" i="42"/>
  <c r="O31" i="42" s="1"/>
  <c r="M23" i="42"/>
  <c r="P23" i="42" s="1"/>
  <c r="K22" i="42"/>
  <c r="O22" i="42" s="1"/>
  <c r="M17" i="42"/>
  <c r="P17" i="42" s="1"/>
  <c r="M10" i="42"/>
  <c r="P10" i="42" s="1"/>
  <c r="K8" i="42"/>
  <c r="O8" i="42" s="1"/>
  <c r="M2" i="42"/>
  <c r="P2" i="42" s="1"/>
  <c r="K174" i="42"/>
  <c r="O174" i="42" s="1"/>
  <c r="K156" i="42"/>
  <c r="O156" i="42" s="1"/>
  <c r="K140" i="42"/>
  <c r="O140" i="42" s="1"/>
  <c r="M85" i="42"/>
  <c r="P85" i="42" s="1"/>
  <c r="M79" i="42"/>
  <c r="P79" i="42" s="1"/>
  <c r="M73" i="42"/>
  <c r="P73" i="42" s="1"/>
  <c r="K67" i="42"/>
  <c r="O67" i="42" s="1"/>
  <c r="K61" i="42"/>
  <c r="O61" i="42" s="1"/>
  <c r="K55" i="42"/>
  <c r="O55" i="42" s="1"/>
  <c r="M34" i="42"/>
  <c r="P34" i="42" s="1"/>
  <c r="I30" i="42"/>
  <c r="M24" i="42"/>
  <c r="P24" i="42" s="1"/>
  <c r="K16" i="42"/>
  <c r="O16" i="42" s="1"/>
  <c r="M11" i="42"/>
  <c r="P11" i="42" s="1"/>
  <c r="K9" i="42"/>
  <c r="O9" i="42" s="1"/>
  <c r="M3" i="42"/>
  <c r="P3" i="42" s="1"/>
  <c r="K85" i="42"/>
  <c r="O85" i="42" s="1"/>
  <c r="K23" i="42"/>
  <c r="O23" i="42" s="1"/>
  <c r="M12" i="42"/>
  <c r="P12" i="42" s="1"/>
  <c r="M35" i="42"/>
  <c r="P35" i="42" s="1"/>
  <c r="I31" i="42"/>
  <c r="K10" i="42"/>
  <c r="O10" i="42" s="1"/>
  <c r="K3" i="42"/>
  <c r="O3" i="42" s="1"/>
  <c r="M104" i="42"/>
  <c r="P104" i="42" s="1"/>
  <c r="K79" i="42"/>
  <c r="O79" i="42" s="1"/>
  <c r="K33" i="42"/>
  <c r="O33" i="42" s="1"/>
  <c r="M18" i="42"/>
  <c r="P18" i="42" s="1"/>
  <c r="M4" i="42"/>
  <c r="P4" i="42" s="1"/>
  <c r="K17" i="42"/>
  <c r="O17" i="42" s="1"/>
  <c r="M97" i="42"/>
  <c r="P97" i="42" s="1"/>
  <c r="K38" i="42"/>
  <c r="O38" i="42" s="1"/>
  <c r="K91" i="42"/>
  <c r="O91" i="42" s="1"/>
  <c r="M45" i="42"/>
  <c r="P45" i="42" s="1"/>
  <c r="I32" i="42"/>
  <c r="M5" i="42"/>
  <c r="P5" i="42" s="1"/>
  <c r="K2" i="42"/>
  <c r="O2" i="42" s="1"/>
  <c r="K39" i="42"/>
  <c r="O39" i="42" s="1"/>
  <c r="M25" i="42"/>
  <c r="P25" i="42" s="1"/>
  <c r="M201" i="41"/>
  <c r="P201" i="41" s="1"/>
  <c r="K199" i="41"/>
  <c r="O199" i="41" s="1"/>
  <c r="M193" i="41"/>
  <c r="P193" i="41" s="1"/>
  <c r="K191" i="41"/>
  <c r="O191" i="41" s="1"/>
  <c r="M185" i="41"/>
  <c r="P185" i="41" s="1"/>
  <c r="K183" i="41"/>
  <c r="O183" i="41" s="1"/>
  <c r="M177" i="41"/>
  <c r="P177" i="41" s="1"/>
  <c r="K175" i="41"/>
  <c r="O175" i="41" s="1"/>
  <c r="M169" i="41"/>
  <c r="P169" i="41" s="1"/>
  <c r="K167" i="41"/>
  <c r="O167" i="41" s="1"/>
  <c r="M161" i="41"/>
  <c r="P161" i="41" s="1"/>
  <c r="K159" i="41"/>
  <c r="O159" i="41" s="1"/>
  <c r="M153" i="41"/>
  <c r="P153" i="41" s="1"/>
  <c r="K151" i="41"/>
  <c r="O151" i="41" s="1"/>
  <c r="M145" i="41"/>
  <c r="P145" i="41" s="1"/>
  <c r="K143" i="41"/>
  <c r="O143" i="41" s="1"/>
  <c r="M137" i="41"/>
  <c r="P137" i="41" s="1"/>
  <c r="K135" i="41"/>
  <c r="O135" i="41" s="1"/>
  <c r="M129" i="41"/>
  <c r="P129" i="41" s="1"/>
  <c r="K127" i="41"/>
  <c r="O127" i="41" s="1"/>
  <c r="M121" i="41"/>
  <c r="P121" i="41" s="1"/>
  <c r="K119" i="41"/>
  <c r="O119" i="41" s="1"/>
  <c r="M113" i="41"/>
  <c r="P113" i="41" s="1"/>
  <c r="K111" i="41"/>
  <c r="O111" i="41" s="1"/>
  <c r="M203" i="41"/>
  <c r="P203" i="41" s="1"/>
  <c r="K201" i="41"/>
  <c r="O201" i="41" s="1"/>
  <c r="M195" i="41"/>
  <c r="P195" i="41" s="1"/>
  <c r="K193" i="41"/>
  <c r="O193" i="41" s="1"/>
  <c r="M187" i="41"/>
  <c r="P187" i="41" s="1"/>
  <c r="K185" i="41"/>
  <c r="O185" i="41" s="1"/>
  <c r="M179" i="41"/>
  <c r="P179" i="41" s="1"/>
  <c r="K177" i="41"/>
  <c r="O177" i="41" s="1"/>
  <c r="M171" i="41"/>
  <c r="P171" i="41" s="1"/>
  <c r="K169" i="41"/>
  <c r="O169" i="41" s="1"/>
  <c r="M163" i="41"/>
  <c r="P163" i="41" s="1"/>
  <c r="K161" i="41"/>
  <c r="O161" i="41" s="1"/>
  <c r="M155" i="41"/>
  <c r="P155" i="41" s="1"/>
  <c r="K153" i="41"/>
  <c r="O153" i="41" s="1"/>
  <c r="M147" i="41"/>
  <c r="P147" i="41" s="1"/>
  <c r="K145" i="41"/>
  <c r="O145" i="41" s="1"/>
  <c r="M139" i="41"/>
  <c r="P139" i="41" s="1"/>
  <c r="K137" i="41"/>
  <c r="O137" i="41" s="1"/>
  <c r="M131" i="41"/>
  <c r="P131" i="41" s="1"/>
  <c r="K129" i="41"/>
  <c r="O129" i="41" s="1"/>
  <c r="M200" i="41"/>
  <c r="P200" i="41" s="1"/>
  <c r="K198" i="41"/>
  <c r="O198" i="41" s="1"/>
  <c r="M192" i="41"/>
  <c r="P192" i="41" s="1"/>
  <c r="K190" i="41"/>
  <c r="O190" i="41" s="1"/>
  <c r="M184" i="41"/>
  <c r="P184" i="41" s="1"/>
  <c r="K182" i="41"/>
  <c r="O182" i="41" s="1"/>
  <c r="M176" i="41"/>
  <c r="P176" i="41" s="1"/>
  <c r="K174" i="41"/>
  <c r="O174" i="41" s="1"/>
  <c r="M168" i="41"/>
  <c r="P168" i="41" s="1"/>
  <c r="K166" i="41"/>
  <c r="O166" i="41" s="1"/>
  <c r="M160" i="41"/>
  <c r="P160" i="41" s="1"/>
  <c r="K158" i="41"/>
  <c r="O158" i="41" s="1"/>
  <c r="M152" i="41"/>
  <c r="P152" i="41" s="1"/>
  <c r="K150" i="41"/>
  <c r="O150" i="41" s="1"/>
  <c r="M144" i="41"/>
  <c r="P144" i="41" s="1"/>
  <c r="K142" i="41"/>
  <c r="O142" i="41" s="1"/>
  <c r="M136" i="41"/>
  <c r="P136" i="41" s="1"/>
  <c r="K134" i="41"/>
  <c r="O134" i="41" s="1"/>
  <c r="M128" i="41"/>
  <c r="P128" i="41" s="1"/>
  <c r="K126" i="41"/>
  <c r="O126" i="41" s="1"/>
  <c r="M120" i="41"/>
  <c r="P120" i="41" s="1"/>
  <c r="K118" i="41"/>
  <c r="O118" i="41" s="1"/>
  <c r="M112" i="41"/>
  <c r="P112" i="41" s="1"/>
  <c r="K110" i="41"/>
  <c r="O110" i="41" s="1"/>
  <c r="M199" i="41"/>
  <c r="P199" i="41" s="1"/>
  <c r="M197" i="41"/>
  <c r="P197" i="41" s="1"/>
  <c r="M186" i="41"/>
  <c r="P186" i="41" s="1"/>
  <c r="K181" i="41"/>
  <c r="O181" i="41" s="1"/>
  <c r="K179" i="41"/>
  <c r="O179" i="41" s="1"/>
  <c r="K168" i="41"/>
  <c r="O168" i="41" s="1"/>
  <c r="M166" i="41"/>
  <c r="P166" i="41" s="1"/>
  <c r="M164" i="41"/>
  <c r="P164" i="41" s="1"/>
  <c r="K148" i="41"/>
  <c r="O148" i="41" s="1"/>
  <c r="K146" i="41"/>
  <c r="O146" i="41" s="1"/>
  <c r="M204" i="41"/>
  <c r="P204" i="41" s="1"/>
  <c r="K188" i="41"/>
  <c r="O188" i="41" s="1"/>
  <c r="K186" i="41"/>
  <c r="O186" i="41" s="1"/>
  <c r="M175" i="41"/>
  <c r="P175" i="41" s="1"/>
  <c r="M173" i="41"/>
  <c r="P173" i="41" s="1"/>
  <c r="M162" i="41"/>
  <c r="P162" i="41" s="1"/>
  <c r="K157" i="41"/>
  <c r="O157" i="41" s="1"/>
  <c r="K155" i="41"/>
  <c r="O155" i="41" s="1"/>
  <c r="K144" i="41"/>
  <c r="O144" i="41" s="1"/>
  <c r="M142" i="41"/>
  <c r="P142" i="41" s="1"/>
  <c r="M140" i="41"/>
  <c r="P140" i="41" s="1"/>
  <c r="M126" i="41"/>
  <c r="P126" i="41" s="1"/>
  <c r="K120" i="41"/>
  <c r="O120" i="41" s="1"/>
  <c r="K114" i="41"/>
  <c r="O114" i="41" s="1"/>
  <c r="K108" i="41"/>
  <c r="O108" i="41" s="1"/>
  <c r="M102" i="41"/>
  <c r="P102" i="41" s="1"/>
  <c r="K100" i="41"/>
  <c r="O100" i="41" s="1"/>
  <c r="M94" i="41"/>
  <c r="P94" i="41" s="1"/>
  <c r="K92" i="41"/>
  <c r="O92" i="41" s="1"/>
  <c r="M86" i="41"/>
  <c r="P86" i="41" s="1"/>
  <c r="K84" i="41"/>
  <c r="O84" i="41" s="1"/>
  <c r="M78" i="41"/>
  <c r="P78" i="41" s="1"/>
  <c r="K76" i="41"/>
  <c r="O76" i="41" s="1"/>
  <c r="M202" i="41"/>
  <c r="P202" i="41" s="1"/>
  <c r="K197" i="41"/>
  <c r="O197" i="41" s="1"/>
  <c r="K195" i="41"/>
  <c r="O195" i="41" s="1"/>
  <c r="K184" i="41"/>
  <c r="O184" i="41" s="1"/>
  <c r="M182" i="41"/>
  <c r="P182" i="41" s="1"/>
  <c r="M180" i="41"/>
  <c r="P180" i="41" s="1"/>
  <c r="K164" i="41"/>
  <c r="O164" i="41" s="1"/>
  <c r="K162" i="41"/>
  <c r="O162" i="41" s="1"/>
  <c r="M151" i="41"/>
  <c r="P151" i="41" s="1"/>
  <c r="M149" i="41"/>
  <c r="P149" i="41" s="1"/>
  <c r="M138" i="41"/>
  <c r="P138" i="41" s="1"/>
  <c r="K133" i="41"/>
  <c r="O133" i="41" s="1"/>
  <c r="K131" i="41"/>
  <c r="O131" i="41" s="1"/>
  <c r="K123" i="41"/>
  <c r="O123" i="41" s="1"/>
  <c r="K117" i="41"/>
  <c r="O117" i="41" s="1"/>
  <c r="M115" i="41"/>
  <c r="P115" i="41" s="1"/>
  <c r="M109" i="41"/>
  <c r="P109" i="41" s="1"/>
  <c r="M104" i="41"/>
  <c r="P104" i="41" s="1"/>
  <c r="K101" i="41"/>
  <c r="O101" i="41" s="1"/>
  <c r="M95" i="41"/>
  <c r="P95" i="41" s="1"/>
  <c r="K93" i="41"/>
  <c r="O93" i="41" s="1"/>
  <c r="M87" i="41"/>
  <c r="P87" i="41" s="1"/>
  <c r="K85" i="41"/>
  <c r="O85" i="41" s="1"/>
  <c r="M79" i="41"/>
  <c r="P79" i="41" s="1"/>
  <c r="K77" i="41"/>
  <c r="O77" i="41" s="1"/>
  <c r="K204" i="41"/>
  <c r="O204" i="41" s="1"/>
  <c r="M198" i="41"/>
  <c r="P198" i="41" s="1"/>
  <c r="M189" i="41"/>
  <c r="P189" i="41" s="1"/>
  <c r="K160" i="41"/>
  <c r="O160" i="41" s="1"/>
  <c r="M154" i="41"/>
  <c r="P154" i="41" s="1"/>
  <c r="M143" i="41"/>
  <c r="P143" i="41" s="1"/>
  <c r="K141" i="41"/>
  <c r="O141" i="41" s="1"/>
  <c r="K138" i="41"/>
  <c r="O138" i="41" s="1"/>
  <c r="M124" i="41"/>
  <c r="P124" i="41" s="1"/>
  <c r="M122" i="41"/>
  <c r="P122" i="41" s="1"/>
  <c r="M118" i="41"/>
  <c r="P118" i="41" s="1"/>
  <c r="M116" i="41"/>
  <c r="P116" i="41" s="1"/>
  <c r="M114" i="41"/>
  <c r="P114" i="41" s="1"/>
  <c r="K112" i="41"/>
  <c r="O112" i="41" s="1"/>
  <c r="M110" i="41"/>
  <c r="P110" i="41" s="1"/>
  <c r="M108" i="41"/>
  <c r="P108" i="41" s="1"/>
  <c r="K105" i="41"/>
  <c r="O105" i="41" s="1"/>
  <c r="K98" i="41"/>
  <c r="O98" i="41" s="1"/>
  <c r="M96" i="41"/>
  <c r="P96" i="41" s="1"/>
  <c r="M90" i="41"/>
  <c r="P90" i="41" s="1"/>
  <c r="M84" i="41"/>
  <c r="P84" i="41" s="1"/>
  <c r="K78" i="41"/>
  <c r="O78" i="41" s="1"/>
  <c r="M72" i="41"/>
  <c r="P72" i="41" s="1"/>
  <c r="K70" i="41"/>
  <c r="O70" i="41" s="1"/>
  <c r="M64" i="41"/>
  <c r="P64" i="41" s="1"/>
  <c r="K62" i="41"/>
  <c r="O62" i="41" s="1"/>
  <c r="M56" i="41"/>
  <c r="P56" i="41" s="1"/>
  <c r="K54" i="41"/>
  <c r="O54" i="41" s="1"/>
  <c r="M48" i="41"/>
  <c r="P48" i="41" s="1"/>
  <c r="K172" i="41"/>
  <c r="O172" i="41" s="1"/>
  <c r="K163" i="41"/>
  <c r="O163" i="41" s="1"/>
  <c r="M157" i="41"/>
  <c r="P157" i="41" s="1"/>
  <c r="K154" i="41"/>
  <c r="O154" i="41" s="1"/>
  <c r="M148" i="41"/>
  <c r="P148" i="41" s="1"/>
  <c r="M133" i="41"/>
  <c r="P133" i="41" s="1"/>
  <c r="M106" i="41"/>
  <c r="P106" i="41" s="1"/>
  <c r="M99" i="41"/>
  <c r="P99" i="41" s="1"/>
  <c r="M93" i="41"/>
  <c r="P93" i="41" s="1"/>
  <c r="K87" i="41"/>
  <c r="O87" i="41" s="1"/>
  <c r="K81" i="41"/>
  <c r="O81" i="41" s="1"/>
  <c r="K75" i="41"/>
  <c r="O75" i="41" s="1"/>
  <c r="M73" i="41"/>
  <c r="P73" i="41" s="1"/>
  <c r="K71" i="41"/>
  <c r="O71" i="41" s="1"/>
  <c r="M65" i="41"/>
  <c r="P65" i="41" s="1"/>
  <c r="K63" i="41"/>
  <c r="O63" i="41" s="1"/>
  <c r="M57" i="41"/>
  <c r="P57" i="41" s="1"/>
  <c r="K55" i="41"/>
  <c r="O55" i="41" s="1"/>
  <c r="M49" i="41"/>
  <c r="P49" i="41" s="1"/>
  <c r="K47" i="41"/>
  <c r="O47" i="41" s="1"/>
  <c r="K192" i="41"/>
  <c r="O192" i="41" s="1"/>
  <c r="K189" i="41"/>
  <c r="O189" i="41" s="1"/>
  <c r="M183" i="41"/>
  <c r="P183" i="41" s="1"/>
  <c r="K180" i="41"/>
  <c r="O180" i="41" s="1"/>
  <c r="M174" i="41"/>
  <c r="P174" i="41" s="1"/>
  <c r="K171" i="41"/>
  <c r="O171" i="41" s="1"/>
  <c r="M165" i="41"/>
  <c r="P165" i="41" s="1"/>
  <c r="M156" i="41"/>
  <c r="P156" i="41" s="1"/>
  <c r="K140" i="41"/>
  <c r="O140" i="41" s="1"/>
  <c r="M130" i="41"/>
  <c r="P130" i="41" s="1"/>
  <c r="K128" i="41"/>
  <c r="O128" i="41" s="1"/>
  <c r="K124" i="41"/>
  <c r="O124" i="41" s="1"/>
  <c r="K122" i="41"/>
  <c r="O122" i="41" s="1"/>
  <c r="K116" i="41"/>
  <c r="O116" i="41" s="1"/>
  <c r="K102" i="41"/>
  <c r="O102" i="41" s="1"/>
  <c r="K96" i="41"/>
  <c r="O96" i="41" s="1"/>
  <c r="K90" i="41"/>
  <c r="O90" i="41" s="1"/>
  <c r="M88" i="41"/>
  <c r="P88" i="41" s="1"/>
  <c r="M82" i="41"/>
  <c r="P82" i="41" s="1"/>
  <c r="M76" i="41"/>
  <c r="P76" i="41" s="1"/>
  <c r="K72" i="41"/>
  <c r="O72" i="41" s="1"/>
  <c r="M66" i="41"/>
  <c r="P66" i="41" s="1"/>
  <c r="K64" i="41"/>
  <c r="O64" i="41" s="1"/>
  <c r="M58" i="41"/>
  <c r="P58" i="41" s="1"/>
  <c r="K56" i="41"/>
  <c r="O56" i="41" s="1"/>
  <c r="M50" i="41"/>
  <c r="P50" i="41" s="1"/>
  <c r="K48" i="41"/>
  <c r="O48" i="41" s="1"/>
  <c r="K202" i="41"/>
  <c r="O202" i="41" s="1"/>
  <c r="M196" i="41"/>
  <c r="P196" i="41" s="1"/>
  <c r="K176" i="41"/>
  <c r="O176" i="41" s="1"/>
  <c r="K173" i="41"/>
  <c r="O173" i="41" s="1"/>
  <c r="M170" i="41"/>
  <c r="P170" i="41" s="1"/>
  <c r="M167" i="41"/>
  <c r="P167" i="41" s="1"/>
  <c r="M158" i="41"/>
  <c r="P158" i="41" s="1"/>
  <c r="M134" i="41"/>
  <c r="P134" i="41" s="1"/>
  <c r="K132" i="41"/>
  <c r="O132" i="41" s="1"/>
  <c r="M127" i="41"/>
  <c r="P127" i="41" s="1"/>
  <c r="M125" i="41"/>
  <c r="P125" i="41" s="1"/>
  <c r="M123" i="41"/>
  <c r="P123" i="41" s="1"/>
  <c r="K121" i="41"/>
  <c r="O121" i="41" s="1"/>
  <c r="M119" i="41"/>
  <c r="P119" i="41" s="1"/>
  <c r="M117" i="41"/>
  <c r="P117" i="41" s="1"/>
  <c r="K115" i="41"/>
  <c r="O115" i="41" s="1"/>
  <c r="K113" i="41"/>
  <c r="O113" i="41" s="1"/>
  <c r="M111" i="41"/>
  <c r="P111" i="41" s="1"/>
  <c r="K109" i="41"/>
  <c r="O109" i="41" s="1"/>
  <c r="K104" i="41"/>
  <c r="O104" i="41" s="1"/>
  <c r="K97" i="41"/>
  <c r="O97" i="41" s="1"/>
  <c r="K91" i="41"/>
  <c r="O91" i="41" s="1"/>
  <c r="M89" i="41"/>
  <c r="P89" i="41" s="1"/>
  <c r="M83" i="41"/>
  <c r="P83" i="41" s="1"/>
  <c r="M77" i="41"/>
  <c r="P77" i="41" s="1"/>
  <c r="M69" i="41"/>
  <c r="P69" i="41" s="1"/>
  <c r="K67" i="41"/>
  <c r="O67" i="41" s="1"/>
  <c r="M61" i="41"/>
  <c r="P61" i="41" s="1"/>
  <c r="K59" i="41"/>
  <c r="O59" i="41" s="1"/>
  <c r="M53" i="41"/>
  <c r="P53" i="41" s="1"/>
  <c r="K51" i="41"/>
  <c r="O51" i="41" s="1"/>
  <c r="M191" i="41"/>
  <c r="P191" i="41" s="1"/>
  <c r="M135" i="41"/>
  <c r="P135" i="41" s="1"/>
  <c r="K130" i="41"/>
  <c r="O130" i="41" s="1"/>
  <c r="K106" i="41"/>
  <c r="O106" i="41" s="1"/>
  <c r="K99" i="41"/>
  <c r="O99" i="41" s="1"/>
  <c r="M67" i="41"/>
  <c r="P67" i="41" s="1"/>
  <c r="K65" i="41"/>
  <c r="O65" i="41" s="1"/>
  <c r="M51" i="41"/>
  <c r="P51" i="41" s="1"/>
  <c r="K49" i="41"/>
  <c r="O49" i="41" s="1"/>
  <c r="M40" i="41"/>
  <c r="P40" i="41" s="1"/>
  <c r="M39" i="41"/>
  <c r="P39" i="41" s="1"/>
  <c r="M37" i="41"/>
  <c r="P37" i="41" s="1"/>
  <c r="M35" i="41"/>
  <c r="P35" i="41" s="1"/>
  <c r="M34" i="41"/>
  <c r="P34" i="41" s="1"/>
  <c r="M33" i="41"/>
  <c r="P33" i="41" s="1"/>
  <c r="K30" i="41"/>
  <c r="O30" i="41" s="1"/>
  <c r="K29" i="41"/>
  <c r="O29" i="41" s="1"/>
  <c r="K28" i="41"/>
  <c r="O28" i="41" s="1"/>
  <c r="K21" i="41"/>
  <c r="O21" i="41" s="1"/>
  <c r="M16" i="41"/>
  <c r="P16" i="41" s="1"/>
  <c r="K15" i="41"/>
  <c r="O15" i="41" s="1"/>
  <c r="K203" i="41"/>
  <c r="O203" i="41" s="1"/>
  <c r="K156" i="41"/>
  <c r="O156" i="41" s="1"/>
  <c r="M150" i="41"/>
  <c r="P150" i="41" s="1"/>
  <c r="M80" i="41"/>
  <c r="P80" i="41" s="1"/>
  <c r="M74" i="41"/>
  <c r="P74" i="41" s="1"/>
  <c r="M60" i="41"/>
  <c r="P60" i="41" s="1"/>
  <c r="K58" i="41"/>
  <c r="O58" i="41" s="1"/>
  <c r="K45" i="41"/>
  <c r="O45" i="41" s="1"/>
  <c r="M41" i="41"/>
  <c r="P41" i="41" s="1"/>
  <c r="K38" i="41"/>
  <c r="O38" i="41" s="1"/>
  <c r="M36" i="41"/>
  <c r="P36" i="41" s="1"/>
  <c r="K32" i="41"/>
  <c r="O32" i="41" s="1"/>
  <c r="K31" i="41"/>
  <c r="O31" i="41" s="1"/>
  <c r="M23" i="41"/>
  <c r="P23" i="41" s="1"/>
  <c r="K22" i="41"/>
  <c r="O22" i="41" s="1"/>
  <c r="M17" i="41"/>
  <c r="P17" i="41" s="1"/>
  <c r="M178" i="41"/>
  <c r="P178" i="41" s="1"/>
  <c r="K139" i="41"/>
  <c r="O139" i="41" s="1"/>
  <c r="M105" i="41"/>
  <c r="P105" i="41" s="1"/>
  <c r="M98" i="41"/>
  <c r="P98" i="41" s="1"/>
  <c r="M92" i="41"/>
  <c r="P92" i="41" s="1"/>
  <c r="K86" i="41"/>
  <c r="O86" i="41" s="1"/>
  <c r="K80" i="41"/>
  <c r="O80" i="41" s="1"/>
  <c r="K74" i="41"/>
  <c r="O74" i="41" s="1"/>
  <c r="M62" i="41"/>
  <c r="P62" i="41" s="1"/>
  <c r="K60" i="41"/>
  <c r="O60" i="41" s="1"/>
  <c r="M46" i="41"/>
  <c r="P46" i="41" s="1"/>
  <c r="M43" i="41"/>
  <c r="P43" i="41" s="1"/>
  <c r="M42" i="41"/>
  <c r="P42" i="41" s="1"/>
  <c r="K40" i="41"/>
  <c r="O40" i="41" s="1"/>
  <c r="K39" i="41"/>
  <c r="O39" i="41" s="1"/>
  <c r="K37" i="41"/>
  <c r="O37" i="41" s="1"/>
  <c r="K35" i="41"/>
  <c r="O35" i="41" s="1"/>
  <c r="K34" i="41"/>
  <c r="O34" i="41" s="1"/>
  <c r="K33" i="41"/>
  <c r="O33" i="41" s="1"/>
  <c r="I30" i="41"/>
  <c r="K194" i="41"/>
  <c r="O194" i="41" s="1"/>
  <c r="M188" i="41"/>
  <c r="P188" i="41" s="1"/>
  <c r="K165" i="41"/>
  <c r="O165" i="41" s="1"/>
  <c r="M159" i="41"/>
  <c r="P159" i="41" s="1"/>
  <c r="K147" i="41"/>
  <c r="O147" i="41" s="1"/>
  <c r="M107" i="41"/>
  <c r="P107" i="41" s="1"/>
  <c r="M100" i="41"/>
  <c r="P100" i="41" s="1"/>
  <c r="K94" i="41"/>
  <c r="O94" i="41" s="1"/>
  <c r="K88" i="41"/>
  <c r="O88" i="41" s="1"/>
  <c r="K82" i="41"/>
  <c r="O82" i="41" s="1"/>
  <c r="M68" i="41"/>
  <c r="P68" i="41" s="1"/>
  <c r="K66" i="41"/>
  <c r="O66" i="41" s="1"/>
  <c r="M52" i="41"/>
  <c r="P52" i="41" s="1"/>
  <c r="K50" i="41"/>
  <c r="O50" i="41" s="1"/>
  <c r="M27" i="41"/>
  <c r="P27" i="41" s="1"/>
  <c r="M26" i="41"/>
  <c r="P26" i="41" s="1"/>
  <c r="K25" i="41"/>
  <c r="O25" i="41" s="1"/>
  <c r="M20" i="41"/>
  <c r="P20" i="41" s="1"/>
  <c r="K18" i="41"/>
  <c r="O18" i="41" s="1"/>
  <c r="M14" i="41"/>
  <c r="P14" i="41" s="1"/>
  <c r="K200" i="41"/>
  <c r="O200" i="41" s="1"/>
  <c r="M132" i="41"/>
  <c r="P132" i="41" s="1"/>
  <c r="K57" i="41"/>
  <c r="O57" i="41" s="1"/>
  <c r="M44" i="41"/>
  <c r="P44" i="41" s="1"/>
  <c r="K42" i="41"/>
  <c r="O42" i="41" s="1"/>
  <c r="I31" i="41"/>
  <c r="I44" i="41" s="1"/>
  <c r="M30" i="41"/>
  <c r="P30" i="41" s="1"/>
  <c r="K23" i="41"/>
  <c r="O23" i="41" s="1"/>
  <c r="M22" i="41"/>
  <c r="P22" i="41" s="1"/>
  <c r="M19" i="41"/>
  <c r="P19" i="41" s="1"/>
  <c r="M13" i="41"/>
  <c r="P13" i="41" s="1"/>
  <c r="K11" i="41"/>
  <c r="O11" i="41" s="1"/>
  <c r="M5" i="41"/>
  <c r="P5" i="41" s="1"/>
  <c r="K3" i="41"/>
  <c r="O3" i="41" s="1"/>
  <c r="M91" i="41"/>
  <c r="P91" i="41" s="1"/>
  <c r="M59" i="41"/>
  <c r="P59" i="41" s="1"/>
  <c r="K43" i="41"/>
  <c r="O43" i="41" s="1"/>
  <c r="M141" i="41"/>
  <c r="P141" i="41" s="1"/>
  <c r="K107" i="41"/>
  <c r="O107" i="41" s="1"/>
  <c r="M70" i="41"/>
  <c r="P70" i="41" s="1"/>
  <c r="K52" i="41"/>
  <c r="O52" i="41" s="1"/>
  <c r="K44" i="41"/>
  <c r="O44" i="41" s="1"/>
  <c r="K19" i="41"/>
  <c r="O19" i="41" s="1"/>
  <c r="M18" i="41"/>
  <c r="P18" i="41" s="1"/>
  <c r="K12" i="41"/>
  <c r="O12" i="41" s="1"/>
  <c r="M6" i="41"/>
  <c r="P6" i="41" s="1"/>
  <c r="K4" i="41"/>
  <c r="O4" i="41" s="1"/>
  <c r="M85" i="41"/>
  <c r="P85" i="41" s="1"/>
  <c r="K187" i="41"/>
  <c r="O187" i="41" s="1"/>
  <c r="K152" i="41"/>
  <c r="O152" i="41" s="1"/>
  <c r="M81" i="41"/>
  <c r="P81" i="41" s="1"/>
  <c r="M75" i="41"/>
  <c r="P75" i="41" s="1"/>
  <c r="K61" i="41"/>
  <c r="O61" i="41" s="1"/>
  <c r="M47" i="41"/>
  <c r="P47" i="41" s="1"/>
  <c r="M29" i="41"/>
  <c r="P29" i="41" s="1"/>
  <c r="M25" i="41"/>
  <c r="P25" i="41" s="1"/>
  <c r="M21" i="41"/>
  <c r="P21" i="41" s="1"/>
  <c r="K13" i="41"/>
  <c r="O13" i="41" s="1"/>
  <c r="M7" i="41"/>
  <c r="P7" i="41" s="1"/>
  <c r="K5" i="41"/>
  <c r="O5" i="41" s="1"/>
  <c r="M97" i="41"/>
  <c r="P97" i="41" s="1"/>
  <c r="K79" i="41"/>
  <c r="O79" i="41" s="1"/>
  <c r="M28" i="41"/>
  <c r="P28" i="41" s="1"/>
  <c r="M9" i="41"/>
  <c r="P9" i="41" s="1"/>
  <c r="K7" i="41"/>
  <c r="O7" i="41" s="1"/>
  <c r="M3" i="41"/>
  <c r="P3" i="41" s="1"/>
  <c r="K178" i="41"/>
  <c r="O178" i="41" s="1"/>
  <c r="K89" i="41"/>
  <c r="O89" i="41" s="1"/>
  <c r="K36" i="41"/>
  <c r="O36" i="41" s="1"/>
  <c r="I32" i="41"/>
  <c r="K20" i="41"/>
  <c r="O20" i="41" s="1"/>
  <c r="M4" i="41"/>
  <c r="P4" i="41" s="1"/>
  <c r="K2" i="41"/>
  <c r="O2" i="41" s="1"/>
  <c r="K196" i="41"/>
  <c r="O196" i="41" s="1"/>
  <c r="M172" i="41"/>
  <c r="P172" i="41" s="1"/>
  <c r="K149" i="41"/>
  <c r="O149" i="41" s="1"/>
  <c r="K69" i="41"/>
  <c r="O69" i="41" s="1"/>
  <c r="M55" i="41"/>
  <c r="P55" i="41" s="1"/>
  <c r="K41" i="41"/>
  <c r="O41" i="41" s="1"/>
  <c r="K26" i="41"/>
  <c r="O26" i="41" s="1"/>
  <c r="K14" i="41"/>
  <c r="O14" i="41" s="1"/>
  <c r="M8" i="41"/>
  <c r="P8" i="41" s="1"/>
  <c r="K6" i="41"/>
  <c r="O6" i="41" s="1"/>
  <c r="M194" i="41"/>
  <c r="P194" i="41" s="1"/>
  <c r="K73" i="41"/>
  <c r="O73" i="41" s="1"/>
  <c r="K46" i="41"/>
  <c r="O46" i="41" s="1"/>
  <c r="M24" i="41"/>
  <c r="P24" i="41" s="1"/>
  <c r="K17" i="41"/>
  <c r="O17" i="41" s="1"/>
  <c r="K170" i="41"/>
  <c r="O170" i="41" s="1"/>
  <c r="K68" i="41"/>
  <c r="O68" i="41" s="1"/>
  <c r="M54" i="41"/>
  <c r="P54" i="41" s="1"/>
  <c r="K16" i="41"/>
  <c r="O16" i="41" s="1"/>
  <c r="M10" i="41"/>
  <c r="P10" i="41" s="1"/>
  <c r="K8" i="41"/>
  <c r="O8" i="41" s="1"/>
  <c r="M2" i="41"/>
  <c r="P2" i="41" s="1"/>
  <c r="M181" i="41"/>
  <c r="P181" i="41" s="1"/>
  <c r="M146" i="41"/>
  <c r="P146" i="41" s="1"/>
  <c r="K136" i="41"/>
  <c r="O136" i="41" s="1"/>
  <c r="M63" i="41"/>
  <c r="P63" i="41" s="1"/>
  <c r="M45" i="41"/>
  <c r="P45" i="41" s="1"/>
  <c r="M38" i="41"/>
  <c r="P38" i="41" s="1"/>
  <c r="M32" i="41"/>
  <c r="P32" i="41" s="1"/>
  <c r="K24" i="41"/>
  <c r="O24" i="41" s="1"/>
  <c r="M15" i="41"/>
  <c r="P15" i="41" s="1"/>
  <c r="M11" i="41"/>
  <c r="P11" i="41" s="1"/>
  <c r="K9" i="41"/>
  <c r="O9" i="41" s="1"/>
  <c r="M190" i="41"/>
  <c r="P190" i="41" s="1"/>
  <c r="K125" i="41"/>
  <c r="O125" i="41" s="1"/>
  <c r="M101" i="41"/>
  <c r="P101" i="41" s="1"/>
  <c r="K95" i="41"/>
  <c r="O95" i="41" s="1"/>
  <c r="K83" i="41"/>
  <c r="O83" i="41" s="1"/>
  <c r="M71" i="41"/>
  <c r="P71" i="41" s="1"/>
  <c r="K53" i="41"/>
  <c r="O53" i="41" s="1"/>
  <c r="M31" i="41"/>
  <c r="P31" i="41" s="1"/>
  <c r="K27" i="41"/>
  <c r="O27" i="41" s="1"/>
  <c r="M12" i="41"/>
  <c r="P12" i="41" s="1"/>
  <c r="K10" i="41"/>
  <c r="O10" i="41" s="1"/>
  <c r="I29" i="41"/>
  <c r="H38" i="41" s="1"/>
  <c r="H40" i="41" s="1"/>
  <c r="I60" i="4"/>
  <c r="T60" i="4"/>
  <c r="I38" i="42" l="1"/>
  <c r="H34" i="42"/>
  <c r="H35" i="42"/>
  <c r="I37" i="42"/>
  <c r="H34" i="41"/>
  <c r="I37" i="41"/>
  <c r="H35" i="41"/>
  <c r="I38" i="41"/>
  <c r="F3" i="36"/>
  <c r="F4" i="36"/>
  <c r="F5" i="36"/>
  <c r="F2" i="36"/>
  <c r="B237" i="33" l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B250" i="33" s="1"/>
  <c r="B251" i="33" s="1"/>
  <c r="B252" i="33" s="1"/>
  <c r="B253" i="33" s="1"/>
  <c r="B254" i="33" s="1"/>
  <c r="B255" i="33" s="1"/>
  <c r="B256" i="33" s="1"/>
  <c r="B257" i="33" s="1"/>
  <c r="B258" i="33" s="1"/>
  <c r="B259" i="33" s="1"/>
  <c r="B260" i="33" s="1"/>
  <c r="B261" i="33" s="1"/>
  <c r="B236" i="33"/>
  <c r="D33" i="3" l="1"/>
  <c r="D32" i="3"/>
  <c r="D22" i="3"/>
  <c r="A224" i="33" l="1"/>
  <c r="A225" i="33"/>
  <c r="A226" i="33" s="1"/>
  <c r="A227" i="33" s="1"/>
  <c r="A228" i="33" s="1"/>
  <c r="A229" i="33" s="1"/>
  <c r="A230" i="33" s="1"/>
  <c r="A231" i="33" s="1"/>
  <c r="A223" i="33"/>
  <c r="A215" i="33"/>
  <c r="A216" i="33" s="1"/>
  <c r="A217" i="33" s="1"/>
  <c r="A218" i="33" s="1"/>
  <c r="A219" i="33" s="1"/>
  <c r="A220" i="33" s="1"/>
  <c r="A221" i="33" s="1"/>
  <c r="A222" i="33" s="1"/>
  <c r="A214" i="33"/>
  <c r="A206" i="33"/>
  <c r="A207" i="33" s="1"/>
  <c r="A208" i="33" s="1"/>
  <c r="A209" i="33" s="1"/>
  <c r="A210" i="33" s="1"/>
  <c r="A211" i="33" s="1"/>
  <c r="A212" i="33" s="1"/>
  <c r="A213" i="33" s="1"/>
  <c r="A205" i="33"/>
  <c r="A197" i="33"/>
  <c r="A198" i="33" s="1"/>
  <c r="A199" i="33" s="1"/>
  <c r="A200" i="33" s="1"/>
  <c r="A201" i="33" s="1"/>
  <c r="A202" i="33" s="1"/>
  <c r="A203" i="33" s="1"/>
  <c r="A204" i="33" s="1"/>
  <c r="A196" i="33"/>
  <c r="A188" i="33"/>
  <c r="A189" i="33" s="1"/>
  <c r="A190" i="33" s="1"/>
  <c r="A191" i="33" s="1"/>
  <c r="A192" i="33" s="1"/>
  <c r="A193" i="33" s="1"/>
  <c r="A194" i="33" s="1"/>
  <c r="A195" i="33" s="1"/>
  <c r="A187" i="33"/>
  <c r="H32" i="33" l="1"/>
  <c r="H30" i="33"/>
  <c r="H29" i="33"/>
  <c r="H27" i="33"/>
  <c r="P1" i="33"/>
  <c r="J2" i="15" l="1"/>
  <c r="H32" i="29"/>
  <c r="H30" i="29"/>
  <c r="H29" i="29"/>
  <c r="H27" i="29"/>
  <c r="P1" i="29"/>
  <c r="H32" i="28"/>
  <c r="H30" i="28"/>
  <c r="H29" i="28"/>
  <c r="H27" i="28"/>
  <c r="P1" i="28"/>
  <c r="H32" i="27"/>
  <c r="H30" i="27"/>
  <c r="H29" i="27"/>
  <c r="H27" i="27"/>
  <c r="P1" i="27"/>
  <c r="H32" i="26"/>
  <c r="H30" i="26"/>
  <c r="H29" i="26"/>
  <c r="H27" i="26"/>
  <c r="P1" i="26"/>
  <c r="U52" i="4" l="1"/>
  <c r="Q52" i="4" s="1"/>
  <c r="G52" i="4"/>
  <c r="H52" i="4"/>
  <c r="K52" i="4"/>
  <c r="G53" i="4"/>
  <c r="H53" i="4"/>
  <c r="K53" i="4"/>
  <c r="Q53" i="4"/>
  <c r="U51" i="4"/>
  <c r="Q51" i="4" s="1"/>
  <c r="K51" i="4"/>
  <c r="H51" i="4"/>
  <c r="G51" i="4"/>
  <c r="I53" i="4" l="1"/>
  <c r="I52" i="4"/>
  <c r="T53" i="4"/>
  <c r="T52" i="4"/>
  <c r="I51" i="4"/>
  <c r="T51" i="4"/>
  <c r="L2" i="15"/>
  <c r="L2" i="12"/>
  <c r="R2" i="4" l="1"/>
  <c r="Z60" i="4" l="1"/>
  <c r="Z52" i="4"/>
  <c r="Z53" i="4"/>
  <c r="Z51" i="4"/>
  <c r="D28" i="3"/>
  <c r="D29" i="3"/>
  <c r="D30" i="3"/>
  <c r="D27" i="3"/>
  <c r="P2" i="12" l="1"/>
  <c r="P2" i="15"/>
  <c r="X252" i="15"/>
  <c r="X252" i="12"/>
  <c r="X252" i="1"/>
  <c r="J2" i="4"/>
  <c r="P2" i="4" l="1"/>
  <c r="J60" i="4"/>
  <c r="J53" i="4"/>
  <c r="J52" i="4"/>
  <c r="J51" i="4"/>
  <c r="Y14" i="12"/>
  <c r="Y13" i="12"/>
  <c r="X60" i="4" l="1"/>
  <c r="X52" i="4"/>
  <c r="X53" i="4"/>
  <c r="X51" i="4"/>
  <c r="A2" i="19"/>
  <c r="C2" i="19" s="1"/>
  <c r="H32" i="19"/>
  <c r="H30" i="19"/>
  <c r="H29" i="19"/>
  <c r="H27" i="19"/>
  <c r="P1" i="19"/>
  <c r="I3" i="19" l="1"/>
  <c r="I24" i="19"/>
  <c r="I25" i="19"/>
  <c r="E2" i="19"/>
  <c r="R2" i="15"/>
  <c r="Y14" i="15" l="1"/>
  <c r="A9" i="19" s="1"/>
  <c r="C9" i="19" s="1"/>
  <c r="Y44" i="15"/>
  <c r="A39" i="19" s="1"/>
  <c r="C39" i="19" s="1"/>
  <c r="Y42" i="15"/>
  <c r="A37" i="19" s="1"/>
  <c r="C37" i="19" s="1"/>
  <c r="Y36" i="15"/>
  <c r="A31" i="19" s="1"/>
  <c r="C31" i="19" s="1"/>
  <c r="Y45" i="15"/>
  <c r="A40" i="19" s="1"/>
  <c r="C40" i="19" s="1"/>
  <c r="I5" i="19"/>
  <c r="J198" i="19"/>
  <c r="N198" i="19" s="1"/>
  <c r="J190" i="19"/>
  <c r="N190" i="19" s="1"/>
  <c r="J182" i="19"/>
  <c r="N182" i="19" s="1"/>
  <c r="J174" i="19"/>
  <c r="N174" i="19" s="1"/>
  <c r="J166" i="19"/>
  <c r="N166" i="19" s="1"/>
  <c r="J158" i="19"/>
  <c r="N158" i="19" s="1"/>
  <c r="J150" i="19"/>
  <c r="N150" i="19" s="1"/>
  <c r="J199" i="19"/>
  <c r="N199" i="19" s="1"/>
  <c r="J191" i="19"/>
  <c r="N191" i="19" s="1"/>
  <c r="J183" i="19"/>
  <c r="N183" i="19" s="1"/>
  <c r="J175" i="19"/>
  <c r="N175" i="19" s="1"/>
  <c r="J167" i="19"/>
  <c r="N167" i="19" s="1"/>
  <c r="J159" i="19"/>
  <c r="N159" i="19" s="1"/>
  <c r="J200" i="19"/>
  <c r="N200" i="19" s="1"/>
  <c r="J192" i="19"/>
  <c r="N192" i="19" s="1"/>
  <c r="J184" i="19"/>
  <c r="N184" i="19" s="1"/>
  <c r="J176" i="19"/>
  <c r="N176" i="19" s="1"/>
  <c r="J168" i="19"/>
  <c r="N168" i="19" s="1"/>
  <c r="J160" i="19"/>
  <c r="N160" i="19" s="1"/>
  <c r="J152" i="19"/>
  <c r="N152" i="19" s="1"/>
  <c r="J144" i="19"/>
  <c r="N144" i="19" s="1"/>
  <c r="J136" i="19"/>
  <c r="N136" i="19" s="1"/>
  <c r="J128" i="19"/>
  <c r="N128" i="19" s="1"/>
  <c r="J120" i="19"/>
  <c r="N120" i="19" s="1"/>
  <c r="J112" i="19"/>
  <c r="N112" i="19" s="1"/>
  <c r="J201" i="19"/>
  <c r="N201" i="19" s="1"/>
  <c r="J193" i="19"/>
  <c r="N193" i="19" s="1"/>
  <c r="J185" i="19"/>
  <c r="N185" i="19" s="1"/>
  <c r="J177" i="19"/>
  <c r="N177" i="19" s="1"/>
  <c r="J169" i="19"/>
  <c r="N169" i="19" s="1"/>
  <c r="J161" i="19"/>
  <c r="N161" i="19" s="1"/>
  <c r="J153" i="19"/>
  <c r="N153" i="19" s="1"/>
  <c r="J145" i="19"/>
  <c r="N145" i="19" s="1"/>
  <c r="J137" i="19"/>
  <c r="N137" i="19" s="1"/>
  <c r="J129" i="19"/>
  <c r="N129" i="19" s="1"/>
  <c r="J121" i="19"/>
  <c r="N121" i="19" s="1"/>
  <c r="J113" i="19"/>
  <c r="N113" i="19" s="1"/>
  <c r="J202" i="19"/>
  <c r="N202" i="19" s="1"/>
  <c r="J194" i="19"/>
  <c r="N194" i="19" s="1"/>
  <c r="J186" i="19"/>
  <c r="N186" i="19" s="1"/>
  <c r="J178" i="19"/>
  <c r="N178" i="19" s="1"/>
  <c r="J170" i="19"/>
  <c r="N170" i="19" s="1"/>
  <c r="J162" i="19"/>
  <c r="N162" i="19" s="1"/>
  <c r="J154" i="19"/>
  <c r="N154" i="19" s="1"/>
  <c r="J146" i="19"/>
  <c r="N146" i="19" s="1"/>
  <c r="J138" i="19"/>
  <c r="N138" i="19" s="1"/>
  <c r="J130" i="19"/>
  <c r="N130" i="19" s="1"/>
  <c r="J122" i="19"/>
  <c r="N122" i="19" s="1"/>
  <c r="J204" i="19"/>
  <c r="N204" i="19" s="1"/>
  <c r="J196" i="19"/>
  <c r="N196" i="19" s="1"/>
  <c r="J188" i="19"/>
  <c r="N188" i="19" s="1"/>
  <c r="J180" i="19"/>
  <c r="N180" i="19" s="1"/>
  <c r="J172" i="19"/>
  <c r="N172" i="19" s="1"/>
  <c r="J164" i="19"/>
  <c r="N164" i="19" s="1"/>
  <c r="J156" i="19"/>
  <c r="N156" i="19" s="1"/>
  <c r="J148" i="19"/>
  <c r="N148" i="19" s="1"/>
  <c r="J140" i="19"/>
  <c r="N140" i="19" s="1"/>
  <c r="J132" i="19"/>
  <c r="N132" i="19" s="1"/>
  <c r="J197" i="19"/>
  <c r="N197" i="19" s="1"/>
  <c r="J189" i="19"/>
  <c r="N189" i="19" s="1"/>
  <c r="J181" i="19"/>
  <c r="N181" i="19" s="1"/>
  <c r="J173" i="19"/>
  <c r="N173" i="19" s="1"/>
  <c r="J165" i="19"/>
  <c r="N165" i="19" s="1"/>
  <c r="J157" i="19"/>
  <c r="N157" i="19" s="1"/>
  <c r="J149" i="19"/>
  <c r="N149" i="19" s="1"/>
  <c r="J141" i="19"/>
  <c r="N141" i="19" s="1"/>
  <c r="J195" i="19"/>
  <c r="N195" i="19" s="1"/>
  <c r="J118" i="19"/>
  <c r="N118" i="19" s="1"/>
  <c r="J105" i="19"/>
  <c r="N105" i="19" s="1"/>
  <c r="J96" i="19"/>
  <c r="N96" i="19" s="1"/>
  <c r="J88" i="19"/>
  <c r="N88" i="19" s="1"/>
  <c r="J80" i="19"/>
  <c r="N80" i="19" s="1"/>
  <c r="J72" i="19"/>
  <c r="N72" i="19" s="1"/>
  <c r="J64" i="19"/>
  <c r="N64" i="19" s="1"/>
  <c r="J56" i="19"/>
  <c r="N56" i="19" s="1"/>
  <c r="J48" i="19"/>
  <c r="N48" i="19" s="1"/>
  <c r="J203" i="19"/>
  <c r="N203" i="19" s="1"/>
  <c r="J134" i="19"/>
  <c r="N134" i="19" s="1"/>
  <c r="J125" i="19"/>
  <c r="N125" i="19" s="1"/>
  <c r="J123" i="19"/>
  <c r="N123" i="19" s="1"/>
  <c r="J116" i="19"/>
  <c r="N116" i="19" s="1"/>
  <c r="J110" i="19"/>
  <c r="N110" i="19" s="1"/>
  <c r="J106" i="19"/>
  <c r="N106" i="19" s="1"/>
  <c r="J97" i="19"/>
  <c r="N97" i="19" s="1"/>
  <c r="J89" i="19"/>
  <c r="N89" i="19" s="1"/>
  <c r="J81" i="19"/>
  <c r="N81" i="19" s="1"/>
  <c r="J73" i="19"/>
  <c r="N73" i="19" s="1"/>
  <c r="J65" i="19"/>
  <c r="N65" i="19" s="1"/>
  <c r="J57" i="19"/>
  <c r="N57" i="19" s="1"/>
  <c r="J151" i="19"/>
  <c r="N151" i="19" s="1"/>
  <c r="J147" i="19"/>
  <c r="N147" i="19" s="1"/>
  <c r="J127" i="19"/>
  <c r="N127" i="19" s="1"/>
  <c r="J107" i="19"/>
  <c r="N107" i="19" s="1"/>
  <c r="J98" i="19"/>
  <c r="N98" i="19" s="1"/>
  <c r="J90" i="19"/>
  <c r="N90" i="19" s="1"/>
  <c r="J82" i="19"/>
  <c r="N82" i="19" s="1"/>
  <c r="J74" i="19"/>
  <c r="N74" i="19" s="1"/>
  <c r="J66" i="19"/>
  <c r="N66" i="19" s="1"/>
  <c r="J58" i="19"/>
  <c r="N58" i="19" s="1"/>
  <c r="J50" i="19"/>
  <c r="N50" i="19" s="1"/>
  <c r="J155" i="19"/>
  <c r="N155" i="19" s="1"/>
  <c r="J131" i="19"/>
  <c r="N131" i="19" s="1"/>
  <c r="J114" i="19"/>
  <c r="N114" i="19" s="1"/>
  <c r="J108" i="19"/>
  <c r="N108" i="19" s="1"/>
  <c r="J99" i="19"/>
  <c r="N99" i="19" s="1"/>
  <c r="J91" i="19"/>
  <c r="N91" i="19" s="1"/>
  <c r="J83" i="19"/>
  <c r="N83" i="19" s="1"/>
  <c r="J75" i="19"/>
  <c r="N75" i="19" s="1"/>
  <c r="J67" i="19"/>
  <c r="N67" i="19" s="1"/>
  <c r="J59" i="19"/>
  <c r="N59" i="19" s="1"/>
  <c r="J51" i="19"/>
  <c r="N51" i="19" s="1"/>
  <c r="J163" i="19"/>
  <c r="N163" i="19" s="1"/>
  <c r="J133" i="19"/>
  <c r="N133" i="19" s="1"/>
  <c r="J119" i="19"/>
  <c r="N119" i="19" s="1"/>
  <c r="J117" i="19"/>
  <c r="N117" i="19" s="1"/>
  <c r="J111" i="19"/>
  <c r="N111" i="19" s="1"/>
  <c r="J100" i="19"/>
  <c r="N100" i="19" s="1"/>
  <c r="J92" i="19"/>
  <c r="N92" i="19" s="1"/>
  <c r="J84" i="19"/>
  <c r="N84" i="19" s="1"/>
  <c r="J76" i="19"/>
  <c r="N76" i="19" s="1"/>
  <c r="J68" i="19"/>
  <c r="N68" i="19" s="1"/>
  <c r="J60" i="19"/>
  <c r="N60" i="19" s="1"/>
  <c r="J52" i="19"/>
  <c r="N52" i="19" s="1"/>
  <c r="J44" i="19"/>
  <c r="N44" i="19" s="1"/>
  <c r="J179" i="19"/>
  <c r="N179" i="19" s="1"/>
  <c r="J187" i="19"/>
  <c r="N187" i="19" s="1"/>
  <c r="J142" i="19"/>
  <c r="N142" i="19" s="1"/>
  <c r="J139" i="19"/>
  <c r="N139" i="19" s="1"/>
  <c r="J104" i="19"/>
  <c r="N104" i="19" s="1"/>
  <c r="J95" i="19"/>
  <c r="N95" i="19" s="1"/>
  <c r="J87" i="19"/>
  <c r="N87" i="19" s="1"/>
  <c r="J115" i="19"/>
  <c r="N115" i="19" s="1"/>
  <c r="J109" i="19"/>
  <c r="N109" i="19" s="1"/>
  <c r="J94" i="19"/>
  <c r="N94" i="19" s="1"/>
  <c r="J69" i="19"/>
  <c r="N69" i="19" s="1"/>
  <c r="J41" i="19"/>
  <c r="N41" i="19" s="1"/>
  <c r="J34" i="19"/>
  <c r="N34" i="19" s="1"/>
  <c r="J24" i="19"/>
  <c r="N24" i="19" s="1"/>
  <c r="J11" i="19"/>
  <c r="N11" i="19" s="1"/>
  <c r="J171" i="19"/>
  <c r="N171" i="19" s="1"/>
  <c r="J93" i="19"/>
  <c r="N93" i="19" s="1"/>
  <c r="J78" i="19"/>
  <c r="N78" i="19" s="1"/>
  <c r="J63" i="19"/>
  <c r="N63" i="19" s="1"/>
  <c r="J54" i="19"/>
  <c r="N54" i="19" s="1"/>
  <c r="J35" i="19"/>
  <c r="N35" i="19" s="1"/>
  <c r="J25" i="19"/>
  <c r="N25" i="19" s="1"/>
  <c r="J18" i="19"/>
  <c r="N18" i="19" s="1"/>
  <c r="J102" i="19"/>
  <c r="N102" i="19" s="1"/>
  <c r="J47" i="19"/>
  <c r="N47" i="19" s="1"/>
  <c r="J126" i="19"/>
  <c r="N126" i="19" s="1"/>
  <c r="J101" i="19"/>
  <c r="N101" i="19" s="1"/>
  <c r="J77" i="19"/>
  <c r="N77" i="19" s="1"/>
  <c r="J62" i="19"/>
  <c r="N62" i="19" s="1"/>
  <c r="J49" i="19"/>
  <c r="N49" i="19" s="1"/>
  <c r="J45" i="19"/>
  <c r="N45" i="19" s="1"/>
  <c r="J38" i="19"/>
  <c r="N38" i="19" s="1"/>
  <c r="J37" i="19"/>
  <c r="N37" i="19" s="1"/>
  <c r="J36" i="19"/>
  <c r="N36" i="19" s="1"/>
  <c r="J27" i="19"/>
  <c r="N27" i="19" s="1"/>
  <c r="J26" i="19"/>
  <c r="N26" i="19" s="1"/>
  <c r="J20" i="19"/>
  <c r="N20" i="19" s="1"/>
  <c r="J135" i="19"/>
  <c r="N135" i="19" s="1"/>
  <c r="J71" i="19"/>
  <c r="N71" i="19" s="1"/>
  <c r="J53" i="19"/>
  <c r="N53" i="19" s="1"/>
  <c r="J42" i="19"/>
  <c r="N42" i="19" s="1"/>
  <c r="J30" i="19"/>
  <c r="N30" i="19" s="1"/>
  <c r="J29" i="19"/>
  <c r="N29" i="19" s="1"/>
  <c r="J28" i="19"/>
  <c r="N28" i="19" s="1"/>
  <c r="J21" i="19"/>
  <c r="N21" i="19" s="1"/>
  <c r="J124" i="19"/>
  <c r="N124" i="19" s="1"/>
  <c r="J46" i="19"/>
  <c r="N46" i="19" s="1"/>
  <c r="J22" i="19"/>
  <c r="N22" i="19" s="1"/>
  <c r="J19" i="19"/>
  <c r="N19" i="19" s="1"/>
  <c r="J8" i="19"/>
  <c r="N8" i="19" s="1"/>
  <c r="J3" i="19"/>
  <c r="N3" i="19" s="1"/>
  <c r="J39" i="19"/>
  <c r="J31" i="19"/>
  <c r="N31" i="19" s="1"/>
  <c r="J15" i="19"/>
  <c r="N15" i="19" s="1"/>
  <c r="J5" i="19"/>
  <c r="N5" i="19" s="1"/>
  <c r="J143" i="19"/>
  <c r="N143" i="19" s="1"/>
  <c r="J32" i="19"/>
  <c r="N32" i="19" s="1"/>
  <c r="J85" i="19"/>
  <c r="N85" i="19" s="1"/>
  <c r="J9" i="19"/>
  <c r="N9" i="19" s="1"/>
  <c r="J6" i="19"/>
  <c r="N6" i="19" s="1"/>
  <c r="J55" i="19"/>
  <c r="N55" i="19" s="1"/>
  <c r="J40" i="19"/>
  <c r="N40" i="19" s="1"/>
  <c r="J23" i="19"/>
  <c r="N23" i="19" s="1"/>
  <c r="J13" i="19"/>
  <c r="N13" i="19" s="1"/>
  <c r="J14" i="19"/>
  <c r="N14" i="19" s="1"/>
  <c r="J79" i="19"/>
  <c r="N79" i="19" s="1"/>
  <c r="J70" i="19"/>
  <c r="N70" i="19" s="1"/>
  <c r="J61" i="19"/>
  <c r="N61" i="19" s="1"/>
  <c r="J7" i="19"/>
  <c r="N7" i="19" s="1"/>
  <c r="J16" i="19"/>
  <c r="N16" i="19" s="1"/>
  <c r="J10" i="19"/>
  <c r="N10" i="19" s="1"/>
  <c r="J33" i="19"/>
  <c r="N33" i="19" s="1"/>
  <c r="J86" i="19"/>
  <c r="N86" i="19" s="1"/>
  <c r="J43" i="19"/>
  <c r="N43" i="19" s="1"/>
  <c r="J12" i="19"/>
  <c r="N12" i="19" s="1"/>
  <c r="J2" i="19"/>
  <c r="N2" i="19" s="1"/>
  <c r="J17" i="19"/>
  <c r="N17" i="19" s="1"/>
  <c r="J4" i="19"/>
  <c r="N4" i="19" s="1"/>
  <c r="L2" i="4"/>
  <c r="D24" i="3"/>
  <c r="D23" i="3"/>
  <c r="D21" i="3"/>
  <c r="L2" i="1"/>
  <c r="L51" i="12"/>
  <c r="J42" i="12"/>
  <c r="J31" i="15"/>
  <c r="C2" i="3"/>
  <c r="S47" i="15"/>
  <c r="Q47" i="15"/>
  <c r="L47" i="15"/>
  <c r="K47" i="15"/>
  <c r="H47" i="15"/>
  <c r="G47" i="15"/>
  <c r="Q46" i="15"/>
  <c r="K46" i="15"/>
  <c r="H46" i="15"/>
  <c r="G46" i="15"/>
  <c r="Y46" i="15" s="1"/>
  <c r="A41" i="19" s="1"/>
  <c r="C41" i="19" s="1"/>
  <c r="Q45" i="15"/>
  <c r="K45" i="15"/>
  <c r="H45" i="15"/>
  <c r="G45" i="15"/>
  <c r="Q44" i="15"/>
  <c r="K44" i="15"/>
  <c r="H44" i="15"/>
  <c r="G44" i="15"/>
  <c r="Q43" i="15"/>
  <c r="K43" i="15"/>
  <c r="H43" i="15"/>
  <c r="G43" i="15"/>
  <c r="Y43" i="15" s="1"/>
  <c r="A38" i="19" s="1"/>
  <c r="C38" i="19" s="1"/>
  <c r="Q42" i="15"/>
  <c r="K42" i="15"/>
  <c r="I42" i="15"/>
  <c r="H42" i="15"/>
  <c r="G42" i="15"/>
  <c r="Q41" i="15"/>
  <c r="K41" i="15"/>
  <c r="H41" i="15"/>
  <c r="G41" i="15"/>
  <c r="Y41" i="15" s="1"/>
  <c r="A36" i="19" s="1"/>
  <c r="C36" i="19" s="1"/>
  <c r="S40" i="15"/>
  <c r="Q40" i="15"/>
  <c r="K40" i="15"/>
  <c r="H40" i="15"/>
  <c r="G40" i="15"/>
  <c r="Y40" i="15" s="1"/>
  <c r="A35" i="19" s="1"/>
  <c r="C35" i="19" s="1"/>
  <c r="Q39" i="15"/>
  <c r="L39" i="15"/>
  <c r="K39" i="15"/>
  <c r="H39" i="15"/>
  <c r="G39" i="15"/>
  <c r="Y39" i="15" s="1"/>
  <c r="A34" i="19" s="1"/>
  <c r="C34" i="19" s="1"/>
  <c r="Q38" i="15"/>
  <c r="K38" i="15"/>
  <c r="I38" i="15"/>
  <c r="H38" i="15"/>
  <c r="G38" i="15"/>
  <c r="R38" i="15" s="1"/>
  <c r="A158" i="33" s="1"/>
  <c r="C158" i="33" s="1"/>
  <c r="Q37" i="15"/>
  <c r="K37" i="15"/>
  <c r="H37" i="15"/>
  <c r="G37" i="15"/>
  <c r="Y37" i="15" s="1"/>
  <c r="A32" i="19" s="1"/>
  <c r="C32" i="19" s="1"/>
  <c r="S36" i="15"/>
  <c r="Q36" i="15"/>
  <c r="L36" i="15"/>
  <c r="K36" i="15"/>
  <c r="H36" i="15"/>
  <c r="G36" i="15"/>
  <c r="Q35" i="15"/>
  <c r="M35" i="15"/>
  <c r="N35" i="15" s="1"/>
  <c r="K35" i="15"/>
  <c r="I35" i="15"/>
  <c r="H35" i="15"/>
  <c r="G35" i="15"/>
  <c r="Y35" i="15" s="1"/>
  <c r="A30" i="19" s="1"/>
  <c r="C30" i="19" s="1"/>
  <c r="Q34" i="15"/>
  <c r="L34" i="15"/>
  <c r="K34" i="15"/>
  <c r="H34" i="15"/>
  <c r="I34" i="15" s="1"/>
  <c r="G34" i="15"/>
  <c r="Y34" i="15" s="1"/>
  <c r="A29" i="19" s="1"/>
  <c r="C29" i="19" s="1"/>
  <c r="Q33" i="15"/>
  <c r="K33" i="15"/>
  <c r="H33" i="15"/>
  <c r="G33" i="15"/>
  <c r="Y33" i="15" s="1"/>
  <c r="A28" i="19" s="1"/>
  <c r="C28" i="19" s="1"/>
  <c r="Q32" i="15"/>
  <c r="K32" i="15"/>
  <c r="H32" i="15"/>
  <c r="G32" i="15"/>
  <c r="Y32" i="15" s="1"/>
  <c r="A27" i="19" s="1"/>
  <c r="C27" i="19" s="1"/>
  <c r="Q31" i="15"/>
  <c r="K31" i="15"/>
  <c r="H31" i="15"/>
  <c r="G31" i="15"/>
  <c r="Y31" i="15" s="1"/>
  <c r="A26" i="19" s="1"/>
  <c r="C26" i="19" s="1"/>
  <c r="Q30" i="15"/>
  <c r="L30" i="15"/>
  <c r="K30" i="15"/>
  <c r="J30" i="15"/>
  <c r="H30" i="15"/>
  <c r="G30" i="15"/>
  <c r="Y30" i="15" s="1"/>
  <c r="A25" i="19" s="1"/>
  <c r="C25" i="19" s="1"/>
  <c r="Q29" i="15"/>
  <c r="K29" i="15"/>
  <c r="J29" i="15"/>
  <c r="H29" i="15"/>
  <c r="G29" i="15"/>
  <c r="Y29" i="15" s="1"/>
  <c r="A24" i="19" s="1"/>
  <c r="C24" i="19" s="1"/>
  <c r="Q28" i="15"/>
  <c r="K28" i="15"/>
  <c r="H28" i="15"/>
  <c r="G28" i="15"/>
  <c r="Y28" i="15" s="1"/>
  <c r="A23" i="19" s="1"/>
  <c r="C23" i="19" s="1"/>
  <c r="Q27" i="15"/>
  <c r="K27" i="15"/>
  <c r="J27" i="15"/>
  <c r="H27" i="15"/>
  <c r="G27" i="15"/>
  <c r="Y27" i="15" s="1"/>
  <c r="A22" i="19" s="1"/>
  <c r="C22" i="19" s="1"/>
  <c r="Q26" i="15"/>
  <c r="K26" i="15"/>
  <c r="H26" i="15"/>
  <c r="G26" i="15"/>
  <c r="Y26" i="15" s="1"/>
  <c r="A21" i="19" s="1"/>
  <c r="C21" i="19" s="1"/>
  <c r="Q25" i="15"/>
  <c r="K25" i="15"/>
  <c r="J25" i="15"/>
  <c r="H25" i="15"/>
  <c r="G25" i="15"/>
  <c r="Y25" i="15" s="1"/>
  <c r="A20" i="19" s="1"/>
  <c r="C20" i="19" s="1"/>
  <c r="Q24" i="15"/>
  <c r="K24" i="15"/>
  <c r="H24" i="15"/>
  <c r="G24" i="15"/>
  <c r="Y24" i="15" s="1"/>
  <c r="A19" i="19" s="1"/>
  <c r="C19" i="19" s="1"/>
  <c r="Q23" i="15"/>
  <c r="K23" i="15"/>
  <c r="J23" i="15"/>
  <c r="H23" i="15"/>
  <c r="G23" i="15"/>
  <c r="Y23" i="15" s="1"/>
  <c r="A18" i="19" s="1"/>
  <c r="C18" i="19" s="1"/>
  <c r="Q22" i="15"/>
  <c r="K22" i="15"/>
  <c r="J22" i="15"/>
  <c r="H22" i="15"/>
  <c r="G22" i="15"/>
  <c r="Y22" i="15" s="1"/>
  <c r="A17" i="19" s="1"/>
  <c r="C17" i="19" s="1"/>
  <c r="Q21" i="15"/>
  <c r="K21" i="15"/>
  <c r="J21" i="15"/>
  <c r="H21" i="15"/>
  <c r="G21" i="15"/>
  <c r="Y21" i="15" s="1"/>
  <c r="A16" i="19" s="1"/>
  <c r="C16" i="19" s="1"/>
  <c r="Q20" i="15"/>
  <c r="L20" i="15"/>
  <c r="K20" i="15"/>
  <c r="H20" i="15"/>
  <c r="G20" i="15"/>
  <c r="Y20" i="15" s="1"/>
  <c r="A15" i="19" s="1"/>
  <c r="C15" i="19" s="1"/>
  <c r="Q19" i="15"/>
  <c r="K19" i="15"/>
  <c r="J19" i="15"/>
  <c r="H19" i="15"/>
  <c r="G19" i="15"/>
  <c r="Y19" i="15" s="1"/>
  <c r="A14" i="19" s="1"/>
  <c r="C14" i="19" s="1"/>
  <c r="Q18" i="15"/>
  <c r="K18" i="15"/>
  <c r="J18" i="15"/>
  <c r="H18" i="15"/>
  <c r="G18" i="15"/>
  <c r="Y18" i="15" s="1"/>
  <c r="A13" i="19" s="1"/>
  <c r="C13" i="19" s="1"/>
  <c r="Q17" i="15"/>
  <c r="K17" i="15"/>
  <c r="J17" i="15"/>
  <c r="H17" i="15"/>
  <c r="G17" i="15"/>
  <c r="Y17" i="15" s="1"/>
  <c r="A12" i="19" s="1"/>
  <c r="C12" i="19" s="1"/>
  <c r="Q16" i="15"/>
  <c r="K16" i="15"/>
  <c r="H16" i="15"/>
  <c r="G16" i="15"/>
  <c r="Y16" i="15" s="1"/>
  <c r="A11" i="19" s="1"/>
  <c r="C11" i="19" s="1"/>
  <c r="Q15" i="15"/>
  <c r="L15" i="15"/>
  <c r="K15" i="15"/>
  <c r="J15" i="15"/>
  <c r="H15" i="15"/>
  <c r="G15" i="15"/>
  <c r="Y15" i="15" s="1"/>
  <c r="A10" i="19" s="1"/>
  <c r="C10" i="19" s="1"/>
  <c r="Q14" i="15"/>
  <c r="K14" i="15"/>
  <c r="J14" i="15"/>
  <c r="H14" i="15"/>
  <c r="G14" i="15"/>
  <c r="Q13" i="15"/>
  <c r="K13" i="15"/>
  <c r="J13" i="15"/>
  <c r="H13" i="15"/>
  <c r="G13" i="15"/>
  <c r="Y13" i="15" s="1"/>
  <c r="A8" i="19" s="1"/>
  <c r="C8" i="19" s="1"/>
  <c r="Q12" i="15"/>
  <c r="L12" i="15"/>
  <c r="K12" i="15"/>
  <c r="H12" i="15"/>
  <c r="G12" i="15"/>
  <c r="Y12" i="15" s="1"/>
  <c r="A7" i="19" s="1"/>
  <c r="C7" i="19" s="1"/>
  <c r="Q11" i="15"/>
  <c r="K11" i="15"/>
  <c r="J11" i="15"/>
  <c r="H11" i="15"/>
  <c r="G11" i="15"/>
  <c r="Y11" i="15" s="1"/>
  <c r="A6" i="19" s="1"/>
  <c r="C6" i="19" s="1"/>
  <c r="Q10" i="15"/>
  <c r="L10" i="15"/>
  <c r="K10" i="15"/>
  <c r="J10" i="15"/>
  <c r="H10" i="15"/>
  <c r="G10" i="15"/>
  <c r="M10" i="15" s="1"/>
  <c r="N10" i="15" s="1"/>
  <c r="Q9" i="15"/>
  <c r="K9" i="15"/>
  <c r="J9" i="15"/>
  <c r="H9" i="15"/>
  <c r="G9" i="15"/>
  <c r="Y9" i="15" s="1"/>
  <c r="A4" i="19" s="1"/>
  <c r="C4" i="19" s="1"/>
  <c r="Q8" i="15"/>
  <c r="L8" i="15"/>
  <c r="K8" i="15"/>
  <c r="H8" i="15"/>
  <c r="G8" i="15"/>
  <c r="Y8" i="15" s="1"/>
  <c r="A3" i="19" s="1"/>
  <c r="C3" i="19" s="1"/>
  <c r="H32" i="17"/>
  <c r="H30" i="17"/>
  <c r="H29" i="17"/>
  <c r="H27" i="17"/>
  <c r="P1" i="17"/>
  <c r="H32" i="16"/>
  <c r="H30" i="16"/>
  <c r="H29" i="16"/>
  <c r="H27" i="16"/>
  <c r="P1" i="16"/>
  <c r="Q7" i="15"/>
  <c r="K7" i="15"/>
  <c r="H7" i="15"/>
  <c r="G7" i="15"/>
  <c r="R7" i="15" s="1"/>
  <c r="S6" i="15"/>
  <c r="S44" i="15" s="1"/>
  <c r="S2" i="15"/>
  <c r="M40" i="15" s="1"/>
  <c r="N40" i="15" s="1"/>
  <c r="G38" i="12"/>
  <c r="I38" i="12" s="1"/>
  <c r="H38" i="12"/>
  <c r="K38" i="12"/>
  <c r="Q38" i="12"/>
  <c r="G39" i="12"/>
  <c r="H39" i="12"/>
  <c r="K39" i="12"/>
  <c r="Q39" i="12"/>
  <c r="G40" i="12"/>
  <c r="I40" i="12" s="1"/>
  <c r="H40" i="12"/>
  <c r="K40" i="12"/>
  <c r="Q40" i="12"/>
  <c r="G41" i="12"/>
  <c r="H41" i="12"/>
  <c r="K41" i="12"/>
  <c r="Q41" i="12"/>
  <c r="G42" i="12"/>
  <c r="I42" i="12" s="1"/>
  <c r="H42" i="12"/>
  <c r="K42" i="12"/>
  <c r="Q42" i="12"/>
  <c r="G43" i="12"/>
  <c r="H43" i="12"/>
  <c r="K43" i="12"/>
  <c r="Q43" i="12"/>
  <c r="G44" i="12"/>
  <c r="I44" i="12" s="1"/>
  <c r="H44" i="12"/>
  <c r="K44" i="12"/>
  <c r="Q44" i="12"/>
  <c r="G45" i="12"/>
  <c r="H45" i="12"/>
  <c r="K45" i="12"/>
  <c r="Q45" i="12"/>
  <c r="G46" i="12"/>
  <c r="I46" i="12" s="1"/>
  <c r="H46" i="12"/>
  <c r="K46" i="12"/>
  <c r="Q46" i="12"/>
  <c r="G47" i="12"/>
  <c r="H47" i="12"/>
  <c r="K47" i="12"/>
  <c r="Q47" i="12"/>
  <c r="G48" i="12"/>
  <c r="I48" i="12" s="1"/>
  <c r="H48" i="12"/>
  <c r="K48" i="12"/>
  <c r="Q48" i="12"/>
  <c r="G49" i="12"/>
  <c r="H49" i="12"/>
  <c r="K49" i="12"/>
  <c r="Q49" i="12"/>
  <c r="G50" i="12"/>
  <c r="H50" i="12"/>
  <c r="K50" i="12"/>
  <c r="Q50" i="12"/>
  <c r="G51" i="12"/>
  <c r="H51" i="12"/>
  <c r="K51" i="12"/>
  <c r="Q51" i="12"/>
  <c r="G52" i="12"/>
  <c r="I52" i="12" s="1"/>
  <c r="H52" i="12"/>
  <c r="K52" i="12"/>
  <c r="Q52" i="12"/>
  <c r="G53" i="12"/>
  <c r="H53" i="12"/>
  <c r="K53" i="12"/>
  <c r="Q53" i="12"/>
  <c r="G54" i="12"/>
  <c r="I54" i="12" s="1"/>
  <c r="H54" i="12"/>
  <c r="K54" i="12"/>
  <c r="Q54" i="12"/>
  <c r="G55" i="12"/>
  <c r="H55" i="12"/>
  <c r="K55" i="12"/>
  <c r="Q55" i="12"/>
  <c r="G56" i="12"/>
  <c r="I56" i="12" s="1"/>
  <c r="H56" i="12"/>
  <c r="K56" i="12"/>
  <c r="Q56" i="12"/>
  <c r="G57" i="12"/>
  <c r="H57" i="12"/>
  <c r="K57" i="12"/>
  <c r="Q57" i="12"/>
  <c r="G15" i="12"/>
  <c r="H15" i="12"/>
  <c r="K15" i="12"/>
  <c r="Q15" i="12"/>
  <c r="G16" i="12"/>
  <c r="H16" i="12"/>
  <c r="K16" i="12"/>
  <c r="Q16" i="12"/>
  <c r="G17" i="12"/>
  <c r="H17" i="12"/>
  <c r="K17" i="12"/>
  <c r="Q17" i="12"/>
  <c r="G18" i="12"/>
  <c r="H18" i="12"/>
  <c r="K18" i="12"/>
  <c r="Q18" i="12"/>
  <c r="G19" i="12"/>
  <c r="H19" i="12"/>
  <c r="K19" i="12"/>
  <c r="Q19" i="12"/>
  <c r="G20" i="12"/>
  <c r="H20" i="12"/>
  <c r="K20" i="12"/>
  <c r="Q20" i="12"/>
  <c r="G21" i="12"/>
  <c r="H21" i="12"/>
  <c r="K21" i="12"/>
  <c r="Q21" i="12"/>
  <c r="G22" i="12"/>
  <c r="H22" i="12"/>
  <c r="K22" i="12"/>
  <c r="Q22" i="12"/>
  <c r="G23" i="12"/>
  <c r="H23" i="12"/>
  <c r="K23" i="12"/>
  <c r="Q23" i="12"/>
  <c r="G24" i="12"/>
  <c r="H24" i="12"/>
  <c r="K24" i="12"/>
  <c r="Q24" i="12"/>
  <c r="G25" i="12"/>
  <c r="H25" i="12"/>
  <c r="K25" i="12"/>
  <c r="Q25" i="12"/>
  <c r="G26" i="12"/>
  <c r="H26" i="12"/>
  <c r="K26" i="12"/>
  <c r="Q26" i="12"/>
  <c r="G27" i="12"/>
  <c r="H27" i="12"/>
  <c r="K27" i="12"/>
  <c r="Q27" i="12"/>
  <c r="G28" i="12"/>
  <c r="H28" i="12"/>
  <c r="K28" i="12"/>
  <c r="Q28" i="12"/>
  <c r="G29" i="12"/>
  <c r="H29" i="12"/>
  <c r="K29" i="12"/>
  <c r="Q29" i="12"/>
  <c r="G30" i="12"/>
  <c r="H30" i="12"/>
  <c r="K30" i="12"/>
  <c r="Q30" i="12"/>
  <c r="G31" i="12"/>
  <c r="H31" i="12"/>
  <c r="K31" i="12"/>
  <c r="Q31" i="12"/>
  <c r="G32" i="12"/>
  <c r="H32" i="12"/>
  <c r="K32" i="12"/>
  <c r="Q32" i="12"/>
  <c r="G33" i="12"/>
  <c r="H33" i="12"/>
  <c r="K33" i="12"/>
  <c r="Q33" i="12"/>
  <c r="G34" i="12"/>
  <c r="H34" i="12"/>
  <c r="K34" i="12"/>
  <c r="Q34" i="12"/>
  <c r="G35" i="12"/>
  <c r="H35" i="12"/>
  <c r="J35" i="12"/>
  <c r="K35" i="12"/>
  <c r="Q35" i="12"/>
  <c r="G36" i="12"/>
  <c r="H36" i="12"/>
  <c r="K36" i="12"/>
  <c r="Q36" i="12"/>
  <c r="G37" i="12"/>
  <c r="H37" i="12"/>
  <c r="K37" i="12"/>
  <c r="Q37" i="12"/>
  <c r="Q14" i="12"/>
  <c r="K14" i="12"/>
  <c r="H14" i="12"/>
  <c r="G14" i="12"/>
  <c r="Q13" i="12"/>
  <c r="K13" i="12"/>
  <c r="H13" i="12"/>
  <c r="G13" i="12"/>
  <c r="Q12" i="12"/>
  <c r="K12" i="12"/>
  <c r="H12" i="12"/>
  <c r="G12" i="12"/>
  <c r="Q11" i="12"/>
  <c r="K11" i="12"/>
  <c r="H11" i="12"/>
  <c r="G11" i="12"/>
  <c r="Q10" i="12"/>
  <c r="K10" i="12"/>
  <c r="H10" i="12"/>
  <c r="G10" i="12"/>
  <c r="Q9" i="12"/>
  <c r="K9" i="12"/>
  <c r="H9" i="12"/>
  <c r="G9" i="12"/>
  <c r="G8" i="12"/>
  <c r="H8" i="12"/>
  <c r="K8" i="12"/>
  <c r="Q8" i="12"/>
  <c r="H32" i="14"/>
  <c r="H30" i="14"/>
  <c r="H29" i="14"/>
  <c r="H27" i="14"/>
  <c r="P1" i="14"/>
  <c r="H32" i="13"/>
  <c r="H30" i="13"/>
  <c r="H29" i="13"/>
  <c r="H27" i="13"/>
  <c r="P1" i="13"/>
  <c r="K7" i="12"/>
  <c r="H7" i="12"/>
  <c r="G7" i="12"/>
  <c r="S6" i="12"/>
  <c r="S8" i="12" s="1"/>
  <c r="S2" i="12"/>
  <c r="R2" i="12"/>
  <c r="E19" i="19" l="1"/>
  <c r="E34" i="19"/>
  <c r="E8" i="19"/>
  <c r="E21" i="19"/>
  <c r="E26" i="19"/>
  <c r="E28" i="19"/>
  <c r="E36" i="19"/>
  <c r="E14" i="19"/>
  <c r="E11" i="19"/>
  <c r="E13" i="19"/>
  <c r="E23" i="19"/>
  <c r="E30" i="19"/>
  <c r="E38" i="19"/>
  <c r="E6" i="19"/>
  <c r="A127" i="33"/>
  <c r="C127" i="33" s="1"/>
  <c r="A2" i="16"/>
  <c r="P7" i="15"/>
  <c r="E10" i="19"/>
  <c r="E18" i="19"/>
  <c r="E25" i="19"/>
  <c r="E7" i="19"/>
  <c r="E15" i="19"/>
  <c r="E20" i="19"/>
  <c r="E35" i="19"/>
  <c r="E3" i="19"/>
  <c r="E16" i="19"/>
  <c r="E12" i="19"/>
  <c r="E22" i="19"/>
  <c r="E27" i="19"/>
  <c r="E29" i="19"/>
  <c r="E4" i="19"/>
  <c r="E17" i="19"/>
  <c r="E24" i="19"/>
  <c r="E32" i="19"/>
  <c r="E41" i="19"/>
  <c r="S32" i="15"/>
  <c r="T32" i="15" s="1"/>
  <c r="E9" i="19"/>
  <c r="S43" i="15"/>
  <c r="S46" i="15"/>
  <c r="E39" i="19"/>
  <c r="S31" i="15"/>
  <c r="T31" i="15" s="1"/>
  <c r="S35" i="15"/>
  <c r="S39" i="15"/>
  <c r="T44" i="15"/>
  <c r="T47" i="15"/>
  <c r="E37" i="19"/>
  <c r="S34" i="15"/>
  <c r="T36" i="15"/>
  <c r="S38" i="15"/>
  <c r="T40" i="15"/>
  <c r="S42" i="15"/>
  <c r="S45" i="15"/>
  <c r="E31" i="19"/>
  <c r="S33" i="15"/>
  <c r="T35" i="15"/>
  <c r="T39" i="15"/>
  <c r="T43" i="15"/>
  <c r="I47" i="15"/>
  <c r="M47" i="15"/>
  <c r="Y10" i="15"/>
  <c r="A5" i="19" s="1"/>
  <c r="C5" i="19" s="1"/>
  <c r="E40" i="19"/>
  <c r="S37" i="15"/>
  <c r="S41" i="15"/>
  <c r="T41" i="15" s="1"/>
  <c r="Y7" i="15"/>
  <c r="E158" i="33"/>
  <c r="I39" i="15"/>
  <c r="I43" i="15"/>
  <c r="I46" i="15"/>
  <c r="Y47" i="15"/>
  <c r="A42" i="19" s="1"/>
  <c r="C42" i="19" s="1"/>
  <c r="Y38" i="15"/>
  <c r="A33" i="19" s="1"/>
  <c r="C33" i="19" s="1"/>
  <c r="M7" i="15"/>
  <c r="I49" i="12"/>
  <c r="I47" i="12"/>
  <c r="I43" i="12"/>
  <c r="I39" i="12"/>
  <c r="I55" i="12"/>
  <c r="I51" i="12"/>
  <c r="S49" i="12"/>
  <c r="T49" i="12" s="1"/>
  <c r="T46" i="12"/>
  <c r="S57" i="12"/>
  <c r="T57" i="12" s="1"/>
  <c r="S42" i="12"/>
  <c r="T42" i="12" s="1"/>
  <c r="S54" i="12"/>
  <c r="T54" i="12" s="1"/>
  <c r="S50" i="12"/>
  <c r="T50" i="12" s="1"/>
  <c r="I45" i="12"/>
  <c r="I41" i="12"/>
  <c r="S38" i="12"/>
  <c r="T38" i="12" s="1"/>
  <c r="S47" i="12"/>
  <c r="S43" i="12"/>
  <c r="S39" i="12"/>
  <c r="S55" i="12"/>
  <c r="T55" i="12" s="1"/>
  <c r="S51" i="12"/>
  <c r="S46" i="12"/>
  <c r="S48" i="12"/>
  <c r="T48" i="12" s="1"/>
  <c r="S44" i="12"/>
  <c r="T44" i="12" s="1"/>
  <c r="S40" i="12"/>
  <c r="T40" i="12" s="1"/>
  <c r="S53" i="12"/>
  <c r="T53" i="12" s="1"/>
  <c r="S56" i="12"/>
  <c r="T56" i="12" s="1"/>
  <c r="S52" i="12"/>
  <c r="T52" i="12" s="1"/>
  <c r="I50" i="12"/>
  <c r="R11" i="12"/>
  <c r="A80" i="33" s="1"/>
  <c r="C80" i="33" s="1"/>
  <c r="S45" i="12"/>
  <c r="T45" i="12" s="1"/>
  <c r="S41" i="12"/>
  <c r="T41" i="12" s="1"/>
  <c r="L60" i="4"/>
  <c r="R60" i="4"/>
  <c r="P60" i="4" s="1"/>
  <c r="O60" i="4" s="1"/>
  <c r="L52" i="4"/>
  <c r="L53" i="4"/>
  <c r="R53" i="4"/>
  <c r="P53" i="4" s="1"/>
  <c r="R52" i="4"/>
  <c r="P52" i="4" s="1"/>
  <c r="L51" i="4"/>
  <c r="R51" i="4"/>
  <c r="P51" i="4" s="1"/>
  <c r="I43" i="19"/>
  <c r="N39" i="19"/>
  <c r="L11" i="15"/>
  <c r="L14" i="15"/>
  <c r="M32" i="15"/>
  <c r="N32" i="15" s="1"/>
  <c r="L42" i="15"/>
  <c r="L37" i="15"/>
  <c r="L45" i="15"/>
  <c r="L35" i="15"/>
  <c r="M36" i="15"/>
  <c r="N36" i="15" s="1"/>
  <c r="J26" i="15"/>
  <c r="L45" i="12"/>
  <c r="L8" i="12"/>
  <c r="L48" i="12"/>
  <c r="L35" i="12"/>
  <c r="L46" i="12"/>
  <c r="R41" i="12"/>
  <c r="A110" i="33" s="1"/>
  <c r="C110" i="33" s="1"/>
  <c r="L9" i="12"/>
  <c r="L18" i="12"/>
  <c r="L47" i="12"/>
  <c r="J23" i="12"/>
  <c r="L19" i="15"/>
  <c r="L22" i="15"/>
  <c r="L44" i="15"/>
  <c r="R49" i="12"/>
  <c r="A118" i="33" s="1"/>
  <c r="C118" i="33" s="1"/>
  <c r="J19" i="12"/>
  <c r="M50" i="12"/>
  <c r="N50" i="12" s="1"/>
  <c r="R46" i="15"/>
  <c r="A166" i="33" s="1"/>
  <c r="C166" i="33" s="1"/>
  <c r="J31" i="12"/>
  <c r="L44" i="12"/>
  <c r="L18" i="15"/>
  <c r="L24" i="15"/>
  <c r="L27" i="15"/>
  <c r="M43" i="15"/>
  <c r="N43" i="15" s="1"/>
  <c r="L7" i="15"/>
  <c r="N47" i="15"/>
  <c r="L26" i="12"/>
  <c r="R57" i="12"/>
  <c r="M56" i="12"/>
  <c r="N56" i="12" s="1"/>
  <c r="L55" i="12"/>
  <c r="L54" i="12"/>
  <c r="L52" i="12"/>
  <c r="L24" i="12"/>
  <c r="L56" i="12"/>
  <c r="L53" i="12"/>
  <c r="L21" i="12"/>
  <c r="R53" i="12"/>
  <c r="M52" i="12"/>
  <c r="N52" i="12" s="1"/>
  <c r="L50" i="12"/>
  <c r="L29" i="12"/>
  <c r="L15" i="12"/>
  <c r="L57" i="12"/>
  <c r="R40" i="12"/>
  <c r="L12" i="12"/>
  <c r="L27" i="12"/>
  <c r="R44" i="12"/>
  <c r="A113" i="33" s="1"/>
  <c r="C113" i="33" s="1"/>
  <c r="E113" i="33" s="1"/>
  <c r="M42" i="12"/>
  <c r="N42" i="12" s="1"/>
  <c r="M41" i="12"/>
  <c r="N41" i="12" s="1"/>
  <c r="M54" i="12"/>
  <c r="N54" i="12" s="1"/>
  <c r="M49" i="12"/>
  <c r="N49" i="12" s="1"/>
  <c r="L32" i="12"/>
  <c r="R48" i="12"/>
  <c r="M46" i="12"/>
  <c r="N46" i="12" s="1"/>
  <c r="M45" i="12"/>
  <c r="N45" i="12" s="1"/>
  <c r="L43" i="12"/>
  <c r="L42" i="12"/>
  <c r="L41" i="12"/>
  <c r="L43" i="15"/>
  <c r="M44" i="15"/>
  <c r="N44" i="15" s="1"/>
  <c r="L23" i="15"/>
  <c r="L26" i="15"/>
  <c r="L33" i="15"/>
  <c r="L41" i="15"/>
  <c r="L16" i="15"/>
  <c r="L32" i="15"/>
  <c r="L40" i="15"/>
  <c r="L28" i="15"/>
  <c r="L31" i="15"/>
  <c r="R34" i="15"/>
  <c r="L38" i="15"/>
  <c r="M39" i="15"/>
  <c r="N39" i="15" s="1"/>
  <c r="R42" i="15"/>
  <c r="L46" i="15"/>
  <c r="J27" i="12"/>
  <c r="J15" i="12"/>
  <c r="J7" i="15"/>
  <c r="M33" i="15"/>
  <c r="N33" i="15" s="1"/>
  <c r="M37" i="15"/>
  <c r="N37" i="15" s="1"/>
  <c r="M41" i="15"/>
  <c r="N41" i="15" s="1"/>
  <c r="M45" i="15"/>
  <c r="N45" i="15" s="1"/>
  <c r="P38" i="15"/>
  <c r="J13" i="12"/>
  <c r="L39" i="12"/>
  <c r="M38" i="12"/>
  <c r="N38" i="12" s="1"/>
  <c r="J8" i="15"/>
  <c r="L9" i="15"/>
  <c r="J12" i="15"/>
  <c r="L13" i="15"/>
  <c r="J16" i="15"/>
  <c r="L17" i="15"/>
  <c r="J20" i="15"/>
  <c r="L21" i="15"/>
  <c r="J24" i="15"/>
  <c r="L25" i="15"/>
  <c r="J28" i="15"/>
  <c r="L29" i="15"/>
  <c r="P46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1" i="12"/>
  <c r="J9" i="12"/>
  <c r="J50" i="12"/>
  <c r="L33" i="12"/>
  <c r="L49" i="12"/>
  <c r="L7" i="12"/>
  <c r="L19" i="12"/>
  <c r="L16" i="12"/>
  <c r="L11" i="12"/>
  <c r="L36" i="12"/>
  <c r="L30" i="12"/>
  <c r="L40" i="12"/>
  <c r="L31" i="12"/>
  <c r="L28" i="12"/>
  <c r="L25" i="12"/>
  <c r="L22" i="12"/>
  <c r="M57" i="12"/>
  <c r="N57" i="12" s="1"/>
  <c r="M53" i="12"/>
  <c r="N53" i="12" s="1"/>
  <c r="L14" i="12"/>
  <c r="L38" i="12"/>
  <c r="L10" i="12"/>
  <c r="L13" i="12"/>
  <c r="L37" i="12"/>
  <c r="L34" i="12"/>
  <c r="L23" i="12"/>
  <c r="L20" i="12"/>
  <c r="L17" i="12"/>
  <c r="R56" i="12"/>
  <c r="A125" i="33" s="1"/>
  <c r="C125" i="33" s="1"/>
  <c r="R54" i="12"/>
  <c r="R52" i="12"/>
  <c r="R45" i="12"/>
  <c r="A114" i="33" s="1"/>
  <c r="C114" i="33" s="1"/>
  <c r="J12" i="12"/>
  <c r="J57" i="12"/>
  <c r="J49" i="12"/>
  <c r="J48" i="12"/>
  <c r="J47" i="12"/>
  <c r="J40" i="12"/>
  <c r="J39" i="12"/>
  <c r="J8" i="12"/>
  <c r="J36" i="12"/>
  <c r="J32" i="12"/>
  <c r="J28" i="12"/>
  <c r="J24" i="12"/>
  <c r="J20" i="12"/>
  <c r="J16" i="12"/>
  <c r="J56" i="12"/>
  <c r="J55" i="12"/>
  <c r="J46" i="12"/>
  <c r="J11" i="12"/>
  <c r="J54" i="12"/>
  <c r="J38" i="12"/>
  <c r="J37" i="12"/>
  <c r="J33" i="12"/>
  <c r="J29" i="12"/>
  <c r="J25" i="12"/>
  <c r="J21" i="12"/>
  <c r="J17" i="12"/>
  <c r="J45" i="12"/>
  <c r="J10" i="12"/>
  <c r="J14" i="12"/>
  <c r="P57" i="12"/>
  <c r="J53" i="12"/>
  <c r="J44" i="12"/>
  <c r="J43" i="12"/>
  <c r="P40" i="12"/>
  <c r="J34" i="12"/>
  <c r="J30" i="12"/>
  <c r="J26" i="12"/>
  <c r="J22" i="12"/>
  <c r="J18" i="12"/>
  <c r="J52" i="12"/>
  <c r="J51" i="12"/>
  <c r="I33" i="15"/>
  <c r="I37" i="15"/>
  <c r="I41" i="15"/>
  <c r="I45" i="15"/>
  <c r="R33" i="15"/>
  <c r="T34" i="15"/>
  <c r="R37" i="15"/>
  <c r="T38" i="15"/>
  <c r="R41" i="15"/>
  <c r="T42" i="15"/>
  <c r="R45" i="15"/>
  <c r="T46" i="15"/>
  <c r="M34" i="15"/>
  <c r="N34" i="15" s="1"/>
  <c r="M42" i="15"/>
  <c r="N42" i="15" s="1"/>
  <c r="I44" i="15"/>
  <c r="M46" i="15"/>
  <c r="N46" i="15" s="1"/>
  <c r="I32" i="15"/>
  <c r="I36" i="15"/>
  <c r="M38" i="15"/>
  <c r="N38" i="15" s="1"/>
  <c r="I40" i="15"/>
  <c r="R32" i="15"/>
  <c r="T33" i="15"/>
  <c r="R36" i="15"/>
  <c r="T37" i="15"/>
  <c r="R40" i="15"/>
  <c r="R44" i="15"/>
  <c r="T45" i="15"/>
  <c r="M31" i="15"/>
  <c r="N31" i="15" s="1"/>
  <c r="R35" i="15"/>
  <c r="R39" i="15"/>
  <c r="R43" i="15"/>
  <c r="R47" i="15"/>
  <c r="I31" i="15"/>
  <c r="R31" i="15"/>
  <c r="M22" i="15"/>
  <c r="N22" i="15" s="1"/>
  <c r="I10" i="15"/>
  <c r="I14" i="15"/>
  <c r="I18" i="15"/>
  <c r="I22" i="15"/>
  <c r="I26" i="15"/>
  <c r="I30" i="15"/>
  <c r="I9" i="15"/>
  <c r="I13" i="15"/>
  <c r="I17" i="15"/>
  <c r="I21" i="15"/>
  <c r="I25" i="15"/>
  <c r="M15" i="15"/>
  <c r="N15" i="15" s="1"/>
  <c r="M18" i="15"/>
  <c r="N18" i="15" s="1"/>
  <c r="M19" i="15"/>
  <c r="N19" i="15" s="1"/>
  <c r="M23" i="15"/>
  <c r="N23" i="15" s="1"/>
  <c r="M27" i="15"/>
  <c r="N27" i="15" s="1"/>
  <c r="I29" i="15"/>
  <c r="M11" i="15"/>
  <c r="N11" i="15" s="1"/>
  <c r="M30" i="15"/>
  <c r="N30" i="15" s="1"/>
  <c r="M26" i="15"/>
  <c r="N26" i="15" s="1"/>
  <c r="M14" i="15"/>
  <c r="N14" i="15" s="1"/>
  <c r="S8" i="15"/>
  <c r="T8" i="15" s="1"/>
  <c r="S9" i="15"/>
  <c r="T9" i="15" s="1"/>
  <c r="S12" i="15"/>
  <c r="T12" i="15" s="1"/>
  <c r="S13" i="15"/>
  <c r="T13" i="15" s="1"/>
  <c r="S16" i="15"/>
  <c r="T16" i="15" s="1"/>
  <c r="S17" i="15"/>
  <c r="T17" i="15" s="1"/>
  <c r="S20" i="15"/>
  <c r="T20" i="15" s="1"/>
  <c r="S21" i="15"/>
  <c r="T21" i="15" s="1"/>
  <c r="S24" i="15"/>
  <c r="T24" i="15" s="1"/>
  <c r="S25" i="15"/>
  <c r="T25" i="15" s="1"/>
  <c r="S28" i="15"/>
  <c r="T28" i="15" s="1"/>
  <c r="S29" i="15"/>
  <c r="T29" i="15" s="1"/>
  <c r="S10" i="15"/>
  <c r="T10" i="15" s="1"/>
  <c r="S11" i="15"/>
  <c r="T11" i="15" s="1"/>
  <c r="R13" i="15"/>
  <c r="S15" i="15"/>
  <c r="T15" i="15" s="1"/>
  <c r="R17" i="15"/>
  <c r="S18" i="15"/>
  <c r="T18" i="15" s="1"/>
  <c r="S19" i="15"/>
  <c r="T19" i="15" s="1"/>
  <c r="R21" i="15"/>
  <c r="S22" i="15"/>
  <c r="T22" i="15" s="1"/>
  <c r="S23" i="15"/>
  <c r="T23" i="15" s="1"/>
  <c r="R25" i="15"/>
  <c r="S26" i="15"/>
  <c r="T26" i="15" s="1"/>
  <c r="S27" i="15"/>
  <c r="T27" i="15" s="1"/>
  <c r="R29" i="15"/>
  <c r="S30" i="15"/>
  <c r="T30" i="15" s="1"/>
  <c r="R9" i="15"/>
  <c r="S14" i="15"/>
  <c r="T14" i="15" s="1"/>
  <c r="M12" i="15"/>
  <c r="N12" i="15" s="1"/>
  <c r="M16" i="15"/>
  <c r="N16" i="15" s="1"/>
  <c r="M20" i="15"/>
  <c r="N20" i="15" s="1"/>
  <c r="M24" i="15"/>
  <c r="N24" i="15" s="1"/>
  <c r="M28" i="15"/>
  <c r="N28" i="15" s="1"/>
  <c r="I12" i="15"/>
  <c r="I16" i="15"/>
  <c r="I20" i="15"/>
  <c r="I24" i="15"/>
  <c r="I28" i="15"/>
  <c r="M8" i="15"/>
  <c r="N8" i="15" s="1"/>
  <c r="R12" i="15"/>
  <c r="R16" i="15"/>
  <c r="R20" i="15"/>
  <c r="R24" i="15"/>
  <c r="R28" i="15"/>
  <c r="M9" i="15"/>
  <c r="N9" i="15" s="1"/>
  <c r="M13" i="15"/>
  <c r="N13" i="15" s="1"/>
  <c r="M17" i="15"/>
  <c r="N17" i="15" s="1"/>
  <c r="M21" i="15"/>
  <c r="N21" i="15" s="1"/>
  <c r="M25" i="15"/>
  <c r="N25" i="15" s="1"/>
  <c r="I27" i="15"/>
  <c r="M29" i="15"/>
  <c r="N29" i="15" s="1"/>
  <c r="I11" i="15"/>
  <c r="I15" i="15"/>
  <c r="I19" i="15"/>
  <c r="I23" i="15"/>
  <c r="R11" i="15"/>
  <c r="R15" i="15"/>
  <c r="R19" i="15"/>
  <c r="R23" i="15"/>
  <c r="R27" i="15"/>
  <c r="R10" i="15"/>
  <c r="R14" i="15"/>
  <c r="R18" i="15"/>
  <c r="R22" i="15"/>
  <c r="R26" i="15"/>
  <c r="R30" i="15"/>
  <c r="I8" i="15"/>
  <c r="R8" i="15"/>
  <c r="I7" i="15"/>
  <c r="C2" i="16"/>
  <c r="B37" i="17"/>
  <c r="D37" i="17" s="1"/>
  <c r="F37" i="17" s="1"/>
  <c r="B37" i="16"/>
  <c r="D37" i="16" s="1"/>
  <c r="F37" i="16" s="1"/>
  <c r="N7" i="15"/>
  <c r="S7" i="15"/>
  <c r="T7" i="15" s="1"/>
  <c r="I57" i="12"/>
  <c r="M55" i="12"/>
  <c r="N55" i="12" s="1"/>
  <c r="I53" i="12"/>
  <c r="M51" i="12"/>
  <c r="N51" i="12" s="1"/>
  <c r="M47" i="12"/>
  <c r="N47" i="12" s="1"/>
  <c r="M43" i="12"/>
  <c r="N43" i="12" s="1"/>
  <c r="M39" i="12"/>
  <c r="N39" i="12" s="1"/>
  <c r="T51" i="12"/>
  <c r="R50" i="12"/>
  <c r="T47" i="12"/>
  <c r="R46" i="12"/>
  <c r="A115" i="33" s="1"/>
  <c r="C115" i="33" s="1"/>
  <c r="T43" i="12"/>
  <c r="R42" i="12"/>
  <c r="A111" i="33" s="1"/>
  <c r="C111" i="33" s="1"/>
  <c r="T39" i="12"/>
  <c r="R38" i="12"/>
  <c r="A107" i="33" s="1"/>
  <c r="C107" i="33" s="1"/>
  <c r="M48" i="12"/>
  <c r="N48" i="12" s="1"/>
  <c r="M44" i="12"/>
  <c r="N44" i="12" s="1"/>
  <c r="M40" i="12"/>
  <c r="N40" i="12" s="1"/>
  <c r="R55" i="12"/>
  <c r="R51" i="12"/>
  <c r="R47" i="12"/>
  <c r="A116" i="33" s="1"/>
  <c r="C116" i="33" s="1"/>
  <c r="R43" i="12"/>
  <c r="A112" i="33" s="1"/>
  <c r="C112" i="33" s="1"/>
  <c r="R39" i="12"/>
  <c r="A108" i="33" s="1"/>
  <c r="C108" i="33" s="1"/>
  <c r="I21" i="12"/>
  <c r="I18" i="12"/>
  <c r="I36" i="12"/>
  <c r="R25" i="12"/>
  <c r="A94" i="33" s="1"/>
  <c r="C94" i="33" s="1"/>
  <c r="I30" i="12"/>
  <c r="I22" i="12"/>
  <c r="I15" i="12"/>
  <c r="I34" i="12"/>
  <c r="I16" i="12"/>
  <c r="I28" i="12"/>
  <c r="S34" i="12"/>
  <c r="T34" i="12" s="1"/>
  <c r="S33" i="12"/>
  <c r="T33" i="12" s="1"/>
  <c r="R37" i="12"/>
  <c r="A106" i="33" s="1"/>
  <c r="C106" i="33" s="1"/>
  <c r="I17" i="12"/>
  <c r="I24" i="12"/>
  <c r="S16" i="12"/>
  <c r="T16" i="12" s="1"/>
  <c r="M15" i="12"/>
  <c r="N15" i="12" s="1"/>
  <c r="S37" i="12"/>
  <c r="T37" i="12" s="1"/>
  <c r="S23" i="12"/>
  <c r="T23" i="12" s="1"/>
  <c r="R17" i="12"/>
  <c r="A86" i="33" s="1"/>
  <c r="C86" i="33" s="1"/>
  <c r="I32" i="12"/>
  <c r="S25" i="12"/>
  <c r="T25" i="12" s="1"/>
  <c r="S24" i="12"/>
  <c r="T24" i="12" s="1"/>
  <c r="M18" i="12"/>
  <c r="N18" i="12" s="1"/>
  <c r="I33" i="12"/>
  <c r="S31" i="12"/>
  <c r="T31" i="12" s="1"/>
  <c r="S26" i="12"/>
  <c r="T26" i="12" s="1"/>
  <c r="S35" i="12"/>
  <c r="T35" i="12" s="1"/>
  <c r="M27" i="12"/>
  <c r="N27" i="12" s="1"/>
  <c r="S36" i="12"/>
  <c r="T36" i="12" s="1"/>
  <c r="M19" i="12"/>
  <c r="N19" i="12" s="1"/>
  <c r="I35" i="12"/>
  <c r="I29" i="12"/>
  <c r="R26" i="12"/>
  <c r="A95" i="33" s="1"/>
  <c r="C95" i="33" s="1"/>
  <c r="I23" i="12"/>
  <c r="I31" i="12"/>
  <c r="S22" i="12"/>
  <c r="T22" i="12" s="1"/>
  <c r="I20" i="12"/>
  <c r="M35" i="12"/>
  <c r="N35" i="12" s="1"/>
  <c r="M34" i="12"/>
  <c r="N34" i="12" s="1"/>
  <c r="R33" i="12"/>
  <c r="A102" i="33" s="1"/>
  <c r="C102" i="33" s="1"/>
  <c r="S32" i="12"/>
  <c r="T32" i="12" s="1"/>
  <c r="M23" i="12"/>
  <c r="N23" i="12" s="1"/>
  <c r="R22" i="12"/>
  <c r="A91" i="33" s="1"/>
  <c r="C91" i="33" s="1"/>
  <c r="S21" i="12"/>
  <c r="T21" i="12" s="1"/>
  <c r="S19" i="12"/>
  <c r="T19" i="12" s="1"/>
  <c r="I19" i="12"/>
  <c r="S30" i="12"/>
  <c r="T30" i="12" s="1"/>
  <c r="M22" i="12"/>
  <c r="N22" i="12" s="1"/>
  <c r="R21" i="12"/>
  <c r="A90" i="33" s="1"/>
  <c r="C90" i="33" s="1"/>
  <c r="S20" i="12"/>
  <c r="T20" i="12" s="1"/>
  <c r="M26" i="12"/>
  <c r="N26" i="12" s="1"/>
  <c r="R34" i="12"/>
  <c r="A103" i="33" s="1"/>
  <c r="C103" i="33" s="1"/>
  <c r="I37" i="12"/>
  <c r="M31" i="12"/>
  <c r="N31" i="12" s="1"/>
  <c r="R30" i="12"/>
  <c r="A99" i="33" s="1"/>
  <c r="C99" i="33" s="1"/>
  <c r="S29" i="12"/>
  <c r="T29" i="12" s="1"/>
  <c r="S27" i="12"/>
  <c r="T27" i="12" s="1"/>
  <c r="I27" i="12"/>
  <c r="I26" i="12"/>
  <c r="S18" i="12"/>
  <c r="T18" i="12" s="1"/>
  <c r="M30" i="12"/>
  <c r="N30" i="12" s="1"/>
  <c r="R29" i="12"/>
  <c r="A98" i="33" s="1"/>
  <c r="C98" i="33" s="1"/>
  <c r="S28" i="12"/>
  <c r="T28" i="12" s="1"/>
  <c r="I25" i="12"/>
  <c r="R18" i="12"/>
  <c r="A87" i="33" s="1"/>
  <c r="C87" i="33" s="1"/>
  <c r="S17" i="12"/>
  <c r="T17" i="12" s="1"/>
  <c r="S15" i="12"/>
  <c r="T15" i="12" s="1"/>
  <c r="M24" i="12"/>
  <c r="N24" i="12" s="1"/>
  <c r="M20" i="12"/>
  <c r="N20" i="12" s="1"/>
  <c r="R35" i="12"/>
  <c r="A104" i="33" s="1"/>
  <c r="C104" i="33" s="1"/>
  <c r="R31" i="12"/>
  <c r="A100" i="33" s="1"/>
  <c r="C100" i="33" s="1"/>
  <c r="R27" i="12"/>
  <c r="A96" i="33" s="1"/>
  <c r="C96" i="33" s="1"/>
  <c r="R23" i="12"/>
  <c r="A92" i="33" s="1"/>
  <c r="C92" i="33" s="1"/>
  <c r="R19" i="12"/>
  <c r="A88" i="33" s="1"/>
  <c r="C88" i="33" s="1"/>
  <c r="R15" i="12"/>
  <c r="A84" i="33" s="1"/>
  <c r="C84" i="33" s="1"/>
  <c r="M36" i="12"/>
  <c r="N36" i="12" s="1"/>
  <c r="M32" i="12"/>
  <c r="N32" i="12" s="1"/>
  <c r="M37" i="12"/>
  <c r="N37" i="12" s="1"/>
  <c r="M33" i="12"/>
  <c r="N33" i="12" s="1"/>
  <c r="M29" i="12"/>
  <c r="N29" i="12" s="1"/>
  <c r="M25" i="12"/>
  <c r="N25" i="12" s="1"/>
  <c r="M21" i="12"/>
  <c r="N21" i="12" s="1"/>
  <c r="M17" i="12"/>
  <c r="N17" i="12" s="1"/>
  <c r="M16" i="12"/>
  <c r="N16" i="12" s="1"/>
  <c r="R36" i="12"/>
  <c r="A105" i="33" s="1"/>
  <c r="C105" i="33" s="1"/>
  <c r="E105" i="33" s="1"/>
  <c r="R32" i="12"/>
  <c r="A101" i="33" s="1"/>
  <c r="C101" i="33" s="1"/>
  <c r="R28" i="12"/>
  <c r="A97" i="33" s="1"/>
  <c r="C97" i="33" s="1"/>
  <c r="E97" i="33" s="1"/>
  <c r="R24" i="12"/>
  <c r="A93" i="33" s="1"/>
  <c r="C93" i="33" s="1"/>
  <c r="R20" i="12"/>
  <c r="A89" i="33" s="1"/>
  <c r="C89" i="33" s="1"/>
  <c r="E89" i="33" s="1"/>
  <c r="R16" i="12"/>
  <c r="A85" i="33" s="1"/>
  <c r="C85" i="33" s="1"/>
  <c r="M28" i="12"/>
  <c r="N28" i="12" s="1"/>
  <c r="S13" i="12"/>
  <c r="T13" i="12" s="1"/>
  <c r="S12" i="12"/>
  <c r="T12" i="12" s="1"/>
  <c r="I7" i="12"/>
  <c r="S14" i="12"/>
  <c r="T14" i="12" s="1"/>
  <c r="M11" i="12"/>
  <c r="N11" i="12" s="1"/>
  <c r="R13" i="12"/>
  <c r="A82" i="33" s="1"/>
  <c r="C82" i="33" s="1"/>
  <c r="R10" i="12"/>
  <c r="A79" i="33" s="1"/>
  <c r="C79" i="33" s="1"/>
  <c r="M13" i="12"/>
  <c r="N13" i="12" s="1"/>
  <c r="M14" i="12"/>
  <c r="N14" i="12" s="1"/>
  <c r="I14" i="12"/>
  <c r="R14" i="12"/>
  <c r="A83" i="33" s="1"/>
  <c r="C83" i="33" s="1"/>
  <c r="I13" i="12"/>
  <c r="I12" i="12"/>
  <c r="R12" i="12"/>
  <c r="A81" i="33" s="1"/>
  <c r="C81" i="33" s="1"/>
  <c r="E81" i="33" s="1"/>
  <c r="M12" i="12"/>
  <c r="N12" i="12" s="1"/>
  <c r="M10" i="12"/>
  <c r="N10" i="12" s="1"/>
  <c r="S9" i="12"/>
  <c r="T9" i="12" s="1"/>
  <c r="S10" i="12"/>
  <c r="T10" i="12" s="1"/>
  <c r="S11" i="12"/>
  <c r="T11" i="12" s="1"/>
  <c r="I11" i="12"/>
  <c r="I10" i="12"/>
  <c r="M9" i="12"/>
  <c r="N9" i="12" s="1"/>
  <c r="I9" i="12"/>
  <c r="R9" i="12"/>
  <c r="A78" i="33" s="1"/>
  <c r="C78" i="33" s="1"/>
  <c r="I8" i="12"/>
  <c r="M8" i="12"/>
  <c r="N8" i="12" s="1"/>
  <c r="T8" i="12"/>
  <c r="R8" i="12"/>
  <c r="A77" i="33" s="1"/>
  <c r="C77" i="33" s="1"/>
  <c r="M7" i="12"/>
  <c r="N7" i="12" s="1"/>
  <c r="J7" i="12"/>
  <c r="S7" i="12"/>
  <c r="T7" i="12" s="1"/>
  <c r="H32" i="11"/>
  <c r="H30" i="11"/>
  <c r="H29" i="11"/>
  <c r="H27" i="11"/>
  <c r="P1" i="11"/>
  <c r="B161" i="33" l="1"/>
  <c r="D161" i="33" s="1"/>
  <c r="B36" i="28"/>
  <c r="D36" i="28" s="1"/>
  <c r="F36" i="28" s="1"/>
  <c r="X41" i="15"/>
  <c r="B36" i="19"/>
  <c r="D36" i="19" s="1"/>
  <c r="B132" i="33"/>
  <c r="D132" i="33" s="1"/>
  <c r="F132" i="33" s="1"/>
  <c r="B7" i="28"/>
  <c r="D7" i="28" s="1"/>
  <c r="F7" i="28" s="1"/>
  <c r="X12" i="15"/>
  <c r="B7" i="19"/>
  <c r="D7" i="19" s="1"/>
  <c r="B152" i="33"/>
  <c r="D152" i="33" s="1"/>
  <c r="F152" i="33" s="1"/>
  <c r="B27" i="28"/>
  <c r="D27" i="28" s="1"/>
  <c r="F27" i="28" s="1"/>
  <c r="X32" i="15"/>
  <c r="B27" i="19"/>
  <c r="D27" i="19" s="1"/>
  <c r="B151" i="33"/>
  <c r="D151" i="33" s="1"/>
  <c r="F151" i="33" s="1"/>
  <c r="B26" i="28"/>
  <c r="D26" i="28" s="1"/>
  <c r="F26" i="28" s="1"/>
  <c r="X31" i="15"/>
  <c r="B26" i="19"/>
  <c r="D26" i="19" s="1"/>
  <c r="B136" i="33"/>
  <c r="D136" i="33" s="1"/>
  <c r="F136" i="33" s="1"/>
  <c r="B11" i="28"/>
  <c r="D11" i="28" s="1"/>
  <c r="F11" i="28" s="1"/>
  <c r="X16" i="15"/>
  <c r="B11" i="19"/>
  <c r="D11" i="19" s="1"/>
  <c r="P8" i="15"/>
  <c r="A128" i="33"/>
  <c r="C128" i="33" s="1"/>
  <c r="P27" i="15"/>
  <c r="A22" i="28" s="1"/>
  <c r="C22" i="28" s="1"/>
  <c r="A147" i="33"/>
  <c r="C147" i="33" s="1"/>
  <c r="B143" i="33"/>
  <c r="D143" i="33" s="1"/>
  <c r="F143" i="33" s="1"/>
  <c r="B18" i="28"/>
  <c r="D18" i="28" s="1"/>
  <c r="F18" i="28" s="1"/>
  <c r="X23" i="15"/>
  <c r="B18" i="19"/>
  <c r="D18" i="19" s="1"/>
  <c r="B131" i="33"/>
  <c r="D131" i="33" s="1"/>
  <c r="F131" i="33" s="1"/>
  <c r="B6" i="28"/>
  <c r="D6" i="28" s="1"/>
  <c r="F6" i="28" s="1"/>
  <c r="X11" i="15"/>
  <c r="B6" i="19"/>
  <c r="D6" i="19" s="1"/>
  <c r="B137" i="33"/>
  <c r="D137" i="33" s="1"/>
  <c r="B12" i="28"/>
  <c r="D12" i="28" s="1"/>
  <c r="F12" i="28" s="1"/>
  <c r="X17" i="15"/>
  <c r="B12" i="19"/>
  <c r="D12" i="19" s="1"/>
  <c r="P39" i="15"/>
  <c r="A159" i="33"/>
  <c r="C159" i="33" s="1"/>
  <c r="P36" i="15"/>
  <c r="A156" i="33"/>
  <c r="C156" i="33" s="1"/>
  <c r="P37" i="15"/>
  <c r="A157" i="33"/>
  <c r="C157" i="33" s="1"/>
  <c r="P42" i="15"/>
  <c r="A162" i="33"/>
  <c r="C162" i="33" s="1"/>
  <c r="E33" i="19"/>
  <c r="B163" i="33"/>
  <c r="D163" i="33" s="1"/>
  <c r="F163" i="33" s="1"/>
  <c r="B38" i="28"/>
  <c r="D38" i="28" s="1"/>
  <c r="F38" i="28" s="1"/>
  <c r="X43" i="15"/>
  <c r="B38" i="19"/>
  <c r="D38" i="19" s="1"/>
  <c r="B167" i="33"/>
  <c r="D167" i="33" s="1"/>
  <c r="F167" i="33" s="1"/>
  <c r="B42" i="28"/>
  <c r="D42" i="28" s="1"/>
  <c r="F42" i="28" s="1"/>
  <c r="X47" i="15"/>
  <c r="B42" i="19"/>
  <c r="D42" i="19" s="1"/>
  <c r="F42" i="19" s="1"/>
  <c r="I2" i="19"/>
  <c r="P23" i="15"/>
  <c r="A143" i="33"/>
  <c r="C143" i="33" s="1"/>
  <c r="P35" i="15"/>
  <c r="A155" i="33"/>
  <c r="C155" i="33" s="1"/>
  <c r="E42" i="19"/>
  <c r="B127" i="33"/>
  <c r="D127" i="33" s="1"/>
  <c r="F127" i="33" s="1"/>
  <c r="B2" i="28"/>
  <c r="D2" i="28" s="1"/>
  <c r="X7" i="15"/>
  <c r="B2" i="19"/>
  <c r="D2" i="19" s="1"/>
  <c r="P30" i="15"/>
  <c r="A150" i="33"/>
  <c r="C150" i="33" s="1"/>
  <c r="P19" i="15"/>
  <c r="A139" i="33"/>
  <c r="C139" i="33" s="1"/>
  <c r="P24" i="15"/>
  <c r="A144" i="33"/>
  <c r="C144" i="33" s="1"/>
  <c r="P9" i="15"/>
  <c r="A129" i="33"/>
  <c r="C129" i="33" s="1"/>
  <c r="E129" i="33" s="1"/>
  <c r="P21" i="15"/>
  <c r="A141" i="33"/>
  <c r="C141" i="33" s="1"/>
  <c r="B149" i="33"/>
  <c r="D149" i="33" s="1"/>
  <c r="F149" i="33" s="1"/>
  <c r="B24" i="28"/>
  <c r="D24" i="28" s="1"/>
  <c r="F24" i="28" s="1"/>
  <c r="X29" i="15"/>
  <c r="B24" i="19"/>
  <c r="D24" i="19" s="1"/>
  <c r="B133" i="33"/>
  <c r="D133" i="33" s="1"/>
  <c r="F133" i="33" s="1"/>
  <c r="B8" i="28"/>
  <c r="D8" i="28" s="1"/>
  <c r="F8" i="28" s="1"/>
  <c r="X13" i="15"/>
  <c r="B8" i="19"/>
  <c r="D8" i="19" s="1"/>
  <c r="P32" i="15"/>
  <c r="A152" i="33"/>
  <c r="C152" i="33" s="1"/>
  <c r="P33" i="15"/>
  <c r="A153" i="33"/>
  <c r="C153" i="33" s="1"/>
  <c r="E153" i="33" s="1"/>
  <c r="B155" i="33"/>
  <c r="D155" i="33" s="1"/>
  <c r="F155" i="33" s="1"/>
  <c r="B30" i="28"/>
  <c r="D30" i="28" s="1"/>
  <c r="F30" i="28" s="1"/>
  <c r="X35" i="15"/>
  <c r="B30" i="19"/>
  <c r="D30" i="19" s="1"/>
  <c r="P28" i="15"/>
  <c r="A148" i="33"/>
  <c r="C148" i="33" s="1"/>
  <c r="B164" i="33"/>
  <c r="D164" i="33" s="1"/>
  <c r="F164" i="33" s="1"/>
  <c r="B39" i="28"/>
  <c r="D39" i="28" s="1"/>
  <c r="F39" i="28" s="1"/>
  <c r="X44" i="15"/>
  <c r="B39" i="19"/>
  <c r="D39" i="19" s="1"/>
  <c r="P15" i="15"/>
  <c r="A135" i="33"/>
  <c r="C135" i="33" s="1"/>
  <c r="P20" i="15"/>
  <c r="A140" i="33"/>
  <c r="C140" i="33" s="1"/>
  <c r="B25" i="17"/>
  <c r="D25" i="17" s="1"/>
  <c r="F25" i="17" s="1"/>
  <c r="B150" i="33"/>
  <c r="D150" i="33" s="1"/>
  <c r="F150" i="33" s="1"/>
  <c r="B25" i="28"/>
  <c r="D25" i="28" s="1"/>
  <c r="F25" i="28" s="1"/>
  <c r="X30" i="15"/>
  <c r="B25" i="19"/>
  <c r="D25" i="19" s="1"/>
  <c r="B139" i="33"/>
  <c r="D139" i="33" s="1"/>
  <c r="F139" i="33" s="1"/>
  <c r="B14" i="28"/>
  <c r="D14" i="28" s="1"/>
  <c r="F14" i="28" s="1"/>
  <c r="X19" i="15"/>
  <c r="B14" i="19"/>
  <c r="D14" i="19" s="1"/>
  <c r="B148" i="33"/>
  <c r="D148" i="33" s="1"/>
  <c r="F148" i="33" s="1"/>
  <c r="B23" i="28"/>
  <c r="D23" i="28" s="1"/>
  <c r="F23" i="28" s="1"/>
  <c r="X28" i="15"/>
  <c r="B23" i="19"/>
  <c r="D23" i="19" s="1"/>
  <c r="B165" i="33"/>
  <c r="D165" i="33" s="1"/>
  <c r="F165" i="33" s="1"/>
  <c r="B40" i="28"/>
  <c r="D40" i="28" s="1"/>
  <c r="F40" i="28" s="1"/>
  <c r="X45" i="15"/>
  <c r="B40" i="19"/>
  <c r="D40" i="19" s="1"/>
  <c r="B166" i="33"/>
  <c r="D166" i="33" s="1"/>
  <c r="F166" i="33" s="1"/>
  <c r="B41" i="28"/>
  <c r="D41" i="28" s="1"/>
  <c r="F41" i="28" s="1"/>
  <c r="X46" i="15"/>
  <c r="B41" i="19"/>
  <c r="D41" i="19" s="1"/>
  <c r="P34" i="15"/>
  <c r="A154" i="33"/>
  <c r="C154" i="33" s="1"/>
  <c r="B156" i="33"/>
  <c r="D156" i="33" s="1"/>
  <c r="F156" i="33" s="1"/>
  <c r="B31" i="28"/>
  <c r="D31" i="28" s="1"/>
  <c r="F31" i="28" s="1"/>
  <c r="X36" i="15"/>
  <c r="B31" i="19"/>
  <c r="D31" i="19" s="1"/>
  <c r="E127" i="33"/>
  <c r="G127" i="33"/>
  <c r="B17" i="17"/>
  <c r="D17" i="17" s="1"/>
  <c r="F17" i="17" s="1"/>
  <c r="B142" i="33"/>
  <c r="D142" i="33" s="1"/>
  <c r="F142" i="33" s="1"/>
  <c r="B17" i="28"/>
  <c r="D17" i="28" s="1"/>
  <c r="F17" i="28" s="1"/>
  <c r="X22" i="15"/>
  <c r="B17" i="19"/>
  <c r="D17" i="19" s="1"/>
  <c r="P26" i="15"/>
  <c r="A146" i="33"/>
  <c r="C146" i="33" s="1"/>
  <c r="P22" i="15"/>
  <c r="A142" i="33"/>
  <c r="C142" i="33" s="1"/>
  <c r="P16" i="15"/>
  <c r="A136" i="33"/>
  <c r="C136" i="33" s="1"/>
  <c r="P29" i="15"/>
  <c r="A149" i="33"/>
  <c r="C149" i="33" s="1"/>
  <c r="B138" i="33"/>
  <c r="D138" i="33" s="1"/>
  <c r="F138" i="33" s="1"/>
  <c r="B13" i="28"/>
  <c r="D13" i="28" s="1"/>
  <c r="F13" i="28" s="1"/>
  <c r="X18" i="15"/>
  <c r="B13" i="19"/>
  <c r="D13" i="19" s="1"/>
  <c r="B145" i="33"/>
  <c r="D145" i="33" s="1"/>
  <c r="B20" i="28"/>
  <c r="D20" i="28" s="1"/>
  <c r="F20" i="28" s="1"/>
  <c r="X25" i="15"/>
  <c r="B20" i="19"/>
  <c r="D20" i="19" s="1"/>
  <c r="B129" i="33"/>
  <c r="D129" i="33" s="1"/>
  <c r="B4" i="28"/>
  <c r="D4" i="28" s="1"/>
  <c r="F4" i="28" s="1"/>
  <c r="X9" i="15"/>
  <c r="B4" i="19"/>
  <c r="D4" i="19" s="1"/>
  <c r="P31" i="15"/>
  <c r="A151" i="33"/>
  <c r="C151" i="33" s="1"/>
  <c r="P44" i="15"/>
  <c r="A164" i="33"/>
  <c r="C164" i="33" s="1"/>
  <c r="P45" i="15"/>
  <c r="A165" i="33"/>
  <c r="C165" i="33" s="1"/>
  <c r="B130" i="33"/>
  <c r="D130" i="33" s="1"/>
  <c r="F130" i="33" s="1"/>
  <c r="B5" i="28"/>
  <c r="D5" i="28" s="1"/>
  <c r="F5" i="28" s="1"/>
  <c r="X10" i="15"/>
  <c r="B5" i="19"/>
  <c r="D5" i="19" s="1"/>
  <c r="F5" i="19" s="1"/>
  <c r="B153" i="33"/>
  <c r="D153" i="33" s="1"/>
  <c r="B28" i="28"/>
  <c r="D28" i="28" s="1"/>
  <c r="F28" i="28" s="1"/>
  <c r="X33" i="15"/>
  <c r="B28" i="19"/>
  <c r="D28" i="19" s="1"/>
  <c r="P18" i="15"/>
  <c r="A138" i="33"/>
  <c r="C138" i="33" s="1"/>
  <c r="P11" i="15"/>
  <c r="A131" i="33"/>
  <c r="C131" i="33" s="1"/>
  <c r="P12" i="15"/>
  <c r="A132" i="33"/>
  <c r="C132" i="33" s="1"/>
  <c r="B147" i="33"/>
  <c r="D147" i="33" s="1"/>
  <c r="F147" i="33" s="1"/>
  <c r="B22" i="28"/>
  <c r="D22" i="28" s="1"/>
  <c r="F22" i="28" s="1"/>
  <c r="X27" i="15"/>
  <c r="B22" i="19"/>
  <c r="D22" i="19" s="1"/>
  <c r="P17" i="15"/>
  <c r="A137" i="33"/>
  <c r="C137" i="33" s="1"/>
  <c r="E137" i="33" s="1"/>
  <c r="B144" i="33"/>
  <c r="D144" i="33" s="1"/>
  <c r="F144" i="33" s="1"/>
  <c r="B19" i="28"/>
  <c r="D19" i="28" s="1"/>
  <c r="F19" i="28" s="1"/>
  <c r="X24" i="15"/>
  <c r="B19" i="19"/>
  <c r="D19" i="19" s="1"/>
  <c r="B128" i="33"/>
  <c r="D128" i="33" s="1"/>
  <c r="F128" i="33" s="1"/>
  <c r="B3" i="28"/>
  <c r="D3" i="28" s="1"/>
  <c r="F3" i="28" s="1"/>
  <c r="X8" i="15"/>
  <c r="B3" i="19"/>
  <c r="D3" i="19" s="1"/>
  <c r="B162" i="33"/>
  <c r="D162" i="33" s="1"/>
  <c r="F162" i="33" s="1"/>
  <c r="B37" i="28"/>
  <c r="D37" i="28" s="1"/>
  <c r="F37" i="28" s="1"/>
  <c r="X42" i="15"/>
  <c r="B37" i="19"/>
  <c r="D37" i="19" s="1"/>
  <c r="E5" i="19"/>
  <c r="G5" i="19"/>
  <c r="B29" i="17"/>
  <c r="D29" i="17" s="1"/>
  <c r="F29" i="17" s="1"/>
  <c r="B154" i="33"/>
  <c r="D154" i="33" s="1"/>
  <c r="F154" i="33" s="1"/>
  <c r="B29" i="28"/>
  <c r="D29" i="28" s="1"/>
  <c r="F29" i="28" s="1"/>
  <c r="X34" i="15"/>
  <c r="B29" i="19"/>
  <c r="D29" i="19" s="1"/>
  <c r="B159" i="33"/>
  <c r="D159" i="33" s="1"/>
  <c r="F159" i="33" s="1"/>
  <c r="B34" i="28"/>
  <c r="D34" i="28" s="1"/>
  <c r="F34" i="28" s="1"/>
  <c r="X39" i="15"/>
  <c r="B34" i="19"/>
  <c r="D34" i="19" s="1"/>
  <c r="A2" i="17"/>
  <c r="P14" i="15"/>
  <c r="A9" i="28" s="1"/>
  <c r="C9" i="28" s="1"/>
  <c r="A134" i="33"/>
  <c r="C134" i="33" s="1"/>
  <c r="B146" i="33"/>
  <c r="D146" i="33" s="1"/>
  <c r="F146" i="33" s="1"/>
  <c r="B21" i="28"/>
  <c r="D21" i="28" s="1"/>
  <c r="F21" i="28" s="1"/>
  <c r="X26" i="15"/>
  <c r="B21" i="19"/>
  <c r="D21" i="19" s="1"/>
  <c r="B135" i="33"/>
  <c r="D135" i="33" s="1"/>
  <c r="F135" i="33" s="1"/>
  <c r="B10" i="28"/>
  <c r="D10" i="28" s="1"/>
  <c r="F10" i="28" s="1"/>
  <c r="X15" i="15"/>
  <c r="B10" i="19"/>
  <c r="D10" i="19" s="1"/>
  <c r="B141" i="33"/>
  <c r="D141" i="33" s="1"/>
  <c r="F141" i="33" s="1"/>
  <c r="B16" i="28"/>
  <c r="D16" i="28" s="1"/>
  <c r="F16" i="28" s="1"/>
  <c r="X21" i="15"/>
  <c r="B16" i="19"/>
  <c r="D16" i="19" s="1"/>
  <c r="P47" i="15"/>
  <c r="A167" i="33"/>
  <c r="C167" i="33" s="1"/>
  <c r="P40" i="15"/>
  <c r="A160" i="33"/>
  <c r="C160" i="33" s="1"/>
  <c r="P41" i="15"/>
  <c r="A161" i="33"/>
  <c r="C161" i="33" s="1"/>
  <c r="E161" i="33" s="1"/>
  <c r="E166" i="33"/>
  <c r="B134" i="33"/>
  <c r="D134" i="33" s="1"/>
  <c r="F134" i="33" s="1"/>
  <c r="B9" i="28"/>
  <c r="D9" i="28" s="1"/>
  <c r="F9" i="28" s="1"/>
  <c r="X14" i="15"/>
  <c r="B9" i="19"/>
  <c r="D9" i="19" s="1"/>
  <c r="B160" i="33"/>
  <c r="D160" i="33" s="1"/>
  <c r="F160" i="33" s="1"/>
  <c r="B35" i="28"/>
  <c r="D35" i="28" s="1"/>
  <c r="F35" i="28" s="1"/>
  <c r="X40" i="15"/>
  <c r="B35" i="19"/>
  <c r="D35" i="19" s="1"/>
  <c r="P10" i="15"/>
  <c r="A130" i="33"/>
  <c r="C130" i="33" s="1"/>
  <c r="P25" i="15"/>
  <c r="A145" i="33"/>
  <c r="C145" i="33" s="1"/>
  <c r="E145" i="33" s="1"/>
  <c r="P13" i="15"/>
  <c r="A133" i="33"/>
  <c r="C133" i="33" s="1"/>
  <c r="B140" i="33"/>
  <c r="D140" i="33" s="1"/>
  <c r="F140" i="33" s="1"/>
  <c r="B15" i="28"/>
  <c r="D15" i="28" s="1"/>
  <c r="F15" i="28" s="1"/>
  <c r="X20" i="15"/>
  <c r="B15" i="19"/>
  <c r="D15" i="19" s="1"/>
  <c r="P43" i="15"/>
  <c r="A38" i="28" s="1"/>
  <c r="C38" i="28" s="1"/>
  <c r="A163" i="33"/>
  <c r="C163" i="33" s="1"/>
  <c r="B157" i="33"/>
  <c r="D157" i="33" s="1"/>
  <c r="F157" i="33" s="1"/>
  <c r="B32" i="28"/>
  <c r="D32" i="28" s="1"/>
  <c r="F32" i="28" s="1"/>
  <c r="X37" i="15"/>
  <c r="B32" i="19"/>
  <c r="D32" i="19" s="1"/>
  <c r="B33" i="17"/>
  <c r="D33" i="17" s="1"/>
  <c r="F33" i="17" s="1"/>
  <c r="B158" i="33"/>
  <c r="D158" i="33" s="1"/>
  <c r="B33" i="28"/>
  <c r="D33" i="28" s="1"/>
  <c r="F33" i="28" s="1"/>
  <c r="X38" i="15"/>
  <c r="B33" i="19"/>
  <c r="D33" i="19" s="1"/>
  <c r="F33" i="19" s="1"/>
  <c r="B122" i="33"/>
  <c r="D122" i="33" s="1"/>
  <c r="F122" i="33" s="1"/>
  <c r="B48" i="13"/>
  <c r="D48" i="13" s="1"/>
  <c r="F48" i="13" s="1"/>
  <c r="X53" i="12"/>
  <c r="B111" i="33"/>
  <c r="D111" i="33" s="1"/>
  <c r="F111" i="33" s="1"/>
  <c r="B37" i="29"/>
  <c r="D37" i="29" s="1"/>
  <c r="F37" i="29" s="1"/>
  <c r="B37" i="13"/>
  <c r="D37" i="13" s="1"/>
  <c r="F37" i="13" s="1"/>
  <c r="X42" i="12"/>
  <c r="B109" i="33"/>
  <c r="D109" i="33" s="1"/>
  <c r="F109" i="33" s="1"/>
  <c r="B35" i="29"/>
  <c r="D35" i="29" s="1"/>
  <c r="F35" i="29" s="1"/>
  <c r="B35" i="13"/>
  <c r="X40" i="12"/>
  <c r="B126" i="33"/>
  <c r="D126" i="33" s="1"/>
  <c r="F126" i="33" s="1"/>
  <c r="B52" i="13"/>
  <c r="D52" i="13" s="1"/>
  <c r="F52" i="13" s="1"/>
  <c r="X57" i="12"/>
  <c r="B110" i="33"/>
  <c r="D110" i="33" s="1"/>
  <c r="F110" i="33" s="1"/>
  <c r="B36" i="29"/>
  <c r="D36" i="29" s="1"/>
  <c r="F36" i="29" s="1"/>
  <c r="B36" i="13"/>
  <c r="X41" i="12"/>
  <c r="B113" i="33"/>
  <c r="D113" i="33" s="1"/>
  <c r="B39" i="29"/>
  <c r="D39" i="29" s="1"/>
  <c r="F39" i="29" s="1"/>
  <c r="B39" i="13"/>
  <c r="X44" i="12"/>
  <c r="B107" i="33"/>
  <c r="D107" i="33" s="1"/>
  <c r="F107" i="33" s="1"/>
  <c r="B33" i="29"/>
  <c r="D33" i="29" s="1"/>
  <c r="F33" i="29" s="1"/>
  <c r="B33" i="13"/>
  <c r="X38" i="12"/>
  <c r="B114" i="33"/>
  <c r="D114" i="33" s="1"/>
  <c r="F114" i="33" s="1"/>
  <c r="B40" i="29"/>
  <c r="D40" i="29" s="1"/>
  <c r="F40" i="29" s="1"/>
  <c r="B40" i="13"/>
  <c r="X45" i="12"/>
  <c r="B124" i="33"/>
  <c r="D124" i="33" s="1"/>
  <c r="F124" i="33" s="1"/>
  <c r="B50" i="13"/>
  <c r="D50" i="13" s="1"/>
  <c r="F50" i="13" s="1"/>
  <c r="X55" i="12"/>
  <c r="E87" i="33"/>
  <c r="B100" i="33"/>
  <c r="D100" i="33" s="1"/>
  <c r="F100" i="33" s="1"/>
  <c r="B26" i="29"/>
  <c r="D26" i="29" s="1"/>
  <c r="F26" i="29" s="1"/>
  <c r="B26" i="13"/>
  <c r="X31" i="12"/>
  <c r="B115" i="33"/>
  <c r="D115" i="33" s="1"/>
  <c r="F115" i="33" s="1"/>
  <c r="B41" i="29"/>
  <c r="D41" i="29" s="1"/>
  <c r="F41" i="29" s="1"/>
  <c r="B41" i="13"/>
  <c r="X46" i="12"/>
  <c r="E93" i="33"/>
  <c r="E96" i="33"/>
  <c r="B98" i="33"/>
  <c r="D98" i="33" s="1"/>
  <c r="F98" i="33" s="1"/>
  <c r="B24" i="29"/>
  <c r="D24" i="29" s="1"/>
  <c r="F24" i="29" s="1"/>
  <c r="B24" i="13"/>
  <c r="D24" i="13" s="1"/>
  <c r="F24" i="13" s="1"/>
  <c r="X29" i="12"/>
  <c r="E102" i="33"/>
  <c r="B120" i="33"/>
  <c r="D120" i="33" s="1"/>
  <c r="F120" i="33" s="1"/>
  <c r="B46" i="13"/>
  <c r="D46" i="13" s="1"/>
  <c r="F46" i="13" s="1"/>
  <c r="X51" i="12"/>
  <c r="B125" i="33"/>
  <c r="D125" i="33" s="1"/>
  <c r="F125" i="33" s="1"/>
  <c r="B51" i="13"/>
  <c r="D51" i="13" s="1"/>
  <c r="F51" i="13" s="1"/>
  <c r="X56" i="12"/>
  <c r="B117" i="33"/>
  <c r="D117" i="33" s="1"/>
  <c r="F117" i="33" s="1"/>
  <c r="B43" i="29"/>
  <c r="D43" i="29" s="1"/>
  <c r="F43" i="29" s="1"/>
  <c r="B43" i="13"/>
  <c r="X48" i="12"/>
  <c r="B118" i="33"/>
  <c r="D118" i="33" s="1"/>
  <c r="F118" i="33" s="1"/>
  <c r="B44" i="29"/>
  <c r="D44" i="29" s="1"/>
  <c r="F44" i="29" s="1"/>
  <c r="B44" i="13"/>
  <c r="D44" i="13" s="1"/>
  <c r="F44" i="13" s="1"/>
  <c r="X49" i="12"/>
  <c r="E95" i="33"/>
  <c r="A45" i="13"/>
  <c r="C45" i="13" s="1"/>
  <c r="A119" i="33"/>
  <c r="C119" i="33" s="1"/>
  <c r="B83" i="33"/>
  <c r="D83" i="33" s="1"/>
  <c r="F83" i="33" s="1"/>
  <c r="B9" i="29"/>
  <c r="D9" i="29" s="1"/>
  <c r="F9" i="29" s="1"/>
  <c r="B9" i="13"/>
  <c r="X14" i="12"/>
  <c r="E100" i="33"/>
  <c r="G100" i="33"/>
  <c r="B97" i="33"/>
  <c r="D97" i="33" s="1"/>
  <c r="B23" i="29"/>
  <c r="D23" i="29" s="1"/>
  <c r="F23" i="29" s="1"/>
  <c r="B23" i="13"/>
  <c r="D23" i="13" s="1"/>
  <c r="F23" i="13" s="1"/>
  <c r="X28" i="12"/>
  <c r="E99" i="33"/>
  <c r="B99" i="33"/>
  <c r="D99" i="33" s="1"/>
  <c r="F99" i="33" s="1"/>
  <c r="B25" i="29"/>
  <c r="D25" i="29" s="1"/>
  <c r="F25" i="29" s="1"/>
  <c r="B25" i="13"/>
  <c r="D25" i="13" s="1"/>
  <c r="F25" i="13" s="1"/>
  <c r="X30" i="12"/>
  <c r="B85" i="33"/>
  <c r="D85" i="33" s="1"/>
  <c r="F85" i="33" s="1"/>
  <c r="B11" i="29"/>
  <c r="D11" i="29" s="1"/>
  <c r="F11" i="29" s="1"/>
  <c r="B11" i="13"/>
  <c r="X16" i="12"/>
  <c r="E108" i="33"/>
  <c r="E107" i="33"/>
  <c r="E114" i="33"/>
  <c r="G114" i="33"/>
  <c r="B119" i="33"/>
  <c r="D119" i="33" s="1"/>
  <c r="F119" i="33" s="1"/>
  <c r="B45" i="13"/>
  <c r="D45" i="13" s="1"/>
  <c r="F45" i="13" s="1"/>
  <c r="X50" i="12"/>
  <c r="E82" i="33"/>
  <c r="B96" i="33"/>
  <c r="D96" i="33" s="1"/>
  <c r="F96" i="33" s="1"/>
  <c r="B22" i="29"/>
  <c r="D22" i="29" s="1"/>
  <c r="F22" i="29" s="1"/>
  <c r="B22" i="13"/>
  <c r="X27" i="12"/>
  <c r="B77" i="33"/>
  <c r="D77" i="33" s="1"/>
  <c r="F77" i="33" s="1"/>
  <c r="B3" i="29"/>
  <c r="D3" i="29" s="1"/>
  <c r="F3" i="29" s="1"/>
  <c r="B3" i="13"/>
  <c r="X8" i="12"/>
  <c r="E83" i="33"/>
  <c r="G83" i="33"/>
  <c r="E101" i="33"/>
  <c r="E104" i="33"/>
  <c r="E98" i="33"/>
  <c r="B93" i="33"/>
  <c r="D93" i="33" s="1"/>
  <c r="F93" i="33" s="1"/>
  <c r="B19" i="29"/>
  <c r="D19" i="29" s="1"/>
  <c r="F19" i="29" s="1"/>
  <c r="B19" i="13"/>
  <c r="D19" i="13" s="1"/>
  <c r="F19" i="13" s="1"/>
  <c r="X24" i="12"/>
  <c r="E112" i="33"/>
  <c r="B108" i="33"/>
  <c r="D108" i="33" s="1"/>
  <c r="F108" i="33" s="1"/>
  <c r="B34" i="29"/>
  <c r="D34" i="29" s="1"/>
  <c r="F34" i="29" s="1"/>
  <c r="B34" i="13"/>
  <c r="X39" i="12"/>
  <c r="A47" i="13"/>
  <c r="C47" i="13" s="1"/>
  <c r="A121" i="33"/>
  <c r="C121" i="33" s="1"/>
  <c r="E121" i="33" s="1"/>
  <c r="E118" i="33"/>
  <c r="E110" i="33"/>
  <c r="B123" i="33"/>
  <c r="D123" i="33" s="1"/>
  <c r="F123" i="33" s="1"/>
  <c r="B49" i="13"/>
  <c r="D49" i="13" s="1"/>
  <c r="F49" i="13" s="1"/>
  <c r="X54" i="12"/>
  <c r="E92" i="33"/>
  <c r="B106" i="33"/>
  <c r="D106" i="33" s="1"/>
  <c r="F106" i="33" s="1"/>
  <c r="B32" i="29"/>
  <c r="D32" i="29" s="1"/>
  <c r="F32" i="29" s="1"/>
  <c r="B32" i="13"/>
  <c r="X37" i="12"/>
  <c r="B80" i="33"/>
  <c r="D80" i="33" s="1"/>
  <c r="F80" i="33" s="1"/>
  <c r="B6" i="29"/>
  <c r="D6" i="29" s="1"/>
  <c r="F6" i="29" s="1"/>
  <c r="B6" i="13"/>
  <c r="X11" i="12"/>
  <c r="B79" i="33"/>
  <c r="D79" i="33" s="1"/>
  <c r="F79" i="33" s="1"/>
  <c r="B5" i="29"/>
  <c r="D5" i="29" s="1"/>
  <c r="F5" i="29" s="1"/>
  <c r="B5" i="13"/>
  <c r="X10" i="12"/>
  <c r="B81" i="33"/>
  <c r="D81" i="33" s="1"/>
  <c r="B7" i="29"/>
  <c r="D7" i="29" s="1"/>
  <c r="F7" i="29" s="1"/>
  <c r="B7" i="13"/>
  <c r="X12" i="12"/>
  <c r="B88" i="33"/>
  <c r="D88" i="33" s="1"/>
  <c r="F88" i="33" s="1"/>
  <c r="B14" i="29"/>
  <c r="D14" i="29" s="1"/>
  <c r="F14" i="29" s="1"/>
  <c r="B14" i="13"/>
  <c r="X19" i="12"/>
  <c r="B105" i="33"/>
  <c r="D105" i="33" s="1"/>
  <c r="B31" i="29"/>
  <c r="D31" i="29" s="1"/>
  <c r="F31" i="29" s="1"/>
  <c r="B31" i="13"/>
  <c r="X36" i="12"/>
  <c r="B94" i="33"/>
  <c r="D94" i="33" s="1"/>
  <c r="F94" i="33" s="1"/>
  <c r="B20" i="29"/>
  <c r="D20" i="29" s="1"/>
  <c r="F20" i="29" s="1"/>
  <c r="B20" i="13"/>
  <c r="X25" i="12"/>
  <c r="E116" i="33"/>
  <c r="E111" i="33"/>
  <c r="G111" i="33"/>
  <c r="A49" i="13"/>
  <c r="C49" i="13" s="1"/>
  <c r="A123" i="33"/>
  <c r="C123" i="33" s="1"/>
  <c r="B78" i="33"/>
  <c r="D78" i="33" s="1"/>
  <c r="F78" i="33" s="1"/>
  <c r="B4" i="29"/>
  <c r="D4" i="29" s="1"/>
  <c r="F4" i="29" s="1"/>
  <c r="B4" i="13"/>
  <c r="D4" i="13" s="1"/>
  <c r="F4" i="13" s="1"/>
  <c r="X9" i="12"/>
  <c r="B82" i="33"/>
  <c r="D82" i="33" s="1"/>
  <c r="F82" i="33" s="1"/>
  <c r="B8" i="29"/>
  <c r="D8" i="29" s="1"/>
  <c r="F8" i="29" s="1"/>
  <c r="B8" i="13"/>
  <c r="X13" i="12"/>
  <c r="B87" i="33"/>
  <c r="D87" i="33" s="1"/>
  <c r="F87" i="33" s="1"/>
  <c r="B13" i="29"/>
  <c r="D13" i="29" s="1"/>
  <c r="F13" i="29" s="1"/>
  <c r="B13" i="13"/>
  <c r="D13" i="13" s="1"/>
  <c r="F13" i="13" s="1"/>
  <c r="X18" i="12"/>
  <c r="E103" i="33"/>
  <c r="B90" i="33"/>
  <c r="D90" i="33" s="1"/>
  <c r="F90" i="33" s="1"/>
  <c r="B16" i="29"/>
  <c r="D16" i="29" s="1"/>
  <c r="F16" i="29" s="1"/>
  <c r="B16" i="13"/>
  <c r="X21" i="12"/>
  <c r="B91" i="33"/>
  <c r="D91" i="33" s="1"/>
  <c r="F91" i="33" s="1"/>
  <c r="B17" i="29"/>
  <c r="D17" i="29" s="1"/>
  <c r="F17" i="29" s="1"/>
  <c r="B17" i="13"/>
  <c r="X22" i="12"/>
  <c r="E106" i="33"/>
  <c r="A46" i="13"/>
  <c r="C46" i="13" s="1"/>
  <c r="E46" i="13" s="1"/>
  <c r="A120" i="33"/>
  <c r="C120" i="33" s="1"/>
  <c r="B112" i="33"/>
  <c r="D112" i="33" s="1"/>
  <c r="F112" i="33" s="1"/>
  <c r="B38" i="29"/>
  <c r="D38" i="29" s="1"/>
  <c r="F38" i="29" s="1"/>
  <c r="B38" i="13"/>
  <c r="X43" i="12"/>
  <c r="E125" i="33"/>
  <c r="G125" i="33"/>
  <c r="A48" i="13"/>
  <c r="C48" i="13" s="1"/>
  <c r="G48" i="13" s="1"/>
  <c r="A122" i="33"/>
  <c r="C122" i="33" s="1"/>
  <c r="B101" i="33"/>
  <c r="D101" i="33" s="1"/>
  <c r="F101" i="33" s="1"/>
  <c r="B27" i="29"/>
  <c r="D27" i="29" s="1"/>
  <c r="F27" i="29" s="1"/>
  <c r="B27" i="13"/>
  <c r="X32" i="12"/>
  <c r="B121" i="33"/>
  <c r="D121" i="33" s="1"/>
  <c r="B47" i="13"/>
  <c r="D47" i="13" s="1"/>
  <c r="F47" i="13" s="1"/>
  <c r="X52" i="12"/>
  <c r="B76" i="33"/>
  <c r="D76" i="33" s="1"/>
  <c r="B2" i="29"/>
  <c r="D2" i="29" s="1"/>
  <c r="B2" i="13"/>
  <c r="X7" i="12"/>
  <c r="E84" i="33"/>
  <c r="B84" i="33"/>
  <c r="D84" i="33" s="1"/>
  <c r="F84" i="33" s="1"/>
  <c r="B10" i="29"/>
  <c r="D10" i="29" s="1"/>
  <c r="F10" i="29" s="1"/>
  <c r="B10" i="13"/>
  <c r="D10" i="13" s="1"/>
  <c r="F10" i="13" s="1"/>
  <c r="X15" i="12"/>
  <c r="E91" i="33"/>
  <c r="B104" i="33"/>
  <c r="D104" i="33" s="1"/>
  <c r="F104" i="33" s="1"/>
  <c r="B30" i="29"/>
  <c r="D30" i="29" s="1"/>
  <c r="F30" i="29" s="1"/>
  <c r="B30" i="13"/>
  <c r="X35" i="12"/>
  <c r="E86" i="33"/>
  <c r="B102" i="33"/>
  <c r="D102" i="33" s="1"/>
  <c r="F102" i="33" s="1"/>
  <c r="B28" i="29"/>
  <c r="D28" i="29" s="1"/>
  <c r="F28" i="29" s="1"/>
  <c r="B28" i="13"/>
  <c r="X33" i="12"/>
  <c r="E94" i="33"/>
  <c r="A50" i="13"/>
  <c r="C50" i="13" s="1"/>
  <c r="E50" i="13" s="1"/>
  <c r="A124" i="33"/>
  <c r="C124" i="33" s="1"/>
  <c r="E115" i="33"/>
  <c r="A43" i="13"/>
  <c r="C43" i="13" s="1"/>
  <c r="E43" i="13" s="1"/>
  <c r="A117" i="33"/>
  <c r="C117" i="33" s="1"/>
  <c r="A52" i="13"/>
  <c r="C52" i="13" s="1"/>
  <c r="A126" i="33"/>
  <c r="C126" i="33" s="1"/>
  <c r="E80" i="33"/>
  <c r="E90" i="33"/>
  <c r="E77" i="33"/>
  <c r="G77" i="33"/>
  <c r="E78" i="33"/>
  <c r="E79" i="33"/>
  <c r="E85" i="33"/>
  <c r="E88" i="33"/>
  <c r="B86" i="33"/>
  <c r="D86" i="33" s="1"/>
  <c r="F86" i="33" s="1"/>
  <c r="B12" i="29"/>
  <c r="D12" i="29" s="1"/>
  <c r="F12" i="29" s="1"/>
  <c r="B12" i="13"/>
  <c r="D12" i="13" s="1"/>
  <c r="F12" i="13" s="1"/>
  <c r="X17" i="12"/>
  <c r="B89" i="33"/>
  <c r="D89" i="33" s="1"/>
  <c r="B15" i="29"/>
  <c r="D15" i="29" s="1"/>
  <c r="F15" i="29" s="1"/>
  <c r="B15" i="13"/>
  <c r="X20" i="12"/>
  <c r="B95" i="33"/>
  <c r="D95" i="33" s="1"/>
  <c r="F95" i="33" s="1"/>
  <c r="B21" i="29"/>
  <c r="D21" i="29" s="1"/>
  <c r="F21" i="29" s="1"/>
  <c r="B21" i="13"/>
  <c r="D21" i="13" s="1"/>
  <c r="F21" i="13" s="1"/>
  <c r="X26" i="12"/>
  <c r="B92" i="33"/>
  <c r="D92" i="33" s="1"/>
  <c r="F92" i="33" s="1"/>
  <c r="B18" i="29"/>
  <c r="D18" i="29" s="1"/>
  <c r="F18" i="29" s="1"/>
  <c r="B18" i="13"/>
  <c r="X23" i="12"/>
  <c r="B103" i="33"/>
  <c r="D103" i="33" s="1"/>
  <c r="F103" i="33" s="1"/>
  <c r="B29" i="29"/>
  <c r="D29" i="29" s="1"/>
  <c r="F29" i="29" s="1"/>
  <c r="B29" i="13"/>
  <c r="D29" i="13" s="1"/>
  <c r="F29" i="13" s="1"/>
  <c r="X34" i="12"/>
  <c r="B116" i="33"/>
  <c r="D116" i="33" s="1"/>
  <c r="F116" i="33" s="1"/>
  <c r="B42" i="29"/>
  <c r="D42" i="29" s="1"/>
  <c r="F42" i="29" s="1"/>
  <c r="B42" i="13"/>
  <c r="X47" i="12"/>
  <c r="A35" i="13"/>
  <c r="C35" i="13" s="1"/>
  <c r="E35" i="13" s="1"/>
  <c r="A109" i="33"/>
  <c r="C109" i="33" s="1"/>
  <c r="A21" i="28"/>
  <c r="C21" i="28" s="1"/>
  <c r="A21" i="17"/>
  <c r="A17" i="28"/>
  <c r="C17" i="28" s="1"/>
  <c r="A17" i="17"/>
  <c r="C17" i="17" s="1"/>
  <c r="A18" i="28"/>
  <c r="C18" i="28" s="1"/>
  <c r="A18" i="17"/>
  <c r="C18" i="17" s="1"/>
  <c r="A30" i="28"/>
  <c r="C30" i="28" s="1"/>
  <c r="A30" i="17"/>
  <c r="C30" i="17" s="1"/>
  <c r="A41" i="28"/>
  <c r="C41" i="28" s="1"/>
  <c r="A41" i="17"/>
  <c r="A33" i="28"/>
  <c r="C33" i="28" s="1"/>
  <c r="A33" i="17"/>
  <c r="C33" i="17" s="1"/>
  <c r="A25" i="28"/>
  <c r="C25" i="28" s="1"/>
  <c r="A25" i="17"/>
  <c r="C25" i="17" s="1"/>
  <c r="A14" i="28"/>
  <c r="C14" i="28" s="1"/>
  <c r="A14" i="17"/>
  <c r="C14" i="17" s="1"/>
  <c r="A19" i="28"/>
  <c r="C19" i="28" s="1"/>
  <c r="A19" i="17"/>
  <c r="A4" i="17"/>
  <c r="A16" i="28"/>
  <c r="C16" i="28" s="1"/>
  <c r="A16" i="17"/>
  <c r="A27" i="28"/>
  <c r="C27" i="28" s="1"/>
  <c r="A27" i="17"/>
  <c r="C27" i="17" s="1"/>
  <c r="A28" i="17"/>
  <c r="A37" i="28"/>
  <c r="C37" i="28" s="1"/>
  <c r="A37" i="17"/>
  <c r="A11" i="28"/>
  <c r="C11" i="28" s="1"/>
  <c r="A11" i="17"/>
  <c r="C11" i="17" s="1"/>
  <c r="A24" i="28"/>
  <c r="C24" i="28" s="1"/>
  <c r="A24" i="17"/>
  <c r="A26" i="28"/>
  <c r="C26" i="28" s="1"/>
  <c r="A26" i="17"/>
  <c r="A39" i="28"/>
  <c r="C39" i="28" s="1"/>
  <c r="A39" i="17"/>
  <c r="A40" i="28"/>
  <c r="C40" i="28" s="1"/>
  <c r="A40" i="17"/>
  <c r="C40" i="17" s="1"/>
  <c r="A13" i="28"/>
  <c r="C13" i="28" s="1"/>
  <c r="A13" i="17"/>
  <c r="C13" i="17" s="1"/>
  <c r="A6" i="17"/>
  <c r="A7" i="28"/>
  <c r="C7" i="28" s="1"/>
  <c r="A7" i="17"/>
  <c r="A12" i="28"/>
  <c r="C12" i="28" s="1"/>
  <c r="A12" i="17"/>
  <c r="A29" i="28"/>
  <c r="C29" i="28" s="1"/>
  <c r="A29" i="17"/>
  <c r="C29" i="17" s="1"/>
  <c r="A15" i="28"/>
  <c r="C15" i="28" s="1"/>
  <c r="A15" i="17"/>
  <c r="A42" i="28"/>
  <c r="C42" i="28" s="1"/>
  <c r="A42" i="17"/>
  <c r="A36" i="28"/>
  <c r="C36" i="28" s="1"/>
  <c r="A36" i="17"/>
  <c r="A5" i="17"/>
  <c r="C5" i="17" s="1"/>
  <c r="A5" i="28"/>
  <c r="C5" i="28" s="1"/>
  <c r="A8" i="17"/>
  <c r="A35" i="28"/>
  <c r="C35" i="28" s="1"/>
  <c r="A3" i="28"/>
  <c r="C3" i="28" s="1"/>
  <c r="A3" i="17"/>
  <c r="A34" i="28"/>
  <c r="C34" i="28" s="1"/>
  <c r="A34" i="17"/>
  <c r="C34" i="17" s="1"/>
  <c r="A31" i="28"/>
  <c r="C31" i="28" s="1"/>
  <c r="A32" i="17"/>
  <c r="A10" i="28"/>
  <c r="C10" i="28" s="1"/>
  <c r="A10" i="17"/>
  <c r="A23" i="28"/>
  <c r="C23" i="28" s="1"/>
  <c r="A23" i="17"/>
  <c r="C23" i="17" s="1"/>
  <c r="P36" i="12"/>
  <c r="A31" i="29" s="1"/>
  <c r="C31" i="29" s="1"/>
  <c r="A31" i="13"/>
  <c r="P42" i="12"/>
  <c r="A37" i="29" s="1"/>
  <c r="C37" i="29" s="1"/>
  <c r="A37" i="13"/>
  <c r="G46" i="13"/>
  <c r="A36" i="13"/>
  <c r="C36" i="13" s="1"/>
  <c r="E36" i="13" s="1"/>
  <c r="P22" i="12"/>
  <c r="A17" i="14" s="1"/>
  <c r="C17" i="14" s="1"/>
  <c r="A17" i="13"/>
  <c r="C17" i="13" s="1"/>
  <c r="E17" i="13" s="1"/>
  <c r="P25" i="12"/>
  <c r="A20" i="13"/>
  <c r="P46" i="12"/>
  <c r="A41" i="29" s="1"/>
  <c r="C41" i="29" s="1"/>
  <c r="A41" i="13"/>
  <c r="C41" i="13" s="1"/>
  <c r="E41" i="13" s="1"/>
  <c r="E49" i="13"/>
  <c r="P44" i="12"/>
  <c r="A39" i="29" s="1"/>
  <c r="C39" i="29" s="1"/>
  <c r="A39" i="13"/>
  <c r="P45" i="12"/>
  <c r="A40" i="13"/>
  <c r="P34" i="12"/>
  <c r="A29" i="29" s="1"/>
  <c r="C29" i="29" s="1"/>
  <c r="A29" i="13"/>
  <c r="C29" i="13" s="1"/>
  <c r="E29" i="13" s="1"/>
  <c r="P15" i="12"/>
  <c r="A10" i="14" s="1"/>
  <c r="A10" i="13"/>
  <c r="C10" i="13" s="1"/>
  <c r="E10" i="13" s="1"/>
  <c r="P19" i="12"/>
  <c r="A14" i="14" s="1"/>
  <c r="A14" i="13"/>
  <c r="P56" i="12"/>
  <c r="A51" i="13"/>
  <c r="C51" i="13" s="1"/>
  <c r="P12" i="12"/>
  <c r="A7" i="29" s="1"/>
  <c r="C7" i="29" s="1"/>
  <c r="A7" i="13"/>
  <c r="C7" i="13" s="1"/>
  <c r="E7" i="13" s="1"/>
  <c r="P13" i="12"/>
  <c r="A8" i="29" s="1"/>
  <c r="C8" i="29" s="1"/>
  <c r="A8" i="13"/>
  <c r="C8" i="13" s="1"/>
  <c r="P20" i="12"/>
  <c r="A15" i="14" s="1"/>
  <c r="C15" i="14" s="1"/>
  <c r="A15" i="13"/>
  <c r="P23" i="12"/>
  <c r="A18" i="29" s="1"/>
  <c r="C18" i="29" s="1"/>
  <c r="A18" i="13"/>
  <c r="P18" i="12"/>
  <c r="A13" i="29" s="1"/>
  <c r="C13" i="29" s="1"/>
  <c r="A13" i="13"/>
  <c r="C13" i="13" s="1"/>
  <c r="P21" i="12"/>
  <c r="A16" i="29" s="1"/>
  <c r="C16" i="29" s="1"/>
  <c r="A16" i="13"/>
  <c r="C16" i="13" s="1"/>
  <c r="E16" i="13" s="1"/>
  <c r="P26" i="12"/>
  <c r="A21" i="13"/>
  <c r="E45" i="13"/>
  <c r="G45" i="13"/>
  <c r="E52" i="13"/>
  <c r="G52" i="13"/>
  <c r="E47" i="13"/>
  <c r="G47" i="13"/>
  <c r="P8" i="12"/>
  <c r="A3" i="29" s="1"/>
  <c r="C3" i="29" s="1"/>
  <c r="A3" i="13"/>
  <c r="P11" i="12"/>
  <c r="A6" i="29" s="1"/>
  <c r="C6" i="29" s="1"/>
  <c r="A6" i="13"/>
  <c r="P24" i="12"/>
  <c r="A19" i="29" s="1"/>
  <c r="C19" i="29" s="1"/>
  <c r="A19" i="13"/>
  <c r="C19" i="13" s="1"/>
  <c r="E19" i="13" s="1"/>
  <c r="P27" i="12"/>
  <c r="A22" i="29" s="1"/>
  <c r="C22" i="29" s="1"/>
  <c r="A22" i="13"/>
  <c r="C22" i="13" s="1"/>
  <c r="E22" i="13" s="1"/>
  <c r="P33" i="12"/>
  <c r="A28" i="29" s="1"/>
  <c r="C28" i="29" s="1"/>
  <c r="A28" i="13"/>
  <c r="P53" i="12"/>
  <c r="P47" i="12"/>
  <c r="A42" i="29" s="1"/>
  <c r="C42" i="29" s="1"/>
  <c r="A42" i="13"/>
  <c r="C42" i="13" s="1"/>
  <c r="E42" i="13" s="1"/>
  <c r="P9" i="12"/>
  <c r="A4" i="29" s="1"/>
  <c r="C4" i="29" s="1"/>
  <c r="A4" i="13"/>
  <c r="C4" i="13" s="1"/>
  <c r="A12" i="13"/>
  <c r="C12" i="13" s="1"/>
  <c r="E12" i="13" s="1"/>
  <c r="P17" i="12"/>
  <c r="A12" i="14" s="1"/>
  <c r="C12" i="14" s="1"/>
  <c r="P16" i="12"/>
  <c r="A11" i="13"/>
  <c r="P28" i="12"/>
  <c r="A23" i="29" s="1"/>
  <c r="C23" i="29" s="1"/>
  <c r="A23" i="13"/>
  <c r="C23" i="13" s="1"/>
  <c r="E23" i="13" s="1"/>
  <c r="P31" i="12"/>
  <c r="A26" i="14" s="1"/>
  <c r="C26" i="14" s="1"/>
  <c r="A26" i="13"/>
  <c r="C26" i="13" s="1"/>
  <c r="E26" i="13" s="1"/>
  <c r="P30" i="12"/>
  <c r="A25" i="29" s="1"/>
  <c r="C25" i="29" s="1"/>
  <c r="A25" i="13"/>
  <c r="C25" i="13" s="1"/>
  <c r="E25" i="13" s="1"/>
  <c r="P39" i="12"/>
  <c r="A34" i="13"/>
  <c r="P38" i="12"/>
  <c r="A33" i="29" s="1"/>
  <c r="C33" i="29" s="1"/>
  <c r="A33" i="13"/>
  <c r="C33" i="13" s="1"/>
  <c r="E33" i="13" s="1"/>
  <c r="P48" i="12"/>
  <c r="A43" i="29" s="1"/>
  <c r="C43" i="29" s="1"/>
  <c r="P37" i="12"/>
  <c r="A32" i="29" s="1"/>
  <c r="C32" i="29" s="1"/>
  <c r="A32" i="13"/>
  <c r="A44" i="13"/>
  <c r="C44" i="13" s="1"/>
  <c r="E44" i="13" s="1"/>
  <c r="P10" i="12"/>
  <c r="A5" i="29" s="1"/>
  <c r="C5" i="29" s="1"/>
  <c r="A5" i="13"/>
  <c r="C5" i="13" s="1"/>
  <c r="P14" i="12"/>
  <c r="A9" i="14" s="1"/>
  <c r="C9" i="14" s="1"/>
  <c r="A9" i="13"/>
  <c r="C9" i="13" s="1"/>
  <c r="P32" i="12"/>
  <c r="A27" i="29" s="1"/>
  <c r="C27" i="29" s="1"/>
  <c r="A27" i="13"/>
  <c r="C27" i="13" s="1"/>
  <c r="E27" i="13" s="1"/>
  <c r="P35" i="12"/>
  <c r="A30" i="29" s="1"/>
  <c r="C30" i="29" s="1"/>
  <c r="A30" i="13"/>
  <c r="P29" i="12"/>
  <c r="A24" i="29" s="1"/>
  <c r="C24" i="29" s="1"/>
  <c r="A24" i="13"/>
  <c r="P43" i="12"/>
  <c r="A38" i="29" s="1"/>
  <c r="C38" i="29" s="1"/>
  <c r="A38" i="13"/>
  <c r="C38" i="13" s="1"/>
  <c r="E38" i="13" s="1"/>
  <c r="A40" i="29"/>
  <c r="C40" i="29" s="1"/>
  <c r="A20" i="29"/>
  <c r="C20" i="29" s="1"/>
  <c r="A11" i="29"/>
  <c r="C11" i="29" s="1"/>
  <c r="A35" i="29"/>
  <c r="C35" i="29" s="1"/>
  <c r="A21" i="29"/>
  <c r="C21" i="29" s="1"/>
  <c r="A34" i="29"/>
  <c r="C34" i="29" s="1"/>
  <c r="A18" i="14"/>
  <c r="A6" i="14"/>
  <c r="A21" i="14"/>
  <c r="C21" i="14" s="1"/>
  <c r="A35" i="14"/>
  <c r="C35" i="14" s="1"/>
  <c r="A37" i="14"/>
  <c r="A20" i="14"/>
  <c r="C20" i="14" s="1"/>
  <c r="A25" i="14"/>
  <c r="C25" i="14" s="1"/>
  <c r="A34" i="14"/>
  <c r="C34" i="14" s="1"/>
  <c r="A5" i="14"/>
  <c r="C5" i="14" s="1"/>
  <c r="A11" i="14"/>
  <c r="C11" i="14" s="1"/>
  <c r="A40" i="14"/>
  <c r="C40" i="14" s="1"/>
  <c r="A36" i="16"/>
  <c r="C36" i="16" s="1"/>
  <c r="P49" i="12"/>
  <c r="A44" i="29" s="1"/>
  <c r="C44" i="29" s="1"/>
  <c r="P41" i="12"/>
  <c r="A36" i="29" s="1"/>
  <c r="C36" i="29" s="1"/>
  <c r="C39" i="13"/>
  <c r="E39" i="13" s="1"/>
  <c r="P52" i="12"/>
  <c r="C21" i="13"/>
  <c r="E21" i="13" s="1"/>
  <c r="A28" i="16"/>
  <c r="C28" i="16" s="1"/>
  <c r="E28" i="16" s="1"/>
  <c r="A16" i="16"/>
  <c r="C16" i="16" s="1"/>
  <c r="E16" i="16" s="1"/>
  <c r="P54" i="12"/>
  <c r="P50" i="12"/>
  <c r="P51" i="12"/>
  <c r="P55" i="12"/>
  <c r="A32" i="16"/>
  <c r="C32" i="16" s="1"/>
  <c r="E32" i="16" s="1"/>
  <c r="B33" i="16"/>
  <c r="D33" i="16" s="1"/>
  <c r="F33" i="16" s="1"/>
  <c r="B29" i="16"/>
  <c r="D29" i="16" s="1"/>
  <c r="F29" i="16" s="1"/>
  <c r="A12" i="16"/>
  <c r="C12" i="16" s="1"/>
  <c r="E12" i="16" s="1"/>
  <c r="A24" i="16"/>
  <c r="C24" i="16" s="1"/>
  <c r="E24" i="16" s="1"/>
  <c r="A20" i="16"/>
  <c r="C20" i="16" s="1"/>
  <c r="E20" i="16" s="1"/>
  <c r="A4" i="16"/>
  <c r="C4" i="16" s="1"/>
  <c r="E4" i="16" s="1"/>
  <c r="B9" i="17"/>
  <c r="D9" i="17" s="1"/>
  <c r="F9" i="17" s="1"/>
  <c r="B9" i="16"/>
  <c r="D9" i="16" s="1"/>
  <c r="F9" i="16" s="1"/>
  <c r="B5" i="17"/>
  <c r="D5" i="17" s="1"/>
  <c r="F5" i="17" s="1"/>
  <c r="B5" i="16"/>
  <c r="D5" i="16" s="1"/>
  <c r="F5" i="16" s="1"/>
  <c r="B13" i="17"/>
  <c r="D13" i="17" s="1"/>
  <c r="F13" i="17" s="1"/>
  <c r="B13" i="16"/>
  <c r="D13" i="16" s="1"/>
  <c r="F13" i="16" s="1"/>
  <c r="B21" i="17"/>
  <c r="D21" i="17" s="1"/>
  <c r="F21" i="17" s="1"/>
  <c r="B21" i="16"/>
  <c r="D21" i="16" s="1"/>
  <c r="F21" i="16" s="1"/>
  <c r="A8" i="16"/>
  <c r="C8" i="16" s="1"/>
  <c r="B17" i="16"/>
  <c r="D17" i="16" s="1"/>
  <c r="F17" i="16" s="1"/>
  <c r="B25" i="16"/>
  <c r="D25" i="16" s="1"/>
  <c r="F25" i="16" s="1"/>
  <c r="A10" i="16"/>
  <c r="C10" i="16" s="1"/>
  <c r="E10" i="16" s="1"/>
  <c r="A6" i="16"/>
  <c r="C6" i="16" s="1"/>
  <c r="E6" i="16" s="1"/>
  <c r="B27" i="17"/>
  <c r="D27" i="17" s="1"/>
  <c r="F27" i="17" s="1"/>
  <c r="B27" i="16"/>
  <c r="D27" i="16" s="1"/>
  <c r="F27" i="16" s="1"/>
  <c r="B40" i="17"/>
  <c r="D40" i="17" s="1"/>
  <c r="F40" i="17" s="1"/>
  <c r="B40" i="16"/>
  <c r="D40" i="16" s="1"/>
  <c r="F40" i="16" s="1"/>
  <c r="B42" i="17"/>
  <c r="D42" i="17" s="1"/>
  <c r="F42" i="17" s="1"/>
  <c r="B42" i="16"/>
  <c r="D42" i="16" s="1"/>
  <c r="F42" i="16" s="1"/>
  <c r="B39" i="17"/>
  <c r="D39" i="17" s="1"/>
  <c r="F39" i="17" s="1"/>
  <c r="B39" i="16"/>
  <c r="D39" i="16" s="1"/>
  <c r="F39" i="16" s="1"/>
  <c r="B23" i="17"/>
  <c r="D23" i="17" s="1"/>
  <c r="F23" i="17" s="1"/>
  <c r="B23" i="16"/>
  <c r="D23" i="16" s="1"/>
  <c r="F23" i="16" s="1"/>
  <c r="B7" i="17"/>
  <c r="D7" i="17" s="1"/>
  <c r="F7" i="17" s="1"/>
  <c r="B7" i="16"/>
  <c r="D7" i="16" s="1"/>
  <c r="F7" i="16" s="1"/>
  <c r="B35" i="17"/>
  <c r="D35" i="17" s="1"/>
  <c r="F35" i="17" s="1"/>
  <c r="B35" i="16"/>
  <c r="D35" i="16" s="1"/>
  <c r="F35" i="16" s="1"/>
  <c r="B19" i="17"/>
  <c r="D19" i="17" s="1"/>
  <c r="F19" i="17" s="1"/>
  <c r="B19" i="16"/>
  <c r="D19" i="16" s="1"/>
  <c r="F19" i="16" s="1"/>
  <c r="B3" i="17"/>
  <c r="D3" i="17" s="1"/>
  <c r="F3" i="17" s="1"/>
  <c r="B3" i="16"/>
  <c r="D3" i="16" s="1"/>
  <c r="F3" i="16" s="1"/>
  <c r="B31" i="17"/>
  <c r="D31" i="17" s="1"/>
  <c r="F31" i="17" s="1"/>
  <c r="B31" i="16"/>
  <c r="D31" i="16" s="1"/>
  <c r="F31" i="16" s="1"/>
  <c r="B41" i="17"/>
  <c r="D41" i="17" s="1"/>
  <c r="F41" i="17" s="1"/>
  <c r="B41" i="16"/>
  <c r="D41" i="16" s="1"/>
  <c r="F41" i="16" s="1"/>
  <c r="B15" i="17"/>
  <c r="D15" i="17" s="1"/>
  <c r="F15" i="17" s="1"/>
  <c r="B15" i="16"/>
  <c r="D15" i="16" s="1"/>
  <c r="F15" i="16" s="1"/>
  <c r="A13" i="16"/>
  <c r="C13" i="16" s="1"/>
  <c r="A41" i="16"/>
  <c r="C41" i="16" s="1"/>
  <c r="C41" i="17"/>
  <c r="B26" i="17"/>
  <c r="D26" i="17" s="1"/>
  <c r="F26" i="17" s="1"/>
  <c r="B26" i="16"/>
  <c r="D26" i="16" s="1"/>
  <c r="F26" i="16" s="1"/>
  <c r="B10" i="17"/>
  <c r="D10" i="17" s="1"/>
  <c r="F10" i="17" s="1"/>
  <c r="B10" i="16"/>
  <c r="D10" i="16" s="1"/>
  <c r="F10" i="16" s="1"/>
  <c r="A22" i="16"/>
  <c r="C22" i="16" s="1"/>
  <c r="A11" i="16"/>
  <c r="C11" i="16" s="1"/>
  <c r="B8" i="17"/>
  <c r="D8" i="17" s="1"/>
  <c r="F8" i="17" s="1"/>
  <c r="B8" i="16"/>
  <c r="D8" i="16" s="1"/>
  <c r="F8" i="16" s="1"/>
  <c r="A26" i="16"/>
  <c r="C26" i="16" s="1"/>
  <c r="C26" i="17"/>
  <c r="A15" i="16"/>
  <c r="C15" i="16" s="1"/>
  <c r="C15" i="17"/>
  <c r="A9" i="16"/>
  <c r="C9" i="16" s="1"/>
  <c r="A18" i="16"/>
  <c r="C18" i="16" s="1"/>
  <c r="A39" i="16"/>
  <c r="C39" i="16" s="1"/>
  <c r="C39" i="17"/>
  <c r="A7" i="16"/>
  <c r="C7" i="16" s="1"/>
  <c r="C7" i="17"/>
  <c r="B28" i="17"/>
  <c r="D28" i="17" s="1"/>
  <c r="F28" i="17" s="1"/>
  <c r="B28" i="16"/>
  <c r="D28" i="16" s="1"/>
  <c r="F28" i="16" s="1"/>
  <c r="A17" i="16"/>
  <c r="C17" i="16" s="1"/>
  <c r="A42" i="16"/>
  <c r="C42" i="16" s="1"/>
  <c r="C42" i="17"/>
  <c r="B20" i="17"/>
  <c r="D20" i="17" s="1"/>
  <c r="F20" i="17" s="1"/>
  <c r="B20" i="16"/>
  <c r="D20" i="16" s="1"/>
  <c r="F20" i="16" s="1"/>
  <c r="A37" i="16"/>
  <c r="C37" i="16" s="1"/>
  <c r="C37" i="17"/>
  <c r="A5" i="16"/>
  <c r="C5" i="16" s="1"/>
  <c r="B38" i="17"/>
  <c r="D38" i="17" s="1"/>
  <c r="F38" i="17" s="1"/>
  <c r="B38" i="16"/>
  <c r="D38" i="16" s="1"/>
  <c r="F38" i="16" s="1"/>
  <c r="B22" i="17"/>
  <c r="D22" i="17" s="1"/>
  <c r="F22" i="17" s="1"/>
  <c r="B22" i="16"/>
  <c r="D22" i="16" s="1"/>
  <c r="F22" i="16" s="1"/>
  <c r="B6" i="17"/>
  <c r="D6" i="17" s="1"/>
  <c r="F6" i="17" s="1"/>
  <c r="B6" i="16"/>
  <c r="D6" i="16" s="1"/>
  <c r="F6" i="16" s="1"/>
  <c r="A14" i="16"/>
  <c r="C14" i="16" s="1"/>
  <c r="A35" i="16"/>
  <c r="C35" i="16" s="1"/>
  <c r="A3" i="16"/>
  <c r="C3" i="16" s="1"/>
  <c r="C3" i="17"/>
  <c r="B16" i="17"/>
  <c r="D16" i="17" s="1"/>
  <c r="F16" i="17" s="1"/>
  <c r="B16" i="16"/>
  <c r="D16" i="16" s="1"/>
  <c r="F16" i="16" s="1"/>
  <c r="A33" i="16"/>
  <c r="C33" i="16" s="1"/>
  <c r="A31" i="16"/>
  <c r="C31" i="16" s="1"/>
  <c r="B36" i="17"/>
  <c r="D36" i="17" s="1"/>
  <c r="F36" i="17" s="1"/>
  <c r="B36" i="16"/>
  <c r="D36" i="16" s="1"/>
  <c r="F36" i="16" s="1"/>
  <c r="B4" i="17"/>
  <c r="D4" i="17" s="1"/>
  <c r="F4" i="17" s="1"/>
  <c r="B4" i="16"/>
  <c r="D4" i="16" s="1"/>
  <c r="F4" i="16" s="1"/>
  <c r="A29" i="16"/>
  <c r="C29" i="16" s="1"/>
  <c r="B34" i="17"/>
  <c r="D34" i="17" s="1"/>
  <c r="F34" i="17" s="1"/>
  <c r="B34" i="16"/>
  <c r="D34" i="16" s="1"/>
  <c r="F34" i="16" s="1"/>
  <c r="B18" i="17"/>
  <c r="D18" i="17" s="1"/>
  <c r="F18" i="17" s="1"/>
  <c r="B18" i="16"/>
  <c r="D18" i="16" s="1"/>
  <c r="F18" i="16" s="1"/>
  <c r="B2" i="17"/>
  <c r="D2" i="17" s="1"/>
  <c r="B2" i="16"/>
  <c r="D2" i="16" s="1"/>
  <c r="G2" i="16" s="1"/>
  <c r="A38" i="16"/>
  <c r="C38" i="16" s="1"/>
  <c r="A27" i="16"/>
  <c r="C27" i="16" s="1"/>
  <c r="B24" i="17"/>
  <c r="D24" i="17" s="1"/>
  <c r="F24" i="17" s="1"/>
  <c r="B24" i="16"/>
  <c r="D24" i="16" s="1"/>
  <c r="F24" i="16" s="1"/>
  <c r="E2" i="16"/>
  <c r="B11" i="17"/>
  <c r="D11" i="17" s="1"/>
  <c r="F11" i="17" s="1"/>
  <c r="B11" i="16"/>
  <c r="D11" i="16" s="1"/>
  <c r="F11" i="16" s="1"/>
  <c r="A40" i="16"/>
  <c r="C40" i="16" s="1"/>
  <c r="A25" i="16"/>
  <c r="C25" i="16" s="1"/>
  <c r="A34" i="16"/>
  <c r="C34" i="16" s="1"/>
  <c r="A23" i="16"/>
  <c r="C23" i="16" s="1"/>
  <c r="B12" i="17"/>
  <c r="D12" i="17" s="1"/>
  <c r="F12" i="17" s="1"/>
  <c r="B12" i="16"/>
  <c r="D12" i="16" s="1"/>
  <c r="F12" i="16" s="1"/>
  <c r="E8" i="16"/>
  <c r="A21" i="16"/>
  <c r="C21" i="16" s="1"/>
  <c r="C21" i="17"/>
  <c r="B30" i="17"/>
  <c r="D30" i="17" s="1"/>
  <c r="F30" i="17" s="1"/>
  <c r="B30" i="16"/>
  <c r="D30" i="16" s="1"/>
  <c r="F30" i="16" s="1"/>
  <c r="B14" i="17"/>
  <c r="D14" i="17" s="1"/>
  <c r="F14" i="17" s="1"/>
  <c r="B14" i="16"/>
  <c r="D14" i="16" s="1"/>
  <c r="F14" i="16" s="1"/>
  <c r="A30" i="16"/>
  <c r="C30" i="16" s="1"/>
  <c r="A19" i="16"/>
  <c r="C19" i="16" s="1"/>
  <c r="C19" i="17"/>
  <c r="B32" i="17"/>
  <c r="D32" i="17" s="1"/>
  <c r="F32" i="17" s="1"/>
  <c r="B32" i="16"/>
  <c r="D32" i="16" s="1"/>
  <c r="F32" i="16" s="1"/>
  <c r="C34" i="13"/>
  <c r="E34" i="13" s="1"/>
  <c r="C37" i="13"/>
  <c r="E37" i="13" s="1"/>
  <c r="C28" i="13"/>
  <c r="E28" i="13" s="1"/>
  <c r="C31" i="13"/>
  <c r="E31" i="13" s="1"/>
  <c r="C32" i="13"/>
  <c r="E32" i="13" s="1"/>
  <c r="C24" i="13"/>
  <c r="E24" i="13" s="1"/>
  <c r="C30" i="13"/>
  <c r="E30" i="13" s="1"/>
  <c r="C20" i="13"/>
  <c r="E20" i="13" s="1"/>
  <c r="C18" i="13"/>
  <c r="E18" i="13" s="1"/>
  <c r="C15" i="13"/>
  <c r="E15" i="13" s="1"/>
  <c r="C11" i="13"/>
  <c r="E11" i="13" s="1"/>
  <c r="C14" i="13"/>
  <c r="E14" i="13" s="1"/>
  <c r="C6" i="13"/>
  <c r="E6" i="13" s="1"/>
  <c r="B20" i="14"/>
  <c r="D20" i="14" s="1"/>
  <c r="F20" i="14" s="1"/>
  <c r="D20" i="13"/>
  <c r="F20" i="13" s="1"/>
  <c r="B32" i="14"/>
  <c r="D32" i="14" s="1"/>
  <c r="F32" i="14" s="1"/>
  <c r="D32" i="13"/>
  <c r="F32" i="13" s="1"/>
  <c r="B28" i="14"/>
  <c r="D28" i="14" s="1"/>
  <c r="F28" i="14" s="1"/>
  <c r="D28" i="13"/>
  <c r="F28" i="13" s="1"/>
  <c r="B15" i="14"/>
  <c r="D15" i="14" s="1"/>
  <c r="F15" i="14" s="1"/>
  <c r="D15" i="13"/>
  <c r="F15" i="13" s="1"/>
  <c r="B19" i="14"/>
  <c r="D19" i="14" s="1"/>
  <c r="F19" i="14" s="1"/>
  <c r="B3" i="14"/>
  <c r="D3" i="14" s="1"/>
  <c r="F3" i="14" s="1"/>
  <c r="D3" i="13"/>
  <c r="F3" i="13" s="1"/>
  <c r="B36" i="14"/>
  <c r="D36" i="14" s="1"/>
  <c r="F36" i="14" s="1"/>
  <c r="D36" i="13"/>
  <c r="F36" i="13" s="1"/>
  <c r="B24" i="14"/>
  <c r="D24" i="14" s="1"/>
  <c r="F24" i="14" s="1"/>
  <c r="B40" i="14"/>
  <c r="D40" i="14" s="1"/>
  <c r="F40" i="14" s="1"/>
  <c r="D40" i="13"/>
  <c r="F40" i="13" s="1"/>
  <c r="B27" i="14"/>
  <c r="D27" i="14" s="1"/>
  <c r="F27" i="14" s="1"/>
  <c r="D27" i="13"/>
  <c r="F27" i="13" s="1"/>
  <c r="B11" i="14"/>
  <c r="D11" i="14" s="1"/>
  <c r="F11" i="14" s="1"/>
  <c r="D11" i="13"/>
  <c r="F11" i="13" s="1"/>
  <c r="B23" i="14"/>
  <c r="D23" i="14" s="1"/>
  <c r="F23" i="14" s="1"/>
  <c r="B12" i="14"/>
  <c r="D12" i="14" s="1"/>
  <c r="F12" i="14" s="1"/>
  <c r="C40" i="13"/>
  <c r="B33" i="14"/>
  <c r="D33" i="14" s="1"/>
  <c r="F33" i="14" s="1"/>
  <c r="D33" i="13"/>
  <c r="F33" i="13" s="1"/>
  <c r="B42" i="14"/>
  <c r="D42" i="14" s="1"/>
  <c r="F42" i="14" s="1"/>
  <c r="D42" i="13"/>
  <c r="F42" i="13" s="1"/>
  <c r="B22" i="14"/>
  <c r="D22" i="14" s="1"/>
  <c r="F22" i="14" s="1"/>
  <c r="D22" i="13"/>
  <c r="F22" i="13" s="1"/>
  <c r="B34" i="14"/>
  <c r="D34" i="14" s="1"/>
  <c r="F34" i="14" s="1"/>
  <c r="D34" i="13"/>
  <c r="F34" i="13" s="1"/>
  <c r="B5" i="14"/>
  <c r="D5" i="14" s="1"/>
  <c r="F5" i="14" s="1"/>
  <c r="D5" i="13"/>
  <c r="F5" i="13" s="1"/>
  <c r="B38" i="14"/>
  <c r="D38" i="14" s="1"/>
  <c r="F38" i="14" s="1"/>
  <c r="D38" i="13"/>
  <c r="F38" i="13" s="1"/>
  <c r="B21" i="14"/>
  <c r="D21" i="14" s="1"/>
  <c r="F21" i="14" s="1"/>
  <c r="B14" i="14"/>
  <c r="D14" i="14" s="1"/>
  <c r="F14" i="14" s="1"/>
  <c r="D14" i="13"/>
  <c r="F14" i="13" s="1"/>
  <c r="B16" i="14"/>
  <c r="D16" i="14" s="1"/>
  <c r="F16" i="14" s="1"/>
  <c r="D16" i="13"/>
  <c r="F16" i="13" s="1"/>
  <c r="B7" i="14"/>
  <c r="D7" i="14" s="1"/>
  <c r="F7" i="14" s="1"/>
  <c r="D7" i="13"/>
  <c r="F7" i="13" s="1"/>
  <c r="B35" i="14"/>
  <c r="D35" i="14" s="1"/>
  <c r="F35" i="14" s="1"/>
  <c r="D35" i="13"/>
  <c r="F35" i="13" s="1"/>
  <c r="B8" i="14"/>
  <c r="D8" i="14" s="1"/>
  <c r="F8" i="14" s="1"/>
  <c r="D8" i="13"/>
  <c r="F8" i="13" s="1"/>
  <c r="B39" i="14"/>
  <c r="D39" i="14" s="1"/>
  <c r="F39" i="14" s="1"/>
  <c r="D39" i="13"/>
  <c r="F39" i="13" s="1"/>
  <c r="B4" i="14"/>
  <c r="D4" i="14" s="1"/>
  <c r="F4" i="14" s="1"/>
  <c r="B30" i="14"/>
  <c r="D30" i="14" s="1"/>
  <c r="F30" i="14" s="1"/>
  <c r="D30" i="13"/>
  <c r="F30" i="13" s="1"/>
  <c r="B29" i="14"/>
  <c r="D29" i="14" s="1"/>
  <c r="F29" i="14" s="1"/>
  <c r="B10" i="14"/>
  <c r="D10" i="14" s="1"/>
  <c r="F10" i="14" s="1"/>
  <c r="B31" i="14"/>
  <c r="D31" i="14" s="1"/>
  <c r="F31" i="14" s="1"/>
  <c r="D31" i="13"/>
  <c r="F31" i="13" s="1"/>
  <c r="D17" i="13"/>
  <c r="F17" i="13" s="1"/>
  <c r="B17" i="14"/>
  <c r="D17" i="14" s="1"/>
  <c r="F17" i="14" s="1"/>
  <c r="B37" i="14"/>
  <c r="D37" i="14" s="1"/>
  <c r="F37" i="14" s="1"/>
  <c r="B18" i="14"/>
  <c r="D18" i="14" s="1"/>
  <c r="F18" i="14" s="1"/>
  <c r="D18" i="13"/>
  <c r="F18" i="13" s="1"/>
  <c r="B44" i="14"/>
  <c r="D44" i="14" s="1"/>
  <c r="F44" i="14" s="1"/>
  <c r="B43" i="14"/>
  <c r="D43" i="14" s="1"/>
  <c r="F43" i="14" s="1"/>
  <c r="D43" i="13"/>
  <c r="F43" i="13" s="1"/>
  <c r="B2" i="14"/>
  <c r="D2" i="14" s="1"/>
  <c r="D2" i="13"/>
  <c r="Q7" i="12"/>
  <c r="B26" i="14"/>
  <c r="D26" i="14" s="1"/>
  <c r="F26" i="14" s="1"/>
  <c r="D26" i="13"/>
  <c r="F26" i="13" s="1"/>
  <c r="B13" i="14"/>
  <c r="D13" i="14" s="1"/>
  <c r="F13" i="14" s="1"/>
  <c r="B41" i="14"/>
  <c r="D41" i="14" s="1"/>
  <c r="F41" i="14" s="1"/>
  <c r="D41" i="13"/>
  <c r="F41" i="13" s="1"/>
  <c r="B6" i="14"/>
  <c r="D6" i="14" s="1"/>
  <c r="F6" i="14" s="1"/>
  <c r="D6" i="13"/>
  <c r="F6" i="13" s="1"/>
  <c r="B9" i="14"/>
  <c r="D9" i="14" s="1"/>
  <c r="F9" i="14" s="1"/>
  <c r="D9" i="13"/>
  <c r="F9" i="13" s="1"/>
  <c r="B25" i="14"/>
  <c r="D25" i="14" s="1"/>
  <c r="F25" i="14" s="1"/>
  <c r="F24" i="19" l="1"/>
  <c r="G24" i="19"/>
  <c r="A31" i="17"/>
  <c r="C31" i="17" s="1"/>
  <c r="A35" i="17"/>
  <c r="C35" i="17" s="1"/>
  <c r="E163" i="33"/>
  <c r="G163" i="33"/>
  <c r="F9" i="19"/>
  <c r="G9" i="19"/>
  <c r="G160" i="33"/>
  <c r="E160" i="33"/>
  <c r="F10" i="19"/>
  <c r="G10" i="19"/>
  <c r="E134" i="33"/>
  <c r="G134" i="33"/>
  <c r="F29" i="19"/>
  <c r="G29" i="19"/>
  <c r="G129" i="33"/>
  <c r="F129" i="33"/>
  <c r="F31" i="19"/>
  <c r="G31" i="19"/>
  <c r="E156" i="33"/>
  <c r="G156" i="33"/>
  <c r="F6" i="19"/>
  <c r="G6" i="19"/>
  <c r="E147" i="33"/>
  <c r="G147" i="33"/>
  <c r="F26" i="19"/>
  <c r="G26" i="19"/>
  <c r="F7" i="19"/>
  <c r="G7" i="19"/>
  <c r="G36" i="16"/>
  <c r="E132" i="33"/>
  <c r="G132" i="33"/>
  <c r="F17" i="19"/>
  <c r="G17" i="19"/>
  <c r="A9" i="17"/>
  <c r="C9" i="17" s="1"/>
  <c r="F158" i="33"/>
  <c r="G158" i="33"/>
  <c r="F15" i="19"/>
  <c r="G15" i="19"/>
  <c r="E130" i="33"/>
  <c r="G130" i="33"/>
  <c r="E167" i="33"/>
  <c r="G167" i="33"/>
  <c r="G153" i="33"/>
  <c r="F153" i="33"/>
  <c r="F40" i="19"/>
  <c r="G40" i="19"/>
  <c r="F14" i="19"/>
  <c r="G14" i="19"/>
  <c r="E159" i="33"/>
  <c r="G159" i="33"/>
  <c r="G128" i="33"/>
  <c r="E128" i="33"/>
  <c r="F2" i="28"/>
  <c r="I6" i="28" s="1"/>
  <c r="I4" i="28"/>
  <c r="F3" i="19"/>
  <c r="G3" i="19"/>
  <c r="E131" i="33"/>
  <c r="G131" i="33"/>
  <c r="E151" i="33"/>
  <c r="G151" i="33"/>
  <c r="G136" i="33"/>
  <c r="E136" i="33"/>
  <c r="E140" i="33"/>
  <c r="G140" i="33"/>
  <c r="G148" i="33"/>
  <c r="E148" i="33"/>
  <c r="G152" i="33"/>
  <c r="E152" i="33"/>
  <c r="E139" i="33"/>
  <c r="G139" i="33"/>
  <c r="G42" i="19"/>
  <c r="G33" i="19"/>
  <c r="F20" i="19"/>
  <c r="G20" i="19"/>
  <c r="A22" i="17"/>
  <c r="C22" i="17" s="1"/>
  <c r="A38" i="17"/>
  <c r="C38" i="17" s="1"/>
  <c r="F32" i="19"/>
  <c r="G32" i="19"/>
  <c r="F35" i="19"/>
  <c r="G35" i="19"/>
  <c r="G166" i="33"/>
  <c r="F16" i="19"/>
  <c r="G16" i="19"/>
  <c r="F21" i="19"/>
  <c r="G21" i="19"/>
  <c r="F34" i="19"/>
  <c r="G34" i="19"/>
  <c r="G145" i="33"/>
  <c r="F145" i="33"/>
  <c r="E154" i="33"/>
  <c r="G154" i="33"/>
  <c r="E162" i="33"/>
  <c r="G162" i="33"/>
  <c r="F12" i="19"/>
  <c r="G12" i="19"/>
  <c r="F18" i="19"/>
  <c r="G18" i="19"/>
  <c r="F11" i="19"/>
  <c r="G11" i="19"/>
  <c r="F27" i="19"/>
  <c r="G27" i="19"/>
  <c r="F36" i="19"/>
  <c r="G36" i="19"/>
  <c r="G149" i="33"/>
  <c r="E149" i="33"/>
  <c r="F22" i="19"/>
  <c r="G22" i="19"/>
  <c r="E138" i="33"/>
  <c r="G138" i="33"/>
  <c r="F4" i="19"/>
  <c r="G4" i="19"/>
  <c r="F13" i="19"/>
  <c r="G13" i="19"/>
  <c r="E142" i="33"/>
  <c r="G142" i="33"/>
  <c r="E135" i="33"/>
  <c r="G135" i="33"/>
  <c r="F30" i="19"/>
  <c r="G30" i="19"/>
  <c r="F8" i="19"/>
  <c r="G8" i="19"/>
  <c r="E141" i="33"/>
  <c r="G141" i="33"/>
  <c r="E150" i="33"/>
  <c r="G150" i="33"/>
  <c r="E155" i="33"/>
  <c r="G155" i="33"/>
  <c r="I11" i="19"/>
  <c r="I20" i="19"/>
  <c r="I19" i="19"/>
  <c r="I8" i="19"/>
  <c r="E133" i="33"/>
  <c r="G133" i="33"/>
  <c r="F41" i="19"/>
  <c r="G41" i="19"/>
  <c r="F23" i="19"/>
  <c r="G23" i="19"/>
  <c r="F25" i="19"/>
  <c r="G25" i="19"/>
  <c r="F38" i="19"/>
  <c r="G38" i="19"/>
  <c r="G157" i="33"/>
  <c r="E157" i="33"/>
  <c r="E164" i="33"/>
  <c r="G164" i="33"/>
  <c r="G144" i="33"/>
  <c r="E144" i="33"/>
  <c r="A20" i="17"/>
  <c r="F37" i="19"/>
  <c r="G37" i="19"/>
  <c r="F19" i="19"/>
  <c r="G19" i="19"/>
  <c r="F28" i="19"/>
  <c r="G28" i="19"/>
  <c r="G165" i="33"/>
  <c r="E165" i="33"/>
  <c r="E146" i="33"/>
  <c r="G146" i="33"/>
  <c r="F39" i="19"/>
  <c r="G39" i="19"/>
  <c r="I4" i="19"/>
  <c r="I12" i="19" s="1"/>
  <c r="G2" i="19"/>
  <c r="I7" i="19" s="1"/>
  <c r="I10" i="19" s="1"/>
  <c r="F2" i="19"/>
  <c r="E143" i="33"/>
  <c r="G143" i="33"/>
  <c r="G137" i="33"/>
  <c r="F137" i="33"/>
  <c r="G161" i="33"/>
  <c r="F161" i="33"/>
  <c r="A15" i="29"/>
  <c r="C15" i="29" s="1"/>
  <c r="E15" i="29" s="1"/>
  <c r="G107" i="33"/>
  <c r="G106" i="33"/>
  <c r="A27" i="14"/>
  <c r="C27" i="14" s="1"/>
  <c r="A3" i="14"/>
  <c r="A14" i="29"/>
  <c r="C14" i="29" s="1"/>
  <c r="G14" i="29" s="1"/>
  <c r="E48" i="13"/>
  <c r="G88" i="33"/>
  <c r="G94" i="33"/>
  <c r="A39" i="14"/>
  <c r="C39" i="14" s="1"/>
  <c r="A28" i="14"/>
  <c r="C28" i="14" s="1"/>
  <c r="G79" i="33"/>
  <c r="G110" i="33"/>
  <c r="G86" i="33"/>
  <c r="G82" i="33"/>
  <c r="G78" i="33"/>
  <c r="R7" i="12"/>
  <c r="Y7" i="12"/>
  <c r="G80" i="33"/>
  <c r="F76" i="33"/>
  <c r="E122" i="33"/>
  <c r="G122" i="33"/>
  <c r="G120" i="33"/>
  <c r="E120" i="33"/>
  <c r="E119" i="33"/>
  <c r="G119" i="33"/>
  <c r="G81" i="33"/>
  <c r="F81" i="33"/>
  <c r="E109" i="33"/>
  <c r="G109" i="33"/>
  <c r="E126" i="33"/>
  <c r="G126" i="33"/>
  <c r="G98" i="33"/>
  <c r="G97" i="33"/>
  <c r="F97" i="33"/>
  <c r="G96" i="33"/>
  <c r="G50" i="13"/>
  <c r="E123" i="33"/>
  <c r="G123" i="33"/>
  <c r="G108" i="33"/>
  <c r="G95" i="33"/>
  <c r="G102" i="33"/>
  <c r="G93" i="33"/>
  <c r="A12" i="29"/>
  <c r="C12" i="29" s="1"/>
  <c r="E12" i="29" s="1"/>
  <c r="E117" i="33"/>
  <c r="G117" i="33"/>
  <c r="G84" i="33"/>
  <c r="G121" i="33"/>
  <c r="F121" i="33"/>
  <c r="G118" i="33"/>
  <c r="E124" i="33"/>
  <c r="G124" i="33"/>
  <c r="G105" i="33"/>
  <c r="F105" i="33"/>
  <c r="G103" i="33"/>
  <c r="G92" i="33"/>
  <c r="G112" i="33"/>
  <c r="G104" i="33"/>
  <c r="G99" i="33"/>
  <c r="G87" i="33"/>
  <c r="G113" i="33"/>
  <c r="F113" i="33"/>
  <c r="A19" i="14"/>
  <c r="C19" i="14" s="1"/>
  <c r="G19" i="14" s="1"/>
  <c r="G85" i="33"/>
  <c r="G90" i="33"/>
  <c r="G115" i="33"/>
  <c r="G91" i="33"/>
  <c r="G101" i="33"/>
  <c r="F2" i="29"/>
  <c r="I6" i="29" s="1"/>
  <c r="I4" i="29"/>
  <c r="G49" i="13"/>
  <c r="G89" i="33"/>
  <c r="F89" i="33"/>
  <c r="G116" i="33"/>
  <c r="G28" i="29"/>
  <c r="E28" i="29"/>
  <c r="E31" i="29"/>
  <c r="G31" i="29"/>
  <c r="G35" i="29"/>
  <c r="E35" i="29"/>
  <c r="G36" i="29"/>
  <c r="E36" i="29"/>
  <c r="A31" i="14"/>
  <c r="C31" i="14" s="1"/>
  <c r="E3" i="29"/>
  <c r="G3" i="29"/>
  <c r="E44" i="29"/>
  <c r="G44" i="29"/>
  <c r="E27" i="29"/>
  <c r="G27" i="29"/>
  <c r="E38" i="29"/>
  <c r="G38" i="29"/>
  <c r="G43" i="29"/>
  <c r="E43" i="29"/>
  <c r="E4" i="29"/>
  <c r="G4" i="29"/>
  <c r="G22" i="29"/>
  <c r="E22" i="29"/>
  <c r="G16" i="29"/>
  <c r="E16" i="29"/>
  <c r="G8" i="29"/>
  <c r="E8" i="29"/>
  <c r="G32" i="29"/>
  <c r="E32" i="29"/>
  <c r="E34" i="29"/>
  <c r="G34" i="29"/>
  <c r="E11" i="29"/>
  <c r="G11" i="29"/>
  <c r="G25" i="29"/>
  <c r="E25" i="29"/>
  <c r="E39" i="29"/>
  <c r="G39" i="29"/>
  <c r="E24" i="29"/>
  <c r="G24" i="29"/>
  <c r="G33" i="29"/>
  <c r="E33" i="29"/>
  <c r="G23" i="29"/>
  <c r="E23" i="29"/>
  <c r="E42" i="29"/>
  <c r="G42" i="29"/>
  <c r="G19" i="29"/>
  <c r="E19" i="29"/>
  <c r="G13" i="29"/>
  <c r="E13" i="29"/>
  <c r="G7" i="29"/>
  <c r="E7" i="29"/>
  <c r="E29" i="29"/>
  <c r="G29" i="29"/>
  <c r="G41" i="29"/>
  <c r="E41" i="29"/>
  <c r="E21" i="29"/>
  <c r="G21" i="29"/>
  <c r="G20" i="29"/>
  <c r="E20" i="29"/>
  <c r="G30" i="29"/>
  <c r="E30" i="29"/>
  <c r="G5" i="29"/>
  <c r="E5" i="29"/>
  <c r="G12" i="29"/>
  <c r="E6" i="29"/>
  <c r="G6" i="29"/>
  <c r="E18" i="29"/>
  <c r="G18" i="29"/>
  <c r="G15" i="29"/>
  <c r="E40" i="29"/>
  <c r="G40" i="29"/>
  <c r="E37" i="29"/>
  <c r="G37" i="29"/>
  <c r="G18" i="28"/>
  <c r="E18" i="28"/>
  <c r="G36" i="28"/>
  <c r="E36" i="28"/>
  <c r="G25" i="28"/>
  <c r="E25" i="28"/>
  <c r="C32" i="17"/>
  <c r="E32" i="17" s="1"/>
  <c r="A32" i="28"/>
  <c r="C32" i="28" s="1"/>
  <c r="G3" i="28"/>
  <c r="E3" i="28"/>
  <c r="C8" i="17"/>
  <c r="E8" i="17" s="1"/>
  <c r="A8" i="28"/>
  <c r="C8" i="28" s="1"/>
  <c r="E42" i="28"/>
  <c r="G42" i="28"/>
  <c r="E7" i="28"/>
  <c r="G7" i="28"/>
  <c r="E39" i="28"/>
  <c r="G39" i="28"/>
  <c r="G37" i="28"/>
  <c r="E37" i="28"/>
  <c r="C4" i="17"/>
  <c r="E4" i="17" s="1"/>
  <c r="A4" i="28"/>
  <c r="C4" i="28" s="1"/>
  <c r="E33" i="28"/>
  <c r="G33" i="28"/>
  <c r="G17" i="28"/>
  <c r="E17" i="28"/>
  <c r="G38" i="28"/>
  <c r="E38" i="28"/>
  <c r="G16" i="28"/>
  <c r="E16" i="28"/>
  <c r="E22" i="28"/>
  <c r="G22" i="28"/>
  <c r="E11" i="28"/>
  <c r="G11" i="28"/>
  <c r="G31" i="28"/>
  <c r="E31" i="28"/>
  <c r="E35" i="28"/>
  <c r="G35" i="28"/>
  <c r="C20" i="17"/>
  <c r="E20" i="17" s="1"/>
  <c r="A20" i="28"/>
  <c r="C20" i="28" s="1"/>
  <c r="E15" i="28"/>
  <c r="G15" i="28"/>
  <c r="C6" i="17"/>
  <c r="E6" i="17" s="1"/>
  <c r="A6" i="28"/>
  <c r="C6" i="28" s="1"/>
  <c r="E26" i="28"/>
  <c r="G26" i="28"/>
  <c r="C28" i="17"/>
  <c r="E28" i="17" s="1"/>
  <c r="A28" i="28"/>
  <c r="C28" i="28" s="1"/>
  <c r="E19" i="28"/>
  <c r="G19" i="28"/>
  <c r="E41" i="28"/>
  <c r="G41" i="28"/>
  <c r="E21" i="28"/>
  <c r="G21" i="28"/>
  <c r="E10" i="28"/>
  <c r="G10" i="28"/>
  <c r="E40" i="28"/>
  <c r="G40" i="28"/>
  <c r="C2" i="17"/>
  <c r="E2" i="17" s="1"/>
  <c r="A2" i="28"/>
  <c r="C2" i="28" s="1"/>
  <c r="P6" i="15"/>
  <c r="E5" i="28"/>
  <c r="G5" i="28"/>
  <c r="E12" i="28"/>
  <c r="G12" i="28"/>
  <c r="E23" i="28"/>
  <c r="G23" i="28"/>
  <c r="G34" i="28"/>
  <c r="E34" i="28"/>
  <c r="E9" i="28"/>
  <c r="G9" i="28"/>
  <c r="E29" i="28"/>
  <c r="G29" i="28"/>
  <c r="G13" i="28"/>
  <c r="E13" i="28"/>
  <c r="G24" i="28"/>
  <c r="E24" i="28"/>
  <c r="E27" i="28"/>
  <c r="G27" i="28"/>
  <c r="E14" i="28"/>
  <c r="G14" i="28"/>
  <c r="E30" i="28"/>
  <c r="G30" i="28"/>
  <c r="E36" i="16"/>
  <c r="C24" i="17"/>
  <c r="E24" i="17" s="1"/>
  <c r="A16" i="14"/>
  <c r="C16" i="14" s="1"/>
  <c r="G16" i="14" s="1"/>
  <c r="A8" i="14"/>
  <c r="C8" i="14" s="1"/>
  <c r="E8" i="14" s="1"/>
  <c r="A38" i="14"/>
  <c r="C38" i="14" s="1"/>
  <c r="G38" i="14" s="1"/>
  <c r="A17" i="29"/>
  <c r="C17" i="29" s="1"/>
  <c r="A43" i="14"/>
  <c r="C43" i="14" s="1"/>
  <c r="G43" i="14" s="1"/>
  <c r="A10" i="29"/>
  <c r="C10" i="29" s="1"/>
  <c r="A4" i="14"/>
  <c r="C4" i="14" s="1"/>
  <c r="G4" i="14" s="1"/>
  <c r="A9" i="29"/>
  <c r="C9" i="29" s="1"/>
  <c r="A26" i="29"/>
  <c r="C26" i="29" s="1"/>
  <c r="A22" i="14"/>
  <c r="C22" i="14" s="1"/>
  <c r="E22" i="14" s="1"/>
  <c r="C10" i="17"/>
  <c r="E10" i="17" s="1"/>
  <c r="C36" i="17"/>
  <c r="E36" i="17" s="1"/>
  <c r="C12" i="17"/>
  <c r="E12" i="17" s="1"/>
  <c r="C16" i="17"/>
  <c r="E16" i="17" s="1"/>
  <c r="A24" i="14"/>
  <c r="C24" i="14" s="1"/>
  <c r="E24" i="14" s="1"/>
  <c r="A33" i="14"/>
  <c r="C33" i="14" s="1"/>
  <c r="E33" i="14" s="1"/>
  <c r="E51" i="13"/>
  <c r="G51" i="13"/>
  <c r="A7" i="14"/>
  <c r="C7" i="14" s="1"/>
  <c r="G7" i="14" s="1"/>
  <c r="A13" i="14"/>
  <c r="C13" i="14" s="1"/>
  <c r="E13" i="14" s="1"/>
  <c r="A23" i="14"/>
  <c r="C23" i="14" s="1"/>
  <c r="E23" i="14" s="1"/>
  <c r="A41" i="14"/>
  <c r="C41" i="14" s="1"/>
  <c r="E41" i="14" s="1"/>
  <c r="A32" i="14"/>
  <c r="C32" i="14" s="1"/>
  <c r="A42" i="14"/>
  <c r="C42" i="14" s="1"/>
  <c r="G42" i="14" s="1"/>
  <c r="A29" i="14"/>
  <c r="C29" i="14" s="1"/>
  <c r="E29" i="14" s="1"/>
  <c r="A30" i="14"/>
  <c r="C30" i="14" s="1"/>
  <c r="E30" i="14" s="1"/>
  <c r="C6" i="14"/>
  <c r="E6" i="14" s="1"/>
  <c r="C10" i="14"/>
  <c r="E10" i="14" s="1"/>
  <c r="C18" i="14"/>
  <c r="E18" i="14" s="1"/>
  <c r="C37" i="14"/>
  <c r="E37" i="14" s="1"/>
  <c r="C14" i="14"/>
  <c r="E14" i="14" s="1"/>
  <c r="A36" i="14"/>
  <c r="C36" i="14" s="1"/>
  <c r="E36" i="14" s="1"/>
  <c r="A44" i="14"/>
  <c r="G2" i="17"/>
  <c r="G24" i="16"/>
  <c r="G28" i="16"/>
  <c r="G8" i="16"/>
  <c r="G10" i="16"/>
  <c r="G20" i="16"/>
  <c r="I2" i="16"/>
  <c r="I19" i="16" s="1"/>
  <c r="G8" i="17"/>
  <c r="G6" i="17"/>
  <c r="E34" i="17"/>
  <c r="G34" i="17"/>
  <c r="E5" i="17"/>
  <c r="G5" i="17"/>
  <c r="G34" i="16"/>
  <c r="E34" i="16"/>
  <c r="G33" i="17"/>
  <c r="E33" i="17"/>
  <c r="G37" i="17"/>
  <c r="E37" i="17"/>
  <c r="E17" i="17"/>
  <c r="G17" i="17"/>
  <c r="E11" i="16"/>
  <c r="G11" i="16"/>
  <c r="E41" i="16"/>
  <c r="G41" i="16"/>
  <c r="G40" i="16"/>
  <c r="E40" i="16"/>
  <c r="G33" i="16"/>
  <c r="E33" i="16"/>
  <c r="G37" i="16"/>
  <c r="E37" i="16"/>
  <c r="E17" i="16"/>
  <c r="G17" i="16"/>
  <c r="E9" i="17"/>
  <c r="G9" i="17"/>
  <c r="G22" i="17"/>
  <c r="E22" i="17"/>
  <c r="G13" i="17"/>
  <c r="E13" i="17"/>
  <c r="G11" i="17"/>
  <c r="E11" i="17"/>
  <c r="G38" i="17"/>
  <c r="E38" i="17"/>
  <c r="G29" i="17"/>
  <c r="E29" i="17"/>
  <c r="E3" i="17"/>
  <c r="G3" i="17"/>
  <c r="G7" i="17"/>
  <c r="E7" i="17"/>
  <c r="G9" i="16"/>
  <c r="E9" i="16"/>
  <c r="G22" i="16"/>
  <c r="E22" i="16"/>
  <c r="G13" i="16"/>
  <c r="E13" i="16"/>
  <c r="E14" i="16"/>
  <c r="G14" i="16"/>
  <c r="E18" i="16"/>
  <c r="G18" i="16"/>
  <c r="G19" i="17"/>
  <c r="E19" i="17"/>
  <c r="G23" i="17"/>
  <c r="E23" i="17"/>
  <c r="I25" i="16"/>
  <c r="G38" i="16"/>
  <c r="E38" i="16"/>
  <c r="G29" i="16"/>
  <c r="E29" i="16"/>
  <c r="E3" i="16"/>
  <c r="G3" i="16"/>
  <c r="G16" i="16"/>
  <c r="G12" i="16"/>
  <c r="E7" i="16"/>
  <c r="G7" i="16"/>
  <c r="E15" i="17"/>
  <c r="G15" i="17"/>
  <c r="G27" i="17"/>
  <c r="E27" i="17"/>
  <c r="G42" i="16"/>
  <c r="E42" i="16"/>
  <c r="G32" i="16"/>
  <c r="G19" i="16"/>
  <c r="E19" i="16"/>
  <c r="G23" i="16"/>
  <c r="E23" i="16"/>
  <c r="F2" i="16"/>
  <c r="I6" i="16" s="1"/>
  <c r="I4" i="16"/>
  <c r="G6" i="16"/>
  <c r="E31" i="17"/>
  <c r="G31" i="17"/>
  <c r="G35" i="17"/>
  <c r="E35" i="17"/>
  <c r="G39" i="17"/>
  <c r="E39" i="17"/>
  <c r="E15" i="16"/>
  <c r="G15" i="16"/>
  <c r="G40" i="17"/>
  <c r="E40" i="17"/>
  <c r="E27" i="16"/>
  <c r="G27" i="16"/>
  <c r="E30" i="17"/>
  <c r="G30" i="17"/>
  <c r="E21" i="17"/>
  <c r="G21" i="17"/>
  <c r="E25" i="17"/>
  <c r="G25" i="17"/>
  <c r="I3" i="16"/>
  <c r="I4" i="17"/>
  <c r="F2" i="17"/>
  <c r="I6" i="17" s="1"/>
  <c r="G31" i="16"/>
  <c r="E31" i="16"/>
  <c r="G4" i="16"/>
  <c r="G35" i="16"/>
  <c r="E35" i="16"/>
  <c r="G39" i="16"/>
  <c r="E39" i="16"/>
  <c r="G26" i="17"/>
  <c r="E26" i="17"/>
  <c r="E41" i="17"/>
  <c r="G41" i="17"/>
  <c r="G30" i="16"/>
  <c r="E30" i="16"/>
  <c r="E21" i="16"/>
  <c r="G21" i="16"/>
  <c r="G25" i="16"/>
  <c r="E25" i="16"/>
  <c r="I24" i="16"/>
  <c r="G14" i="17"/>
  <c r="E14" i="17"/>
  <c r="G5" i="16"/>
  <c r="E5" i="16"/>
  <c r="G42" i="17"/>
  <c r="E42" i="17"/>
  <c r="G18" i="17"/>
  <c r="E18" i="17"/>
  <c r="G26" i="16"/>
  <c r="E26" i="16"/>
  <c r="G42" i="13"/>
  <c r="G33" i="13"/>
  <c r="G37" i="13"/>
  <c r="G12" i="13"/>
  <c r="G19" i="13"/>
  <c r="G22" i="13"/>
  <c r="G20" i="13"/>
  <c r="G23" i="13"/>
  <c r="G21" i="13"/>
  <c r="G27" i="13"/>
  <c r="G24" i="13"/>
  <c r="G38" i="13"/>
  <c r="G26" i="13"/>
  <c r="G32" i="13"/>
  <c r="G31" i="13"/>
  <c r="G28" i="13"/>
  <c r="G10" i="13"/>
  <c r="G14" i="13"/>
  <c r="G17" i="13"/>
  <c r="G43" i="13"/>
  <c r="G35" i="13"/>
  <c r="G16" i="13"/>
  <c r="G44" i="13"/>
  <c r="G39" i="13"/>
  <c r="G25" i="13"/>
  <c r="E40" i="14"/>
  <c r="G40" i="14"/>
  <c r="G39" i="14"/>
  <c r="E39" i="14"/>
  <c r="G13" i="14"/>
  <c r="G40" i="13"/>
  <c r="E40" i="13"/>
  <c r="G34" i="14"/>
  <c r="E34" i="14"/>
  <c r="P7" i="12"/>
  <c r="A2" i="29" s="1"/>
  <c r="C2" i="29" s="1"/>
  <c r="G12" i="14"/>
  <c r="E12" i="14"/>
  <c r="E5" i="14"/>
  <c r="G5" i="14"/>
  <c r="E21" i="14"/>
  <c r="G21" i="14"/>
  <c r="E13" i="13"/>
  <c r="G13" i="13"/>
  <c r="G36" i="13"/>
  <c r="C3" i="13"/>
  <c r="C3" i="14"/>
  <c r="G7" i="13"/>
  <c r="I4" i="13"/>
  <c r="F2" i="13"/>
  <c r="I6" i="13" s="1"/>
  <c r="G26" i="14"/>
  <c r="E26" i="14"/>
  <c r="G15" i="13"/>
  <c r="G5" i="13"/>
  <c r="E5" i="13"/>
  <c r="G18" i="13"/>
  <c r="E17" i="14"/>
  <c r="G17" i="14"/>
  <c r="E27" i="14"/>
  <c r="G27" i="14"/>
  <c r="E9" i="14"/>
  <c r="G9" i="14"/>
  <c r="E28" i="14"/>
  <c r="G28" i="14"/>
  <c r="I4" i="14"/>
  <c r="F2" i="14"/>
  <c r="I6" i="14" s="1"/>
  <c r="E4" i="13"/>
  <c r="G4" i="13"/>
  <c r="G41" i="13"/>
  <c r="E15" i="14"/>
  <c r="G15" i="14"/>
  <c r="G31" i="14"/>
  <c r="E31" i="14"/>
  <c r="G9" i="13"/>
  <c r="E9" i="13"/>
  <c r="G8" i="14"/>
  <c r="G35" i="14"/>
  <c r="E35" i="14"/>
  <c r="G11" i="14"/>
  <c r="E11" i="14"/>
  <c r="G11" i="13"/>
  <c r="G34" i="13"/>
  <c r="G30" i="13"/>
  <c r="G25" i="14"/>
  <c r="E25" i="14"/>
  <c r="G6" i="13"/>
  <c r="G29" i="13"/>
  <c r="G8" i="13"/>
  <c r="E8" i="13"/>
  <c r="E20" i="14"/>
  <c r="G20" i="14"/>
  <c r="G24" i="17" l="1"/>
  <c r="I6" i="19"/>
  <c r="I9" i="19" s="1"/>
  <c r="I17" i="19" s="1"/>
  <c r="L177" i="19" s="1"/>
  <c r="I13" i="19"/>
  <c r="I22" i="19"/>
  <c r="I14" i="19"/>
  <c r="L184" i="19"/>
  <c r="L162" i="19"/>
  <c r="L182" i="19"/>
  <c r="L199" i="19"/>
  <c r="L127" i="19"/>
  <c r="L91" i="19"/>
  <c r="L60" i="19"/>
  <c r="L86" i="19"/>
  <c r="L145" i="19"/>
  <c r="L57" i="19"/>
  <c r="L56" i="19"/>
  <c r="L22" i="19"/>
  <c r="L15" i="19"/>
  <c r="L104" i="19"/>
  <c r="L18" i="19"/>
  <c r="L11" i="19"/>
  <c r="L180" i="19"/>
  <c r="L102" i="19"/>
  <c r="L32" i="19"/>
  <c r="L176" i="19"/>
  <c r="L169" i="19"/>
  <c r="L154" i="19"/>
  <c r="L123" i="19"/>
  <c r="L174" i="19"/>
  <c r="L191" i="19"/>
  <c r="L113" i="19"/>
  <c r="L50" i="19"/>
  <c r="L83" i="19"/>
  <c r="L52" i="19"/>
  <c r="L61" i="19"/>
  <c r="L78" i="19"/>
  <c r="L125" i="19"/>
  <c r="L47" i="19"/>
  <c r="L27" i="19"/>
  <c r="L49" i="19"/>
  <c r="L149" i="19"/>
  <c r="L12" i="19"/>
  <c r="L79" i="19"/>
  <c r="L16" i="19"/>
  <c r="L41" i="19"/>
  <c r="L147" i="19"/>
  <c r="L134" i="19"/>
  <c r="L89" i="19"/>
  <c r="L40" i="19"/>
  <c r="L168" i="19"/>
  <c r="L161" i="19"/>
  <c r="L146" i="19"/>
  <c r="L179" i="19"/>
  <c r="L115" i="19"/>
  <c r="L166" i="19"/>
  <c r="L183" i="19"/>
  <c r="L107" i="19"/>
  <c r="L157" i="19"/>
  <c r="L75" i="19"/>
  <c r="L111" i="19"/>
  <c r="L173" i="19"/>
  <c r="L70" i="19"/>
  <c r="L116" i="19"/>
  <c r="L19" i="19"/>
  <c r="L26" i="19"/>
  <c r="L45" i="19"/>
  <c r="L80" i="19"/>
  <c r="L118" i="19"/>
  <c r="L34" i="19"/>
  <c r="L10" i="19"/>
  <c r="L8" i="19"/>
  <c r="L200" i="19"/>
  <c r="L129" i="19"/>
  <c r="L28" i="19"/>
  <c r="L160" i="19"/>
  <c r="L138" i="19"/>
  <c r="L171" i="19"/>
  <c r="L204" i="19"/>
  <c r="L140" i="19"/>
  <c r="L158" i="19"/>
  <c r="L175" i="19"/>
  <c r="L98" i="19"/>
  <c r="L67" i="19"/>
  <c r="L100" i="19"/>
  <c r="L133" i="19"/>
  <c r="L181" i="19"/>
  <c r="L62" i="19"/>
  <c r="L110" i="19"/>
  <c r="L13" i="19"/>
  <c r="L42" i="19"/>
  <c r="L65" i="19"/>
  <c r="L96" i="19"/>
  <c r="L189" i="19"/>
  <c r="L7" i="19"/>
  <c r="L25" i="19"/>
  <c r="L3" i="19"/>
  <c r="L198" i="19"/>
  <c r="L76" i="19"/>
  <c r="L38" i="19"/>
  <c r="L64" i="19"/>
  <c r="L152" i="19"/>
  <c r="L194" i="19"/>
  <c r="L130" i="19"/>
  <c r="L196" i="19"/>
  <c r="L132" i="19"/>
  <c r="L150" i="19"/>
  <c r="L167" i="19"/>
  <c r="L90" i="19"/>
  <c r="L141" i="19"/>
  <c r="L59" i="19"/>
  <c r="L101" i="19"/>
  <c r="L135" i="19"/>
  <c r="L54" i="19"/>
  <c r="L106" i="19"/>
  <c r="L128" i="19"/>
  <c r="L137" i="19"/>
  <c r="L30" i="19"/>
  <c r="L55" i="19"/>
  <c r="L105" i="19"/>
  <c r="L63" i="19"/>
  <c r="L14" i="19"/>
  <c r="L95" i="19"/>
  <c r="L114" i="19"/>
  <c r="L151" i="19"/>
  <c r="L85" i="19"/>
  <c r="L88" i="19"/>
  <c r="L44" i="19"/>
  <c r="L201" i="19"/>
  <c r="L186" i="19"/>
  <c r="L122" i="19"/>
  <c r="L155" i="19"/>
  <c r="L188" i="19"/>
  <c r="L124" i="19"/>
  <c r="L142" i="19"/>
  <c r="L159" i="19"/>
  <c r="L82" i="19"/>
  <c r="L136" i="19"/>
  <c r="L165" i="19"/>
  <c r="L84" i="19"/>
  <c r="L93" i="19"/>
  <c r="L109" i="19"/>
  <c r="L46" i="19"/>
  <c r="L97" i="19"/>
  <c r="L81" i="19"/>
  <c r="L120" i="19"/>
  <c r="L29" i="19"/>
  <c r="L39" i="19"/>
  <c r="L43" i="19"/>
  <c r="L73" i="19"/>
  <c r="L48" i="19"/>
  <c r="L17" i="19"/>
  <c r="L4" i="19"/>
  <c r="L197" i="19"/>
  <c r="L6" i="19"/>
  <c r="L192" i="19"/>
  <c r="L185" i="19"/>
  <c r="L170" i="19"/>
  <c r="L203" i="19"/>
  <c r="L139" i="19"/>
  <c r="L172" i="19"/>
  <c r="L190" i="19"/>
  <c r="L126" i="19"/>
  <c r="L143" i="19"/>
  <c r="L66" i="19"/>
  <c r="L99" i="19"/>
  <c r="L121" i="19"/>
  <c r="L68" i="19"/>
  <c r="L77" i="19"/>
  <c r="L94" i="19"/>
  <c r="L153" i="19"/>
  <c r="L72" i="19"/>
  <c r="L37" i="19"/>
  <c r="L71" i="19"/>
  <c r="L21" i="19"/>
  <c r="L31" i="19"/>
  <c r="L35" i="19"/>
  <c r="L23" i="19"/>
  <c r="L24" i="19"/>
  <c r="L2" i="19"/>
  <c r="L9" i="19"/>
  <c r="L33" i="19"/>
  <c r="G36" i="17"/>
  <c r="E14" i="29"/>
  <c r="E43" i="14"/>
  <c r="E19" i="14"/>
  <c r="E16" i="14"/>
  <c r="A76" i="33"/>
  <c r="C76" i="33" s="1"/>
  <c r="A2" i="13"/>
  <c r="C2" i="13" s="1"/>
  <c r="I2" i="13" s="1"/>
  <c r="G10" i="17"/>
  <c r="E7" i="14"/>
  <c r="G17" i="29"/>
  <c r="E17" i="29"/>
  <c r="E38" i="14"/>
  <c r="E26" i="29"/>
  <c r="G26" i="29"/>
  <c r="E2" i="29"/>
  <c r="I24" i="29"/>
  <c r="I25" i="29"/>
  <c r="G2" i="29"/>
  <c r="I3" i="29"/>
  <c r="I2" i="29"/>
  <c r="G9" i="29"/>
  <c r="E9" i="29"/>
  <c r="G10" i="29"/>
  <c r="E10" i="29"/>
  <c r="G32" i="17"/>
  <c r="E28" i="28"/>
  <c r="G28" i="28"/>
  <c r="E20" i="28"/>
  <c r="G20" i="28"/>
  <c r="E32" i="28"/>
  <c r="G32" i="28"/>
  <c r="G4" i="28"/>
  <c r="E4" i="28"/>
  <c r="G28" i="17"/>
  <c r="E2" i="28"/>
  <c r="I24" i="28"/>
  <c r="I3" i="28"/>
  <c r="I25" i="28"/>
  <c r="G2" i="28"/>
  <c r="I2" i="28"/>
  <c r="E6" i="28"/>
  <c r="G6" i="28"/>
  <c r="E8" i="28"/>
  <c r="G8" i="28"/>
  <c r="G4" i="17"/>
  <c r="G20" i="17"/>
  <c r="I3" i="17"/>
  <c r="I24" i="17"/>
  <c r="I2" i="17"/>
  <c r="I20" i="17" s="1"/>
  <c r="G12" i="17"/>
  <c r="E42" i="14"/>
  <c r="E4" i="14"/>
  <c r="G16" i="17"/>
  <c r="I25" i="17"/>
  <c r="G41" i="14"/>
  <c r="G23" i="14"/>
  <c r="G30" i="14"/>
  <c r="G6" i="14"/>
  <c r="G29" i="14"/>
  <c r="G36" i="14"/>
  <c r="G18" i="14"/>
  <c r="G24" i="14"/>
  <c r="G33" i="14"/>
  <c r="C44" i="14"/>
  <c r="G22" i="14"/>
  <c r="G37" i="14"/>
  <c r="G14" i="14"/>
  <c r="G10" i="14"/>
  <c r="E32" i="14"/>
  <c r="G32" i="14"/>
  <c r="A2" i="14"/>
  <c r="I7" i="16"/>
  <c r="I10" i="16" s="1"/>
  <c r="I12" i="16"/>
  <c r="I20" i="16"/>
  <c r="I5" i="17"/>
  <c r="I8" i="17" s="1"/>
  <c r="I11" i="16"/>
  <c r="I12" i="17"/>
  <c r="I9" i="17"/>
  <c r="I5" i="16"/>
  <c r="I8" i="16" s="1"/>
  <c r="I9" i="16"/>
  <c r="J202" i="16"/>
  <c r="N202" i="16" s="1"/>
  <c r="J194" i="16"/>
  <c r="N194" i="16" s="1"/>
  <c r="J186" i="16"/>
  <c r="N186" i="16" s="1"/>
  <c r="J178" i="16"/>
  <c r="N178" i="16" s="1"/>
  <c r="J170" i="16"/>
  <c r="N170" i="16" s="1"/>
  <c r="J162" i="16"/>
  <c r="N162" i="16" s="1"/>
  <c r="J154" i="16"/>
  <c r="N154" i="16" s="1"/>
  <c r="J146" i="16"/>
  <c r="N146" i="16" s="1"/>
  <c r="J138" i="16"/>
  <c r="N138" i="16" s="1"/>
  <c r="J130" i="16"/>
  <c r="N130" i="16" s="1"/>
  <c r="J122" i="16"/>
  <c r="N122" i="16" s="1"/>
  <c r="J204" i="16"/>
  <c r="N204" i="16" s="1"/>
  <c r="J196" i="16"/>
  <c r="N196" i="16" s="1"/>
  <c r="J188" i="16"/>
  <c r="N188" i="16" s="1"/>
  <c r="J180" i="16"/>
  <c r="N180" i="16" s="1"/>
  <c r="J172" i="16"/>
  <c r="N172" i="16" s="1"/>
  <c r="J164" i="16"/>
  <c r="N164" i="16" s="1"/>
  <c r="J156" i="16"/>
  <c r="N156" i="16" s="1"/>
  <c r="J148" i="16"/>
  <c r="N148" i="16" s="1"/>
  <c r="J140" i="16"/>
  <c r="N140" i="16" s="1"/>
  <c r="J197" i="16"/>
  <c r="N197" i="16" s="1"/>
  <c r="J189" i="16"/>
  <c r="N189" i="16" s="1"/>
  <c r="J181" i="16"/>
  <c r="N181" i="16" s="1"/>
  <c r="J198" i="16"/>
  <c r="N198" i="16" s="1"/>
  <c r="J190" i="16"/>
  <c r="N190" i="16" s="1"/>
  <c r="J182" i="16"/>
  <c r="N182" i="16" s="1"/>
  <c r="J192" i="16"/>
  <c r="N192" i="16" s="1"/>
  <c r="J158" i="16"/>
  <c r="N158" i="16" s="1"/>
  <c r="J155" i="16"/>
  <c r="N155" i="16" s="1"/>
  <c r="J152" i="16"/>
  <c r="N152" i="16" s="1"/>
  <c r="J201" i="16"/>
  <c r="N201" i="16" s="1"/>
  <c r="J185" i="16"/>
  <c r="N185" i="16" s="1"/>
  <c r="J173" i="16"/>
  <c r="N173" i="16" s="1"/>
  <c r="J167" i="16"/>
  <c r="N167" i="16" s="1"/>
  <c r="J161" i="16"/>
  <c r="N161" i="16" s="1"/>
  <c r="J141" i="16"/>
  <c r="N141" i="16" s="1"/>
  <c r="J135" i="16"/>
  <c r="N135" i="16" s="1"/>
  <c r="J127" i="16"/>
  <c r="N127" i="16" s="1"/>
  <c r="J123" i="16"/>
  <c r="N123" i="16" s="1"/>
  <c r="J118" i="16"/>
  <c r="N118" i="16" s="1"/>
  <c r="J110" i="16"/>
  <c r="N110" i="16" s="1"/>
  <c r="J101" i="16"/>
  <c r="N101" i="16" s="1"/>
  <c r="J93" i="16"/>
  <c r="N93" i="16" s="1"/>
  <c r="J85" i="16"/>
  <c r="N85" i="16" s="1"/>
  <c r="J77" i="16"/>
  <c r="N77" i="16" s="1"/>
  <c r="J69" i="16"/>
  <c r="N69" i="16" s="1"/>
  <c r="J61" i="16"/>
  <c r="N61" i="16" s="1"/>
  <c r="J53" i="16"/>
  <c r="N53" i="16" s="1"/>
  <c r="J40" i="16"/>
  <c r="N40" i="16" s="1"/>
  <c r="J203" i="16"/>
  <c r="N203" i="16" s="1"/>
  <c r="J187" i="16"/>
  <c r="N187" i="16" s="1"/>
  <c r="J150" i="16"/>
  <c r="N150" i="16" s="1"/>
  <c r="J147" i="16"/>
  <c r="N147" i="16" s="1"/>
  <c r="J144" i="16"/>
  <c r="N144" i="16" s="1"/>
  <c r="J132" i="16"/>
  <c r="N132" i="16" s="1"/>
  <c r="J191" i="16"/>
  <c r="N191" i="16" s="1"/>
  <c r="J176" i="16"/>
  <c r="N176" i="16" s="1"/>
  <c r="J165" i="16"/>
  <c r="N165" i="16" s="1"/>
  <c r="J159" i="16"/>
  <c r="N159" i="16" s="1"/>
  <c r="J153" i="16"/>
  <c r="N153" i="16" s="1"/>
  <c r="J128" i="16"/>
  <c r="N128" i="16" s="1"/>
  <c r="J124" i="16"/>
  <c r="N124" i="16" s="1"/>
  <c r="J112" i="16"/>
  <c r="N112" i="16" s="1"/>
  <c r="J104" i="16"/>
  <c r="N104" i="16" s="1"/>
  <c r="J95" i="16"/>
  <c r="N95" i="16" s="1"/>
  <c r="J87" i="16"/>
  <c r="N87" i="16" s="1"/>
  <c r="J79" i="16"/>
  <c r="N79" i="16" s="1"/>
  <c r="J71" i="16"/>
  <c r="N71" i="16" s="1"/>
  <c r="J63" i="16"/>
  <c r="N63" i="16" s="1"/>
  <c r="J55" i="16"/>
  <c r="N55" i="16" s="1"/>
  <c r="J200" i="16"/>
  <c r="N200" i="16" s="1"/>
  <c r="J184" i="16"/>
  <c r="N184" i="16" s="1"/>
  <c r="J174" i="16"/>
  <c r="N174" i="16" s="1"/>
  <c r="J171" i="16"/>
  <c r="N171" i="16" s="1"/>
  <c r="J168" i="16"/>
  <c r="N168" i="16" s="1"/>
  <c r="J142" i="16"/>
  <c r="N142" i="16" s="1"/>
  <c r="J139" i="16"/>
  <c r="N139" i="16" s="1"/>
  <c r="J136" i="16"/>
  <c r="N136" i="16" s="1"/>
  <c r="J133" i="16"/>
  <c r="N133" i="16" s="1"/>
  <c r="J120" i="16"/>
  <c r="N120" i="16" s="1"/>
  <c r="J113" i="16"/>
  <c r="N113" i="16" s="1"/>
  <c r="J105" i="16"/>
  <c r="N105" i="16" s="1"/>
  <c r="J96" i="16"/>
  <c r="N96" i="16" s="1"/>
  <c r="J88" i="16"/>
  <c r="N88" i="16" s="1"/>
  <c r="J80" i="16"/>
  <c r="N80" i="16" s="1"/>
  <c r="J72" i="16"/>
  <c r="N72" i="16" s="1"/>
  <c r="J64" i="16"/>
  <c r="N64" i="16" s="1"/>
  <c r="J193" i="16"/>
  <c r="N193" i="16" s="1"/>
  <c r="J157" i="16"/>
  <c r="N157" i="16" s="1"/>
  <c r="J151" i="16"/>
  <c r="N151" i="16" s="1"/>
  <c r="J145" i="16"/>
  <c r="N145" i="16" s="1"/>
  <c r="J129" i="16"/>
  <c r="N129" i="16" s="1"/>
  <c r="J125" i="16"/>
  <c r="N125" i="16" s="1"/>
  <c r="J114" i="16"/>
  <c r="N114" i="16" s="1"/>
  <c r="J106" i="16"/>
  <c r="N106" i="16" s="1"/>
  <c r="J97" i="16"/>
  <c r="N97" i="16" s="1"/>
  <c r="J89" i="16"/>
  <c r="N89" i="16" s="1"/>
  <c r="J81" i="16"/>
  <c r="N81" i="16" s="1"/>
  <c r="J73" i="16"/>
  <c r="N73" i="16" s="1"/>
  <c r="J65" i="16"/>
  <c r="N65" i="16" s="1"/>
  <c r="J57" i="16"/>
  <c r="N57" i="16" s="1"/>
  <c r="J163" i="16"/>
  <c r="N163" i="16" s="1"/>
  <c r="J134" i="16"/>
  <c r="N134" i="16" s="1"/>
  <c r="J131" i="16"/>
  <c r="N131" i="16" s="1"/>
  <c r="J117" i="16"/>
  <c r="N117" i="16" s="1"/>
  <c r="J100" i="16"/>
  <c r="N100" i="16" s="1"/>
  <c r="J84" i="16"/>
  <c r="N84" i="16" s="1"/>
  <c r="J68" i="16"/>
  <c r="N68" i="16" s="1"/>
  <c r="J59" i="16"/>
  <c r="N59" i="16" s="1"/>
  <c r="J44" i="16"/>
  <c r="N44" i="16" s="1"/>
  <c r="J183" i="16"/>
  <c r="N183" i="16" s="1"/>
  <c r="J175" i="16"/>
  <c r="N175" i="16" s="1"/>
  <c r="J169" i="16"/>
  <c r="N169" i="16" s="1"/>
  <c r="J119" i="16"/>
  <c r="N119" i="16" s="1"/>
  <c r="J102" i="16"/>
  <c r="N102" i="16" s="1"/>
  <c r="J86" i="16"/>
  <c r="N86" i="16" s="1"/>
  <c r="J70" i="16"/>
  <c r="N70" i="16" s="1"/>
  <c r="J42" i="16"/>
  <c r="N42" i="16" s="1"/>
  <c r="J37" i="16"/>
  <c r="N37" i="16" s="1"/>
  <c r="J33" i="16"/>
  <c r="N33" i="16" s="1"/>
  <c r="J121" i="16"/>
  <c r="N121" i="16" s="1"/>
  <c r="J107" i="16"/>
  <c r="N107" i="16" s="1"/>
  <c r="J90" i="16"/>
  <c r="N90" i="16" s="1"/>
  <c r="J74" i="16"/>
  <c r="N74" i="16" s="1"/>
  <c r="J51" i="16"/>
  <c r="N51" i="16" s="1"/>
  <c r="J49" i="16"/>
  <c r="N49" i="16" s="1"/>
  <c r="J199" i="16"/>
  <c r="N199" i="16" s="1"/>
  <c r="J149" i="16"/>
  <c r="N149" i="16" s="1"/>
  <c r="J143" i="16"/>
  <c r="N143" i="16" s="1"/>
  <c r="J137" i="16"/>
  <c r="N137" i="16" s="1"/>
  <c r="J126" i="16"/>
  <c r="N126" i="16" s="1"/>
  <c r="J116" i="16"/>
  <c r="N116" i="16" s="1"/>
  <c r="J99" i="16"/>
  <c r="N99" i="16" s="1"/>
  <c r="J83" i="16"/>
  <c r="N83" i="16" s="1"/>
  <c r="J67" i="16"/>
  <c r="N67" i="16" s="1"/>
  <c r="J47" i="16"/>
  <c r="N47" i="16" s="1"/>
  <c r="J45" i="16"/>
  <c r="N45" i="16" s="1"/>
  <c r="J38" i="16"/>
  <c r="N38" i="16" s="1"/>
  <c r="J35" i="16"/>
  <c r="N35" i="16" s="1"/>
  <c r="J179" i="16"/>
  <c r="N179" i="16" s="1"/>
  <c r="J166" i="16"/>
  <c r="N166" i="16" s="1"/>
  <c r="J160" i="16"/>
  <c r="N160" i="16" s="1"/>
  <c r="J109" i="16"/>
  <c r="N109" i="16" s="1"/>
  <c r="J92" i="16"/>
  <c r="N92" i="16" s="1"/>
  <c r="J76" i="16"/>
  <c r="N76" i="16" s="1"/>
  <c r="J60" i="16"/>
  <c r="N60" i="16" s="1"/>
  <c r="J58" i="16"/>
  <c r="N58" i="16" s="1"/>
  <c r="J43" i="16"/>
  <c r="N43" i="16" s="1"/>
  <c r="J111" i="16"/>
  <c r="N111" i="16" s="1"/>
  <c r="J108" i="16"/>
  <c r="N108" i="16" s="1"/>
  <c r="J41" i="16"/>
  <c r="N41" i="16" s="1"/>
  <c r="J27" i="16"/>
  <c r="N27" i="16" s="1"/>
  <c r="J26" i="16"/>
  <c r="N26" i="16" s="1"/>
  <c r="J20" i="16"/>
  <c r="N20" i="16" s="1"/>
  <c r="J14" i="16"/>
  <c r="N14" i="16" s="1"/>
  <c r="J6" i="16"/>
  <c r="N6" i="16" s="1"/>
  <c r="J195" i="16"/>
  <c r="N195" i="16" s="1"/>
  <c r="J115" i="16"/>
  <c r="N115" i="16" s="1"/>
  <c r="J91" i="16"/>
  <c r="N91" i="16" s="1"/>
  <c r="J78" i="16"/>
  <c r="N78" i="16" s="1"/>
  <c r="J66" i="16"/>
  <c r="N66" i="16" s="1"/>
  <c r="J48" i="16"/>
  <c r="N48" i="16" s="1"/>
  <c r="J30" i="16"/>
  <c r="N30" i="16" s="1"/>
  <c r="J29" i="16"/>
  <c r="N29" i="16" s="1"/>
  <c r="J28" i="16"/>
  <c r="N28" i="16" s="1"/>
  <c r="J21" i="16"/>
  <c r="N21" i="16" s="1"/>
  <c r="J15" i="16"/>
  <c r="N15" i="16" s="1"/>
  <c r="J7" i="16"/>
  <c r="N7" i="16" s="1"/>
  <c r="J46" i="16"/>
  <c r="N46" i="16" s="1"/>
  <c r="J36" i="16"/>
  <c r="N36" i="16" s="1"/>
  <c r="J54" i="16"/>
  <c r="N54" i="16" s="1"/>
  <c r="J94" i="16"/>
  <c r="N94" i="16" s="1"/>
  <c r="J82" i="16"/>
  <c r="N82" i="16" s="1"/>
  <c r="J31" i="16"/>
  <c r="N31" i="16" s="1"/>
  <c r="J23" i="16"/>
  <c r="N23" i="16" s="1"/>
  <c r="J17" i="16"/>
  <c r="N17" i="16" s="1"/>
  <c r="J10" i="16"/>
  <c r="N10" i="16" s="1"/>
  <c r="J2" i="16"/>
  <c r="N2" i="16" s="1"/>
  <c r="J24" i="16"/>
  <c r="N24" i="16" s="1"/>
  <c r="J11" i="16"/>
  <c r="N11" i="16" s="1"/>
  <c r="J3" i="16"/>
  <c r="N3" i="16" s="1"/>
  <c r="J177" i="16"/>
  <c r="N177" i="16" s="1"/>
  <c r="J75" i="16"/>
  <c r="N75" i="16" s="1"/>
  <c r="J62" i="16"/>
  <c r="N62" i="16" s="1"/>
  <c r="J39" i="16"/>
  <c r="J32" i="16"/>
  <c r="N32" i="16" s="1"/>
  <c r="J25" i="16"/>
  <c r="N25" i="16" s="1"/>
  <c r="J18" i="16"/>
  <c r="N18" i="16" s="1"/>
  <c r="J12" i="16"/>
  <c r="N12" i="16" s="1"/>
  <c r="J4" i="16"/>
  <c r="N4" i="16" s="1"/>
  <c r="J34" i="16"/>
  <c r="N34" i="16" s="1"/>
  <c r="J13" i="16"/>
  <c r="N13" i="16" s="1"/>
  <c r="J56" i="16"/>
  <c r="N56" i="16" s="1"/>
  <c r="J8" i="16"/>
  <c r="N8" i="16" s="1"/>
  <c r="J98" i="16"/>
  <c r="N98" i="16" s="1"/>
  <c r="J52" i="16"/>
  <c r="N52" i="16" s="1"/>
  <c r="J5" i="16"/>
  <c r="N5" i="16" s="1"/>
  <c r="J50" i="16"/>
  <c r="N50" i="16" s="1"/>
  <c r="J22" i="16"/>
  <c r="N22" i="16" s="1"/>
  <c r="J19" i="16"/>
  <c r="N19" i="16" s="1"/>
  <c r="J9" i="16"/>
  <c r="N9" i="16" s="1"/>
  <c r="J16" i="16"/>
  <c r="N16" i="16" s="1"/>
  <c r="G3" i="14"/>
  <c r="E3" i="14"/>
  <c r="G3" i="13"/>
  <c r="E3" i="13"/>
  <c r="I25" i="13"/>
  <c r="I11" i="28" l="1"/>
  <c r="K191" i="19"/>
  <c r="O191" i="19" s="1"/>
  <c r="K159" i="19"/>
  <c r="O159" i="19" s="1"/>
  <c r="K184" i="19"/>
  <c r="O184" i="19" s="1"/>
  <c r="K201" i="19"/>
  <c r="O201" i="19" s="1"/>
  <c r="K169" i="19"/>
  <c r="O169" i="19" s="1"/>
  <c r="K137" i="19"/>
  <c r="O137" i="19" s="1"/>
  <c r="K202" i="19"/>
  <c r="O202" i="19" s="1"/>
  <c r="K170" i="19"/>
  <c r="O170" i="19" s="1"/>
  <c r="K138" i="19"/>
  <c r="O138" i="19" s="1"/>
  <c r="K203" i="19"/>
  <c r="O203" i="19" s="1"/>
  <c r="K171" i="19"/>
  <c r="O171" i="19" s="1"/>
  <c r="K139" i="19"/>
  <c r="O139" i="19" s="1"/>
  <c r="M191" i="19"/>
  <c r="P191" i="19" s="1"/>
  <c r="M159" i="19"/>
  <c r="P159" i="19" s="1"/>
  <c r="M127" i="19"/>
  <c r="P127" i="19" s="1"/>
  <c r="K174" i="19"/>
  <c r="O174" i="19" s="1"/>
  <c r="K142" i="19"/>
  <c r="O142" i="19" s="1"/>
  <c r="K110" i="19"/>
  <c r="O110" i="19" s="1"/>
  <c r="M75" i="19"/>
  <c r="P75" i="19" s="1"/>
  <c r="M43" i="19"/>
  <c r="P43" i="19" s="1"/>
  <c r="K107" i="19"/>
  <c r="O107" i="19" s="1"/>
  <c r="K74" i="19"/>
  <c r="O74" i="19" s="1"/>
  <c r="M138" i="19"/>
  <c r="P138" i="19" s="1"/>
  <c r="M85" i="19"/>
  <c r="P85" i="19" s="1"/>
  <c r="K111" i="19"/>
  <c r="O111" i="19" s="1"/>
  <c r="M78" i="19"/>
  <c r="P78" i="19" s="1"/>
  <c r="M190" i="19"/>
  <c r="P190" i="19" s="1"/>
  <c r="K124" i="19"/>
  <c r="O124" i="19" s="1"/>
  <c r="M79" i="19"/>
  <c r="P79" i="19" s="1"/>
  <c r="M47" i="19"/>
  <c r="P47" i="19" s="1"/>
  <c r="K132" i="19"/>
  <c r="O132" i="19" s="1"/>
  <c r="M90" i="19"/>
  <c r="P90" i="19" s="1"/>
  <c r="M66" i="19"/>
  <c r="P66" i="19" s="1"/>
  <c r="M27" i="19"/>
  <c r="P27" i="19" s="1"/>
  <c r="M120" i="19"/>
  <c r="P120" i="19" s="1"/>
  <c r="M30" i="19"/>
  <c r="P30" i="19" s="1"/>
  <c r="M65" i="19"/>
  <c r="P65" i="19" s="1"/>
  <c r="K27" i="19"/>
  <c r="O27" i="19" s="1"/>
  <c r="K71" i="19"/>
  <c r="O71" i="19" s="1"/>
  <c r="K112" i="19"/>
  <c r="O112" i="19" s="1"/>
  <c r="M33" i="19"/>
  <c r="P33" i="19" s="1"/>
  <c r="M105" i="19"/>
  <c r="P105" i="19" s="1"/>
  <c r="M13" i="19"/>
  <c r="P13" i="19" s="1"/>
  <c r="M44" i="19"/>
  <c r="P44" i="19" s="1"/>
  <c r="K79" i="19"/>
  <c r="O79" i="19" s="1"/>
  <c r="K2" i="19"/>
  <c r="O2" i="19" s="1"/>
  <c r="M41" i="19"/>
  <c r="P41" i="19" s="1"/>
  <c r="K8" i="19"/>
  <c r="O8" i="19" s="1"/>
  <c r="M151" i="19"/>
  <c r="P151" i="19" s="1"/>
  <c r="M166" i="19"/>
  <c r="P166" i="19" s="1"/>
  <c r="M77" i="19"/>
  <c r="P77" i="19" s="1"/>
  <c r="M102" i="19"/>
  <c r="P102" i="19" s="1"/>
  <c r="M104" i="19"/>
  <c r="P104" i="19" s="1"/>
  <c r="K118" i="19"/>
  <c r="O118" i="19" s="1"/>
  <c r="K25" i="19"/>
  <c r="O25" i="19" s="1"/>
  <c r="M39" i="19"/>
  <c r="P39" i="19" s="1"/>
  <c r="K42" i="19"/>
  <c r="O42" i="19" s="1"/>
  <c r="K31" i="19"/>
  <c r="O31" i="19" s="1"/>
  <c r="M82" i="19"/>
  <c r="P82" i="19" s="1"/>
  <c r="I32" i="19"/>
  <c r="K33" i="19"/>
  <c r="O33" i="19" s="1"/>
  <c r="M177" i="19"/>
  <c r="P177" i="19" s="1"/>
  <c r="M170" i="19"/>
  <c r="P170" i="19" s="1"/>
  <c r="M123" i="19"/>
  <c r="P123" i="19" s="1"/>
  <c r="M124" i="19"/>
  <c r="P124" i="19" s="1"/>
  <c r="M157" i="19"/>
  <c r="P157" i="19" s="1"/>
  <c r="M125" i="19"/>
  <c r="P125" i="19" s="1"/>
  <c r="K149" i="19"/>
  <c r="O149" i="19" s="1"/>
  <c r="M160" i="19"/>
  <c r="P160" i="19" s="1"/>
  <c r="K65" i="19"/>
  <c r="O65" i="19" s="1"/>
  <c r="K75" i="19"/>
  <c r="O75" i="19" s="1"/>
  <c r="K68" i="19"/>
  <c r="O68" i="19" s="1"/>
  <c r="K69" i="19"/>
  <c r="O69" i="19" s="1"/>
  <c r="M113" i="19"/>
  <c r="P113" i="19" s="1"/>
  <c r="K72" i="19"/>
  <c r="O72" i="19" s="1"/>
  <c r="K20" i="19"/>
  <c r="O20" i="19" s="1"/>
  <c r="K80" i="19"/>
  <c r="O80" i="19" s="1"/>
  <c r="M73" i="19"/>
  <c r="P73" i="19" s="1"/>
  <c r="K23" i="19"/>
  <c r="O23" i="19" s="1"/>
  <c r="M8" i="19"/>
  <c r="P8" i="19" s="1"/>
  <c r="M185" i="19"/>
  <c r="P185" i="19" s="1"/>
  <c r="M153" i="19"/>
  <c r="P153" i="19" s="1"/>
  <c r="M178" i="19"/>
  <c r="P178" i="19" s="1"/>
  <c r="M196" i="19"/>
  <c r="P196" i="19" s="1"/>
  <c r="M132" i="19"/>
  <c r="P132" i="19" s="1"/>
  <c r="M197" i="19"/>
  <c r="P197" i="19" s="1"/>
  <c r="M165" i="19"/>
  <c r="P165" i="19" s="1"/>
  <c r="M133" i="19"/>
  <c r="P133" i="19" s="1"/>
  <c r="K189" i="19"/>
  <c r="O189" i="19" s="1"/>
  <c r="K157" i="19"/>
  <c r="O157" i="19" s="1"/>
  <c r="M200" i="19"/>
  <c r="P200" i="19" s="1"/>
  <c r="M168" i="19"/>
  <c r="P168" i="19" s="1"/>
  <c r="K204" i="19"/>
  <c r="O204" i="19" s="1"/>
  <c r="K106" i="19"/>
  <c r="O106" i="19" s="1"/>
  <c r="K73" i="19"/>
  <c r="O73" i="19" s="1"/>
  <c r="M42" i="19"/>
  <c r="P42" i="19" s="1"/>
  <c r="M100" i="19"/>
  <c r="P100" i="19" s="1"/>
  <c r="M68" i="19"/>
  <c r="P68" i="19" s="1"/>
  <c r="K136" i="19"/>
  <c r="O136" i="19" s="1"/>
  <c r="K83" i="19"/>
  <c r="O83" i="19" s="1"/>
  <c r="K51" i="19"/>
  <c r="O51" i="19" s="1"/>
  <c r="M109" i="19"/>
  <c r="P109" i="19" s="1"/>
  <c r="K76" i="19"/>
  <c r="O76" i="19" s="1"/>
  <c r="K172" i="19"/>
  <c r="O172" i="19" s="1"/>
  <c r="K77" i="19"/>
  <c r="O77" i="19" s="1"/>
  <c r="K45" i="19"/>
  <c r="O45" i="19" s="1"/>
  <c r="K120" i="19"/>
  <c r="O120" i="19" s="1"/>
  <c r="K88" i="19"/>
  <c r="O88" i="19" s="1"/>
  <c r="K63" i="19"/>
  <c r="O63" i="19" s="1"/>
  <c r="M26" i="19"/>
  <c r="P26" i="19" s="1"/>
  <c r="K102" i="19"/>
  <c r="O102" i="19" s="1"/>
  <c r="M29" i="19"/>
  <c r="P29" i="19" s="1"/>
  <c r="K62" i="19"/>
  <c r="O62" i="19" s="1"/>
  <c r="K26" i="19"/>
  <c r="O26" i="19" s="1"/>
  <c r="K56" i="19"/>
  <c r="O56" i="19" s="1"/>
  <c r="M106" i="19"/>
  <c r="P106" i="19" s="1"/>
  <c r="K32" i="19"/>
  <c r="O32" i="19" s="1"/>
  <c r="M52" i="19"/>
  <c r="P52" i="19" s="1"/>
  <c r="K94" i="19"/>
  <c r="O94" i="19" s="1"/>
  <c r="K9" i="19"/>
  <c r="O9" i="19" s="1"/>
  <c r="K40" i="19"/>
  <c r="O40" i="19" s="1"/>
  <c r="K70" i="19"/>
  <c r="O70" i="19" s="1"/>
  <c r="K46" i="19"/>
  <c r="O46" i="19" s="1"/>
  <c r="M11" i="19"/>
  <c r="P11" i="19" s="1"/>
  <c r="M34" i="19"/>
  <c r="P34" i="19" s="1"/>
  <c r="K3" i="19"/>
  <c r="O3" i="19" s="1"/>
  <c r="K131" i="19"/>
  <c r="O131" i="19" s="1"/>
  <c r="K166" i="19"/>
  <c r="O166" i="19" s="1"/>
  <c r="M99" i="19"/>
  <c r="P99" i="19" s="1"/>
  <c r="K98" i="19"/>
  <c r="O98" i="19" s="1"/>
  <c r="K66" i="19"/>
  <c r="O66" i="19" s="1"/>
  <c r="M182" i="19"/>
  <c r="P182" i="19" s="1"/>
  <c r="M70" i="19"/>
  <c r="P70" i="19" s="1"/>
  <c r="M154" i="19"/>
  <c r="P154" i="19" s="1"/>
  <c r="K188" i="19"/>
  <c r="O188" i="19" s="1"/>
  <c r="K180" i="19"/>
  <c r="O180" i="19" s="1"/>
  <c r="K54" i="19"/>
  <c r="O54" i="19" s="1"/>
  <c r="M88" i="19"/>
  <c r="P88" i="19" s="1"/>
  <c r="M22" i="19"/>
  <c r="P22" i="19" s="1"/>
  <c r="K87" i="19"/>
  <c r="O87" i="19" s="1"/>
  <c r="K34" i="19"/>
  <c r="O34" i="19" s="1"/>
  <c r="M7" i="19"/>
  <c r="P7" i="19" s="1"/>
  <c r="M15" i="19"/>
  <c r="P15" i="19" s="1"/>
  <c r="K10" i="19"/>
  <c r="O10" i="19" s="1"/>
  <c r="K15" i="19"/>
  <c r="O15" i="19" s="1"/>
  <c r="M17" i="19"/>
  <c r="P17" i="19" s="1"/>
  <c r="M140" i="19"/>
  <c r="P140" i="19" s="1"/>
  <c r="K183" i="19"/>
  <c r="O183" i="19" s="1"/>
  <c r="K151" i="19"/>
  <c r="O151" i="19" s="1"/>
  <c r="K176" i="19"/>
  <c r="O176" i="19" s="1"/>
  <c r="K193" i="19"/>
  <c r="O193" i="19" s="1"/>
  <c r="K161" i="19"/>
  <c r="O161" i="19" s="1"/>
  <c r="K129" i="19"/>
  <c r="O129" i="19" s="1"/>
  <c r="K194" i="19"/>
  <c r="O194" i="19" s="1"/>
  <c r="K162" i="19"/>
  <c r="O162" i="19" s="1"/>
  <c r="K130" i="19"/>
  <c r="O130" i="19" s="1"/>
  <c r="K195" i="19"/>
  <c r="O195" i="19" s="1"/>
  <c r="K163" i="19"/>
  <c r="O163" i="19" s="1"/>
  <c r="M183" i="19"/>
  <c r="P183" i="19" s="1"/>
  <c r="K198" i="19"/>
  <c r="O198" i="19" s="1"/>
  <c r="M158" i="19"/>
  <c r="P158" i="19" s="1"/>
  <c r="M67" i="19"/>
  <c r="P67" i="19" s="1"/>
  <c r="M114" i="19"/>
  <c r="P114" i="19" s="1"/>
  <c r="M71" i="19"/>
  <c r="P71" i="19" s="1"/>
  <c r="M28" i="19"/>
  <c r="P28" i="19" s="1"/>
  <c r="M24" i="19"/>
  <c r="P24" i="19" s="1"/>
  <c r="M155" i="19"/>
  <c r="P155" i="19" s="1"/>
  <c r="M189" i="19"/>
  <c r="P189" i="19" s="1"/>
  <c r="K181" i="19"/>
  <c r="O181" i="19" s="1"/>
  <c r="M192" i="19"/>
  <c r="P192" i="19" s="1"/>
  <c r="K152" i="19"/>
  <c r="O152" i="19" s="1"/>
  <c r="M129" i="19"/>
  <c r="P129" i="19" s="1"/>
  <c r="M60" i="19"/>
  <c r="P60" i="19" s="1"/>
  <c r="K164" i="19"/>
  <c r="O164" i="19" s="1"/>
  <c r="M146" i="19"/>
  <c r="P146" i="19" s="1"/>
  <c r="M145" i="19"/>
  <c r="P145" i="19" s="1"/>
  <c r="M130" i="19"/>
  <c r="P130" i="19" s="1"/>
  <c r="M21" i="19"/>
  <c r="P21" i="19" s="1"/>
  <c r="M40" i="19"/>
  <c r="P40" i="19" s="1"/>
  <c r="M23" i="19"/>
  <c r="P23" i="19" s="1"/>
  <c r="K6" i="19"/>
  <c r="O6" i="19" s="1"/>
  <c r="K11" i="19"/>
  <c r="O11" i="19" s="1"/>
  <c r="K5" i="19"/>
  <c r="O5" i="19" s="1"/>
  <c r="M204" i="19"/>
  <c r="P204" i="19" s="1"/>
  <c r="M188" i="19"/>
  <c r="P188" i="19" s="1"/>
  <c r="K97" i="19"/>
  <c r="O97" i="19" s="1"/>
  <c r="K108" i="19"/>
  <c r="O108" i="19" s="1"/>
  <c r="K100" i="19"/>
  <c r="O100" i="19" s="1"/>
  <c r="K101" i="19"/>
  <c r="O101" i="19" s="1"/>
  <c r="K44" i="19"/>
  <c r="O44" i="19" s="1"/>
  <c r="K38" i="19"/>
  <c r="O38" i="19" s="1"/>
  <c r="I30" i="19"/>
  <c r="M25" i="19"/>
  <c r="P25" i="19" s="1"/>
  <c r="M139" i="19"/>
  <c r="P139" i="19" s="1"/>
  <c r="K175" i="19"/>
  <c r="O175" i="19" s="1"/>
  <c r="K200" i="19"/>
  <c r="O200" i="19" s="1"/>
  <c r="K168" i="19"/>
  <c r="O168" i="19" s="1"/>
  <c r="K185" i="19"/>
  <c r="O185" i="19" s="1"/>
  <c r="K153" i="19"/>
  <c r="O153" i="19" s="1"/>
  <c r="K121" i="19"/>
  <c r="O121" i="19" s="1"/>
  <c r="K186" i="19"/>
  <c r="O186" i="19" s="1"/>
  <c r="K154" i="19"/>
  <c r="O154" i="19" s="1"/>
  <c r="K122" i="19"/>
  <c r="O122" i="19" s="1"/>
  <c r="K187" i="19"/>
  <c r="O187" i="19" s="1"/>
  <c r="K155" i="19"/>
  <c r="O155" i="19" s="1"/>
  <c r="K123" i="19"/>
  <c r="O123" i="19" s="1"/>
  <c r="M175" i="19"/>
  <c r="P175" i="19" s="1"/>
  <c r="M143" i="19"/>
  <c r="P143" i="19" s="1"/>
  <c r="K190" i="19"/>
  <c r="O190" i="19" s="1"/>
  <c r="K158" i="19"/>
  <c r="O158" i="19" s="1"/>
  <c r="M136" i="19"/>
  <c r="P136" i="19" s="1"/>
  <c r="M91" i="19"/>
  <c r="P91" i="19" s="1"/>
  <c r="M59" i="19"/>
  <c r="P59" i="19" s="1"/>
  <c r="K127" i="19"/>
  <c r="O127" i="19" s="1"/>
  <c r="K90" i="19"/>
  <c r="O90" i="19" s="1"/>
  <c r="K58" i="19"/>
  <c r="O58" i="19" s="1"/>
  <c r="M101" i="19"/>
  <c r="P101" i="19" s="1"/>
  <c r="M150" i="19"/>
  <c r="P150" i="19" s="1"/>
  <c r="M94" i="19"/>
  <c r="P94" i="19" s="1"/>
  <c r="M62" i="19"/>
  <c r="P62" i="19" s="1"/>
  <c r="K143" i="19"/>
  <c r="O143" i="19" s="1"/>
  <c r="M95" i="19"/>
  <c r="P95" i="19" s="1"/>
  <c r="M63" i="19"/>
  <c r="P63" i="19" s="1"/>
  <c r="M142" i="19"/>
  <c r="P142" i="19" s="1"/>
  <c r="M107" i="19"/>
  <c r="P107" i="19" s="1"/>
  <c r="K104" i="19"/>
  <c r="O104" i="19" s="1"/>
  <c r="M38" i="19"/>
  <c r="P38" i="19" s="1"/>
  <c r="K18" i="19"/>
  <c r="O18" i="19" s="1"/>
  <c r="M56" i="19"/>
  <c r="P56" i="19" s="1"/>
  <c r="K19" i="19"/>
  <c r="O19" i="19" s="1"/>
  <c r="K37" i="19"/>
  <c r="O37" i="19" s="1"/>
  <c r="K135" i="19"/>
  <c r="O135" i="19" s="1"/>
  <c r="K30" i="19"/>
  <c r="O30" i="19" s="1"/>
  <c r="M64" i="19"/>
  <c r="P64" i="19" s="1"/>
  <c r="K22" i="19"/>
  <c r="O22" i="19" s="1"/>
  <c r="K17" i="19"/>
  <c r="O17" i="19" s="1"/>
  <c r="M122" i="19"/>
  <c r="P122" i="19" s="1"/>
  <c r="M72" i="19"/>
  <c r="P72" i="19" s="1"/>
  <c r="M18" i="19"/>
  <c r="P18" i="19" s="1"/>
  <c r="K7" i="19"/>
  <c r="O7" i="19" s="1"/>
  <c r="K115" i="19"/>
  <c r="O115" i="19" s="1"/>
  <c r="M3" i="19"/>
  <c r="P3" i="19" s="1"/>
  <c r="K14" i="19"/>
  <c r="O14" i="19" s="1"/>
  <c r="M171" i="19"/>
  <c r="P171" i="19" s="1"/>
  <c r="K197" i="19"/>
  <c r="O197" i="19" s="1"/>
  <c r="M201" i="19"/>
  <c r="P201" i="19" s="1"/>
  <c r="M169" i="19"/>
  <c r="P169" i="19" s="1"/>
  <c r="M194" i="19"/>
  <c r="P194" i="19" s="1"/>
  <c r="M162" i="19"/>
  <c r="P162" i="19" s="1"/>
  <c r="M179" i="19"/>
  <c r="P179" i="19" s="1"/>
  <c r="M147" i="19"/>
  <c r="P147" i="19" s="1"/>
  <c r="M115" i="19"/>
  <c r="P115" i="19" s="1"/>
  <c r="M180" i="19"/>
  <c r="P180" i="19" s="1"/>
  <c r="M116" i="19"/>
  <c r="P116" i="19" s="1"/>
  <c r="M181" i="19"/>
  <c r="P181" i="19" s="1"/>
  <c r="M149" i="19"/>
  <c r="P149" i="19" s="1"/>
  <c r="K173" i="19"/>
  <c r="O173" i="19" s="1"/>
  <c r="K141" i="19"/>
  <c r="O141" i="19" s="1"/>
  <c r="M184" i="19"/>
  <c r="P184" i="19" s="1"/>
  <c r="M152" i="19"/>
  <c r="P152" i="19" s="1"/>
  <c r="K134" i="19"/>
  <c r="O134" i="19" s="1"/>
  <c r="K89" i="19"/>
  <c r="O89" i="19" s="1"/>
  <c r="K57" i="19"/>
  <c r="O57" i="19" s="1"/>
  <c r="M121" i="19"/>
  <c r="P121" i="19" s="1"/>
  <c r="M84" i="19"/>
  <c r="P84" i="19" s="1"/>
  <c r="M174" i="19"/>
  <c r="P174" i="19" s="1"/>
  <c r="K99" i="19"/>
  <c r="O99" i="19" s="1"/>
  <c r="K67" i="19"/>
  <c r="O67" i="19" s="1"/>
  <c r="M126" i="19"/>
  <c r="P126" i="19" s="1"/>
  <c r="K92" i="19"/>
  <c r="O92" i="19" s="1"/>
  <c r="K60" i="19"/>
  <c r="O60" i="19" s="1"/>
  <c r="K140" i="19"/>
  <c r="O140" i="19" s="1"/>
  <c r="K93" i="19"/>
  <c r="O93" i="19" s="1"/>
  <c r="K61" i="19"/>
  <c r="O61" i="19" s="1"/>
  <c r="K196" i="19"/>
  <c r="O196" i="19" s="1"/>
  <c r="K105" i="19"/>
  <c r="O105" i="19" s="1"/>
  <c r="M89" i="19"/>
  <c r="P89" i="19" s="1"/>
  <c r="M37" i="19"/>
  <c r="P37" i="19" s="1"/>
  <c r="M14" i="19"/>
  <c r="P14" i="19" s="1"/>
  <c r="M49" i="19"/>
  <c r="P49" i="19" s="1"/>
  <c r="K128" i="19"/>
  <c r="O128" i="19" s="1"/>
  <c r="K36" i="19"/>
  <c r="O36" i="19" s="1"/>
  <c r="M118" i="19"/>
  <c r="P118" i="19" s="1"/>
  <c r="K29" i="19"/>
  <c r="O29" i="19" s="1"/>
  <c r="M48" i="19"/>
  <c r="P48" i="19" s="1"/>
  <c r="M198" i="19"/>
  <c r="P198" i="19" s="1"/>
  <c r="M9" i="19"/>
  <c r="P9" i="19" s="1"/>
  <c r="M57" i="19"/>
  <c r="P57" i="19" s="1"/>
  <c r="K64" i="19"/>
  <c r="O64" i="19" s="1"/>
  <c r="M16" i="19"/>
  <c r="P16" i="19" s="1"/>
  <c r="M2" i="19"/>
  <c r="P2" i="19" s="1"/>
  <c r="K86" i="19"/>
  <c r="O86" i="19" s="1"/>
  <c r="M4" i="19"/>
  <c r="P4" i="19" s="1"/>
  <c r="M35" i="19"/>
  <c r="P35" i="19" s="1"/>
  <c r="K182" i="19"/>
  <c r="O182" i="19" s="1"/>
  <c r="K156" i="19"/>
  <c r="O156" i="19" s="1"/>
  <c r="M61" i="19"/>
  <c r="P61" i="19" s="1"/>
  <c r="M86" i="19"/>
  <c r="P86" i="19" s="1"/>
  <c r="M128" i="19"/>
  <c r="P128" i="19" s="1"/>
  <c r="M55" i="19"/>
  <c r="P55" i="19" s="1"/>
  <c r="M98" i="19"/>
  <c r="P98" i="19" s="1"/>
  <c r="M36" i="19"/>
  <c r="P36" i="19" s="1"/>
  <c r="K47" i="19"/>
  <c r="O47" i="19" s="1"/>
  <c r="M32" i="19"/>
  <c r="P32" i="19" s="1"/>
  <c r="K28" i="19"/>
  <c r="O28" i="19" s="1"/>
  <c r="K109" i="19"/>
  <c r="O109" i="19" s="1"/>
  <c r="M50" i="19"/>
  <c r="P50" i="19" s="1"/>
  <c r="K13" i="19"/>
  <c r="O13" i="19" s="1"/>
  <c r="K48" i="19"/>
  <c r="O48" i="19" s="1"/>
  <c r="M19" i="19"/>
  <c r="P19" i="19" s="1"/>
  <c r="M161" i="19"/>
  <c r="P161" i="19" s="1"/>
  <c r="M172" i="19"/>
  <c r="P172" i="19" s="1"/>
  <c r="M141" i="19"/>
  <c r="P141" i="19" s="1"/>
  <c r="K133" i="19"/>
  <c r="O133" i="19" s="1"/>
  <c r="K199" i="19"/>
  <c r="O199" i="19" s="1"/>
  <c r="K167" i="19"/>
  <c r="O167" i="19" s="1"/>
  <c r="K192" i="19"/>
  <c r="O192" i="19" s="1"/>
  <c r="K160" i="19"/>
  <c r="O160" i="19" s="1"/>
  <c r="K177" i="19"/>
  <c r="O177" i="19" s="1"/>
  <c r="K145" i="19"/>
  <c r="O145" i="19" s="1"/>
  <c r="K113" i="19"/>
  <c r="O113" i="19" s="1"/>
  <c r="K178" i="19"/>
  <c r="O178" i="19" s="1"/>
  <c r="K146" i="19"/>
  <c r="O146" i="19" s="1"/>
  <c r="K114" i="19"/>
  <c r="O114" i="19" s="1"/>
  <c r="K179" i="19"/>
  <c r="O179" i="19" s="1"/>
  <c r="K147" i="19"/>
  <c r="O147" i="19" s="1"/>
  <c r="M199" i="19"/>
  <c r="P199" i="19" s="1"/>
  <c r="M167" i="19"/>
  <c r="P167" i="19" s="1"/>
  <c r="M135" i="19"/>
  <c r="P135" i="19" s="1"/>
  <c r="K150" i="19"/>
  <c r="O150" i="19" s="1"/>
  <c r="K125" i="19"/>
  <c r="O125" i="19" s="1"/>
  <c r="M83" i="19"/>
  <c r="P83" i="19" s="1"/>
  <c r="K82" i="19"/>
  <c r="O82" i="19" s="1"/>
  <c r="M93" i="19"/>
  <c r="P93" i="19" s="1"/>
  <c r="K119" i="19"/>
  <c r="O119" i="19" s="1"/>
  <c r="M54" i="19"/>
  <c r="P54" i="19" s="1"/>
  <c r="K148" i="19"/>
  <c r="O148" i="19" s="1"/>
  <c r="M81" i="19"/>
  <c r="P81" i="19" s="1"/>
  <c r="K12" i="19"/>
  <c r="O12" i="19" s="1"/>
  <c r="M97" i="19"/>
  <c r="P97" i="19" s="1"/>
  <c r="M96" i="19"/>
  <c r="P96" i="19" s="1"/>
  <c r="M46" i="19"/>
  <c r="P46" i="19" s="1"/>
  <c r="M6" i="19"/>
  <c r="P6" i="19" s="1"/>
  <c r="K55" i="19"/>
  <c r="O55" i="19" s="1"/>
  <c r="K24" i="19"/>
  <c r="O24" i="19" s="1"/>
  <c r="M110" i="19"/>
  <c r="P110" i="19" s="1"/>
  <c r="M186" i="19"/>
  <c r="P186" i="19" s="1"/>
  <c r="M203" i="19"/>
  <c r="P203" i="19" s="1"/>
  <c r="M173" i="19"/>
  <c r="P173" i="19" s="1"/>
  <c r="K165" i="19"/>
  <c r="O165" i="19" s="1"/>
  <c r="K81" i="19"/>
  <c r="O81" i="19" s="1"/>
  <c r="K84" i="19"/>
  <c r="O84" i="19" s="1"/>
  <c r="K35" i="19"/>
  <c r="O35" i="19" s="1"/>
  <c r="K95" i="19"/>
  <c r="O95" i="19" s="1"/>
  <c r="M12" i="19"/>
  <c r="P12" i="19" s="1"/>
  <c r="K78" i="19"/>
  <c r="O78" i="19" s="1"/>
  <c r="K49" i="19"/>
  <c r="O49" i="19" s="1"/>
  <c r="K52" i="19"/>
  <c r="O52" i="19" s="1"/>
  <c r="M137" i="19"/>
  <c r="P137" i="19" s="1"/>
  <c r="K4" i="19"/>
  <c r="O4" i="19" s="1"/>
  <c r="K39" i="19"/>
  <c r="O39" i="19" s="1"/>
  <c r="M111" i="19"/>
  <c r="P111" i="19" s="1"/>
  <c r="K126" i="19"/>
  <c r="O126" i="19" s="1"/>
  <c r="M45" i="19"/>
  <c r="P45" i="19" s="1"/>
  <c r="I31" i="19"/>
  <c r="K117" i="19"/>
  <c r="O117" i="19" s="1"/>
  <c r="M76" i="19"/>
  <c r="P76" i="19" s="1"/>
  <c r="K85" i="19"/>
  <c r="O85" i="19" s="1"/>
  <c r="M80" i="19"/>
  <c r="P80" i="19" s="1"/>
  <c r="K50" i="19"/>
  <c r="O50" i="19" s="1"/>
  <c r="K91" i="19"/>
  <c r="O91" i="19" s="1"/>
  <c r="K16" i="19"/>
  <c r="O16" i="19" s="1"/>
  <c r="K116" i="19"/>
  <c r="O116" i="19" s="1"/>
  <c r="K144" i="19"/>
  <c r="O144" i="19" s="1"/>
  <c r="K53" i="19"/>
  <c r="O53" i="19" s="1"/>
  <c r="M31" i="19"/>
  <c r="P31" i="19" s="1"/>
  <c r="M10" i="19"/>
  <c r="P10" i="19" s="1"/>
  <c r="K41" i="19"/>
  <c r="O41" i="19" s="1"/>
  <c r="M176" i="19"/>
  <c r="P176" i="19" s="1"/>
  <c r="M134" i="19"/>
  <c r="P134" i="19" s="1"/>
  <c r="K59" i="19"/>
  <c r="O59" i="19" s="1"/>
  <c r="K96" i="19"/>
  <c r="O96" i="19" s="1"/>
  <c r="K21" i="19"/>
  <c r="O21" i="19" s="1"/>
  <c r="K43" i="19"/>
  <c r="O43" i="19" s="1"/>
  <c r="L69" i="19"/>
  <c r="M69" i="19" s="1"/>
  <c r="P69" i="19" s="1"/>
  <c r="L164" i="19"/>
  <c r="M164" i="19" s="1"/>
  <c r="P164" i="19" s="1"/>
  <c r="I21" i="19"/>
  <c r="L131" i="19"/>
  <c r="M131" i="19" s="1"/>
  <c r="P131" i="19" s="1"/>
  <c r="I27" i="19"/>
  <c r="I29" i="19"/>
  <c r="I28" i="19"/>
  <c r="H37" i="19" s="1"/>
  <c r="L156" i="19"/>
  <c r="M156" i="19" s="1"/>
  <c r="P156" i="19" s="1"/>
  <c r="L74" i="19"/>
  <c r="M74" i="19" s="1"/>
  <c r="P74" i="19" s="1"/>
  <c r="L112" i="19"/>
  <c r="M112" i="19" s="1"/>
  <c r="P112" i="19" s="1"/>
  <c r="L119" i="19"/>
  <c r="M119" i="19" s="1"/>
  <c r="P119" i="19" s="1"/>
  <c r="L195" i="19"/>
  <c r="M195" i="19" s="1"/>
  <c r="P195" i="19" s="1"/>
  <c r="I15" i="19"/>
  <c r="I11" i="17"/>
  <c r="L51" i="19"/>
  <c r="M51" i="19" s="1"/>
  <c r="P51" i="19" s="1"/>
  <c r="L92" i="19"/>
  <c r="M92" i="19" s="1"/>
  <c r="P92" i="19" s="1"/>
  <c r="L163" i="19"/>
  <c r="M163" i="19" s="1"/>
  <c r="P163" i="19" s="1"/>
  <c r="L178" i="19"/>
  <c r="L20" i="19"/>
  <c r="M20" i="19" s="1"/>
  <c r="P20" i="19" s="1"/>
  <c r="L144" i="19"/>
  <c r="M144" i="19" s="1"/>
  <c r="P144" i="19" s="1"/>
  <c r="L202" i="19"/>
  <c r="M202" i="19" s="1"/>
  <c r="P202" i="19" s="1"/>
  <c r="L5" i="19"/>
  <c r="M5" i="19" s="1"/>
  <c r="P5" i="19" s="1"/>
  <c r="L53" i="19"/>
  <c r="M53" i="19" s="1"/>
  <c r="P53" i="19" s="1"/>
  <c r="L148" i="19"/>
  <c r="M148" i="19" s="1"/>
  <c r="P148" i="19" s="1"/>
  <c r="L108" i="19"/>
  <c r="M108" i="19" s="1"/>
  <c r="P108" i="19" s="1"/>
  <c r="L87" i="19"/>
  <c r="M87" i="19" s="1"/>
  <c r="P87" i="19" s="1"/>
  <c r="L117" i="19"/>
  <c r="M117" i="19" s="1"/>
  <c r="P117" i="19" s="1"/>
  <c r="L187" i="19"/>
  <c r="M187" i="19" s="1"/>
  <c r="P187" i="19" s="1"/>
  <c r="L193" i="19"/>
  <c r="M193" i="19" s="1"/>
  <c r="P193" i="19" s="1"/>
  <c r="L36" i="19"/>
  <c r="L58" i="19"/>
  <c r="M58" i="19" s="1"/>
  <c r="P58" i="19" s="1"/>
  <c r="E2" i="13"/>
  <c r="G2" i="13"/>
  <c r="I3" i="13"/>
  <c r="I24" i="13"/>
  <c r="I5" i="29"/>
  <c r="E76" i="33"/>
  <c r="G76" i="33"/>
  <c r="I7" i="17"/>
  <c r="I10" i="17" s="1"/>
  <c r="J158" i="29"/>
  <c r="N158" i="29" s="1"/>
  <c r="J191" i="29"/>
  <c r="N191" i="29" s="1"/>
  <c r="J127" i="29"/>
  <c r="N127" i="29" s="1"/>
  <c r="J152" i="29"/>
  <c r="N152" i="29" s="1"/>
  <c r="J177" i="29"/>
  <c r="N177" i="29" s="1"/>
  <c r="J113" i="29"/>
  <c r="N113" i="29" s="1"/>
  <c r="J146" i="29"/>
  <c r="N146" i="29" s="1"/>
  <c r="J179" i="29"/>
  <c r="N179" i="29" s="1"/>
  <c r="J197" i="29"/>
  <c r="N197" i="29" s="1"/>
  <c r="J133" i="29"/>
  <c r="N133" i="29" s="1"/>
  <c r="J87" i="29"/>
  <c r="N87" i="29" s="1"/>
  <c r="J148" i="29"/>
  <c r="N148" i="29" s="1"/>
  <c r="J48" i="29"/>
  <c r="N48" i="29" s="1"/>
  <c r="J66" i="29"/>
  <c r="N66" i="29" s="1"/>
  <c r="J91" i="29"/>
  <c r="N91" i="29" s="1"/>
  <c r="J108" i="29"/>
  <c r="N108" i="29" s="1"/>
  <c r="J44" i="29"/>
  <c r="N44" i="29" s="1"/>
  <c r="J26" i="29"/>
  <c r="N26" i="29" s="1"/>
  <c r="J78" i="29"/>
  <c r="N78" i="29" s="1"/>
  <c r="J106" i="29"/>
  <c r="N106" i="29" s="1"/>
  <c r="J62" i="29"/>
  <c r="N62" i="29" s="1"/>
  <c r="J40" i="29"/>
  <c r="N40" i="29" s="1"/>
  <c r="J46" i="29"/>
  <c r="N46" i="29" s="1"/>
  <c r="J70" i="29"/>
  <c r="N70" i="29" s="1"/>
  <c r="J5" i="29"/>
  <c r="N5" i="29" s="1"/>
  <c r="J121" i="29"/>
  <c r="N121" i="29" s="1"/>
  <c r="J34" i="29"/>
  <c r="N34" i="29" s="1"/>
  <c r="J116" i="29"/>
  <c r="N116" i="29" s="1"/>
  <c r="J65" i="29"/>
  <c r="N65" i="29" s="1"/>
  <c r="J150" i="29"/>
  <c r="N150" i="29" s="1"/>
  <c r="J183" i="29"/>
  <c r="N183" i="29" s="1"/>
  <c r="J119" i="29"/>
  <c r="N119" i="29" s="1"/>
  <c r="J144" i="29"/>
  <c r="N144" i="29" s="1"/>
  <c r="J169" i="29"/>
  <c r="N169" i="29" s="1"/>
  <c r="J202" i="29"/>
  <c r="N202" i="29" s="1"/>
  <c r="J138" i="29"/>
  <c r="N138" i="29" s="1"/>
  <c r="J171" i="29"/>
  <c r="N171" i="29" s="1"/>
  <c r="J189" i="29"/>
  <c r="N189" i="29" s="1"/>
  <c r="J125" i="29"/>
  <c r="N125" i="29" s="1"/>
  <c r="J79" i="29"/>
  <c r="N79" i="29" s="1"/>
  <c r="J105" i="29"/>
  <c r="N105" i="29" s="1"/>
  <c r="J35" i="29"/>
  <c r="N35" i="29" s="1"/>
  <c r="J58" i="29"/>
  <c r="N58" i="29" s="1"/>
  <c r="J83" i="29"/>
  <c r="N83" i="29" s="1"/>
  <c r="J100" i="29"/>
  <c r="N100" i="29" s="1"/>
  <c r="J39" i="29"/>
  <c r="J20" i="29"/>
  <c r="N20" i="29" s="1"/>
  <c r="J30" i="29"/>
  <c r="N30" i="29" s="1"/>
  <c r="J102" i="29"/>
  <c r="N102" i="29" s="1"/>
  <c r="J16" i="29"/>
  <c r="N16" i="29" s="1"/>
  <c r="J31" i="29"/>
  <c r="N31" i="29" s="1"/>
  <c r="J36" i="29"/>
  <c r="N36" i="29" s="1"/>
  <c r="J32" i="29"/>
  <c r="N32" i="29" s="1"/>
  <c r="J97" i="29"/>
  <c r="N97" i="29" s="1"/>
  <c r="J199" i="29"/>
  <c r="N199" i="29" s="1"/>
  <c r="J141" i="29"/>
  <c r="N141" i="29" s="1"/>
  <c r="J52" i="29"/>
  <c r="N52" i="29" s="1"/>
  <c r="J142" i="29"/>
  <c r="N142" i="29" s="1"/>
  <c r="J175" i="29"/>
  <c r="N175" i="29" s="1"/>
  <c r="J200" i="29"/>
  <c r="N200" i="29" s="1"/>
  <c r="J136" i="29"/>
  <c r="N136" i="29" s="1"/>
  <c r="J161" i="29"/>
  <c r="N161" i="29" s="1"/>
  <c r="J194" i="29"/>
  <c r="N194" i="29" s="1"/>
  <c r="J130" i="29"/>
  <c r="N130" i="29" s="1"/>
  <c r="J163" i="29"/>
  <c r="N163" i="29" s="1"/>
  <c r="J181" i="29"/>
  <c r="N181" i="29" s="1"/>
  <c r="J117" i="29"/>
  <c r="N117" i="29" s="1"/>
  <c r="J71" i="29"/>
  <c r="N71" i="29" s="1"/>
  <c r="J96" i="29"/>
  <c r="N96" i="29" s="1"/>
  <c r="J164" i="29"/>
  <c r="N164" i="29" s="1"/>
  <c r="J50" i="29"/>
  <c r="N50" i="29" s="1"/>
  <c r="J75" i="29"/>
  <c r="N75" i="29" s="1"/>
  <c r="J92" i="29"/>
  <c r="N92" i="29" s="1"/>
  <c r="J112" i="29"/>
  <c r="N112" i="29" s="1"/>
  <c r="J14" i="29"/>
  <c r="N14" i="29" s="1"/>
  <c r="J29" i="29"/>
  <c r="N29" i="29" s="1"/>
  <c r="J53" i="29"/>
  <c r="N53" i="29" s="1"/>
  <c r="J9" i="29"/>
  <c r="N9" i="29" s="1"/>
  <c r="J23" i="29"/>
  <c r="N23" i="29" s="1"/>
  <c r="J24" i="29"/>
  <c r="N24" i="29" s="1"/>
  <c r="J25" i="29"/>
  <c r="N25" i="29" s="1"/>
  <c r="J94" i="29"/>
  <c r="N94" i="29" s="1"/>
  <c r="J160" i="29"/>
  <c r="N160" i="29" s="1"/>
  <c r="J123" i="29"/>
  <c r="N123" i="29" s="1"/>
  <c r="J99" i="29"/>
  <c r="N99" i="29" s="1"/>
  <c r="J86" i="29"/>
  <c r="N86" i="29" s="1"/>
  <c r="J198" i="29"/>
  <c r="N198" i="29" s="1"/>
  <c r="J134" i="29"/>
  <c r="N134" i="29" s="1"/>
  <c r="J167" i="29"/>
  <c r="N167" i="29" s="1"/>
  <c r="J192" i="29"/>
  <c r="N192" i="29" s="1"/>
  <c r="J128" i="29"/>
  <c r="N128" i="29" s="1"/>
  <c r="J153" i="29"/>
  <c r="N153" i="29" s="1"/>
  <c r="J186" i="29"/>
  <c r="N186" i="29" s="1"/>
  <c r="J122" i="29"/>
  <c r="N122" i="29" s="1"/>
  <c r="J155" i="29"/>
  <c r="N155" i="29" s="1"/>
  <c r="J173" i="29"/>
  <c r="N173" i="29" s="1"/>
  <c r="J109" i="29"/>
  <c r="N109" i="29" s="1"/>
  <c r="J63" i="29"/>
  <c r="N63" i="29" s="1"/>
  <c r="J88" i="29"/>
  <c r="N88" i="29" s="1"/>
  <c r="J107" i="29"/>
  <c r="N107" i="29" s="1"/>
  <c r="J43" i="29"/>
  <c r="N43" i="29" s="1"/>
  <c r="J67" i="29"/>
  <c r="N67" i="29" s="1"/>
  <c r="J84" i="29"/>
  <c r="N84" i="29" s="1"/>
  <c r="J69" i="29"/>
  <c r="N69" i="29" s="1"/>
  <c r="J6" i="29"/>
  <c r="N6" i="29" s="1"/>
  <c r="J28" i="29"/>
  <c r="N28" i="29" s="1"/>
  <c r="J33" i="29"/>
  <c r="N33" i="29" s="1"/>
  <c r="J188" i="29"/>
  <c r="N188" i="29" s="1"/>
  <c r="J17" i="29"/>
  <c r="N17" i="29" s="1"/>
  <c r="J11" i="29"/>
  <c r="N11" i="29" s="1"/>
  <c r="J18" i="29"/>
  <c r="N18" i="29" s="1"/>
  <c r="J45" i="29"/>
  <c r="N45" i="29" s="1"/>
  <c r="J166" i="29"/>
  <c r="N166" i="29" s="1"/>
  <c r="J95" i="29"/>
  <c r="N95" i="29" s="1"/>
  <c r="J27" i="29"/>
  <c r="N27" i="29" s="1"/>
  <c r="J190" i="29"/>
  <c r="N190" i="29" s="1"/>
  <c r="J126" i="29"/>
  <c r="N126" i="29" s="1"/>
  <c r="J159" i="29"/>
  <c r="N159" i="29" s="1"/>
  <c r="J184" i="29"/>
  <c r="N184" i="29" s="1"/>
  <c r="J120" i="29"/>
  <c r="N120" i="29" s="1"/>
  <c r="J145" i="29"/>
  <c r="N145" i="29" s="1"/>
  <c r="J178" i="29"/>
  <c r="N178" i="29" s="1"/>
  <c r="J114" i="29"/>
  <c r="N114" i="29" s="1"/>
  <c r="J147" i="29"/>
  <c r="N147" i="29" s="1"/>
  <c r="J165" i="29"/>
  <c r="N165" i="29" s="1"/>
  <c r="J204" i="29"/>
  <c r="N204" i="29" s="1"/>
  <c r="J55" i="29"/>
  <c r="N55" i="29" s="1"/>
  <c r="J80" i="29"/>
  <c r="N80" i="29" s="1"/>
  <c r="J98" i="29"/>
  <c r="N98" i="29" s="1"/>
  <c r="J38" i="29"/>
  <c r="N38" i="29" s="1"/>
  <c r="J59" i="29"/>
  <c r="N59" i="29" s="1"/>
  <c r="J76" i="29"/>
  <c r="N76" i="29" s="1"/>
  <c r="J57" i="29"/>
  <c r="N57" i="29" s="1"/>
  <c r="J124" i="29"/>
  <c r="N124" i="29" s="1"/>
  <c r="J21" i="29"/>
  <c r="N21" i="29" s="1"/>
  <c r="J22" i="29"/>
  <c r="N22" i="29" s="1"/>
  <c r="J115" i="29"/>
  <c r="N115" i="29" s="1"/>
  <c r="J10" i="29"/>
  <c r="N10" i="29" s="1"/>
  <c r="J3" i="29"/>
  <c r="N3" i="29" s="1"/>
  <c r="J12" i="29"/>
  <c r="N12" i="29" s="1"/>
  <c r="J13" i="29"/>
  <c r="N13" i="29" s="1"/>
  <c r="J135" i="29"/>
  <c r="N135" i="29" s="1"/>
  <c r="J56" i="29"/>
  <c r="N56" i="29" s="1"/>
  <c r="J81" i="29"/>
  <c r="N81" i="29" s="1"/>
  <c r="J73" i="29"/>
  <c r="N73" i="29" s="1"/>
  <c r="J182" i="29"/>
  <c r="N182" i="29" s="1"/>
  <c r="J118" i="29"/>
  <c r="N118" i="29" s="1"/>
  <c r="J151" i="29"/>
  <c r="N151" i="29" s="1"/>
  <c r="J176" i="29"/>
  <c r="N176" i="29" s="1"/>
  <c r="J201" i="29"/>
  <c r="N201" i="29" s="1"/>
  <c r="J137" i="29"/>
  <c r="N137" i="29" s="1"/>
  <c r="J170" i="29"/>
  <c r="N170" i="29" s="1"/>
  <c r="J203" i="29"/>
  <c r="N203" i="29" s="1"/>
  <c r="J139" i="29"/>
  <c r="N139" i="29" s="1"/>
  <c r="J157" i="29"/>
  <c r="N157" i="29" s="1"/>
  <c r="J140" i="29"/>
  <c r="N140" i="29" s="1"/>
  <c r="J47" i="29"/>
  <c r="N47" i="29" s="1"/>
  <c r="J72" i="29"/>
  <c r="N72" i="29" s="1"/>
  <c r="J90" i="29"/>
  <c r="N90" i="29" s="1"/>
  <c r="J37" i="29"/>
  <c r="N37" i="29" s="1"/>
  <c r="J51" i="29"/>
  <c r="N51" i="29" s="1"/>
  <c r="J68" i="29"/>
  <c r="N68" i="29" s="1"/>
  <c r="J54" i="29"/>
  <c r="N54" i="29" s="1"/>
  <c r="J111" i="29"/>
  <c r="N111" i="29" s="1"/>
  <c r="J15" i="29"/>
  <c r="N15" i="29" s="1"/>
  <c r="J8" i="29"/>
  <c r="N8" i="29" s="1"/>
  <c r="J101" i="29"/>
  <c r="N101" i="29" s="1"/>
  <c r="J2" i="29"/>
  <c r="N2" i="29" s="1"/>
  <c r="J156" i="29"/>
  <c r="N156" i="29" s="1"/>
  <c r="J4" i="29"/>
  <c r="N4" i="29" s="1"/>
  <c r="J154" i="29"/>
  <c r="N154" i="29" s="1"/>
  <c r="J49" i="29"/>
  <c r="N49" i="29" s="1"/>
  <c r="J174" i="29"/>
  <c r="N174" i="29" s="1"/>
  <c r="J110" i="29"/>
  <c r="N110" i="29" s="1"/>
  <c r="J143" i="29"/>
  <c r="N143" i="29" s="1"/>
  <c r="J168" i="29"/>
  <c r="N168" i="29" s="1"/>
  <c r="J193" i="29"/>
  <c r="N193" i="29" s="1"/>
  <c r="J129" i="29"/>
  <c r="N129" i="29" s="1"/>
  <c r="J162" i="29"/>
  <c r="N162" i="29" s="1"/>
  <c r="J195" i="29"/>
  <c r="N195" i="29" s="1"/>
  <c r="J131" i="29"/>
  <c r="N131" i="29" s="1"/>
  <c r="J149" i="29"/>
  <c r="N149" i="29" s="1"/>
  <c r="J104" i="29"/>
  <c r="N104" i="29" s="1"/>
  <c r="J41" i="29"/>
  <c r="N41" i="29" s="1"/>
  <c r="J64" i="29"/>
  <c r="N64" i="29" s="1"/>
  <c r="J82" i="29"/>
  <c r="N82" i="29" s="1"/>
  <c r="J172" i="29"/>
  <c r="N172" i="29" s="1"/>
  <c r="J180" i="29"/>
  <c r="N180" i="29" s="1"/>
  <c r="J60" i="29"/>
  <c r="N60" i="29" s="1"/>
  <c r="J42" i="29"/>
  <c r="N42" i="29" s="1"/>
  <c r="J93" i="29"/>
  <c r="N93" i="29" s="1"/>
  <c r="J7" i="29"/>
  <c r="N7" i="29" s="1"/>
  <c r="J77" i="29"/>
  <c r="N77" i="29" s="1"/>
  <c r="J89" i="29"/>
  <c r="N89" i="29" s="1"/>
  <c r="J61" i="29"/>
  <c r="N61" i="29" s="1"/>
  <c r="J85" i="29"/>
  <c r="N85" i="29" s="1"/>
  <c r="J132" i="29"/>
  <c r="N132" i="29" s="1"/>
  <c r="J185" i="29"/>
  <c r="N185" i="29" s="1"/>
  <c r="J187" i="29"/>
  <c r="N187" i="29" s="1"/>
  <c r="J74" i="29"/>
  <c r="N74" i="29" s="1"/>
  <c r="J196" i="29"/>
  <c r="N196" i="29" s="1"/>
  <c r="J19" i="29"/>
  <c r="N19" i="29" s="1"/>
  <c r="I8" i="29"/>
  <c r="I9" i="29"/>
  <c r="I12" i="29"/>
  <c r="I19" i="29"/>
  <c r="I20" i="29"/>
  <c r="I11" i="29"/>
  <c r="I7" i="29"/>
  <c r="I10" i="29" s="1"/>
  <c r="J98" i="17"/>
  <c r="N98" i="17" s="1"/>
  <c r="J202" i="17"/>
  <c r="N202" i="17" s="1"/>
  <c r="I12" i="28"/>
  <c r="I20" i="28"/>
  <c r="I19" i="28"/>
  <c r="I9" i="28"/>
  <c r="I7" i="28"/>
  <c r="I10" i="28" s="1"/>
  <c r="J178" i="28"/>
  <c r="N178" i="28" s="1"/>
  <c r="J114" i="28"/>
  <c r="N114" i="28" s="1"/>
  <c r="J134" i="28"/>
  <c r="N134" i="28" s="1"/>
  <c r="J165" i="28"/>
  <c r="N165" i="28" s="1"/>
  <c r="J192" i="28"/>
  <c r="N192" i="28" s="1"/>
  <c r="J124" i="28"/>
  <c r="N124" i="28" s="1"/>
  <c r="J125" i="28"/>
  <c r="N125" i="28" s="1"/>
  <c r="J183" i="28"/>
  <c r="N183" i="28" s="1"/>
  <c r="J86" i="28"/>
  <c r="N86" i="28" s="1"/>
  <c r="J157" i="28"/>
  <c r="N157" i="28" s="1"/>
  <c r="J81" i="28"/>
  <c r="N81" i="28" s="1"/>
  <c r="J55" i="28"/>
  <c r="N55" i="28" s="1"/>
  <c r="J43" i="28"/>
  <c r="N43" i="28" s="1"/>
  <c r="J140" i="28"/>
  <c r="N140" i="28" s="1"/>
  <c r="J133" i="28"/>
  <c r="N133" i="28" s="1"/>
  <c r="J30" i="28"/>
  <c r="N30" i="28" s="1"/>
  <c r="J126" i="28"/>
  <c r="N126" i="28" s="1"/>
  <c r="J142" i="28"/>
  <c r="N142" i="28" s="1"/>
  <c r="J10" i="28"/>
  <c r="N10" i="28" s="1"/>
  <c r="J38" i="28"/>
  <c r="N38" i="28" s="1"/>
  <c r="J34" i="28"/>
  <c r="N34" i="28" s="1"/>
  <c r="J6" i="28"/>
  <c r="N6" i="28" s="1"/>
  <c r="J37" i="28"/>
  <c r="N37" i="28" s="1"/>
  <c r="J40" i="28"/>
  <c r="N40" i="28" s="1"/>
  <c r="J36" i="28"/>
  <c r="N36" i="28" s="1"/>
  <c r="J138" i="28"/>
  <c r="N138" i="28" s="1"/>
  <c r="J195" i="28"/>
  <c r="N195" i="28" s="1"/>
  <c r="J145" i="28"/>
  <c r="N145" i="28" s="1"/>
  <c r="J68" i="28"/>
  <c r="N68" i="28" s="1"/>
  <c r="J201" i="28"/>
  <c r="N201" i="28" s="1"/>
  <c r="J101" i="28"/>
  <c r="N101" i="28" s="1"/>
  <c r="J61" i="28"/>
  <c r="N61" i="28" s="1"/>
  <c r="J59" i="28"/>
  <c r="N59" i="28" s="1"/>
  <c r="J161" i="28"/>
  <c r="N161" i="28" s="1"/>
  <c r="J58" i="28"/>
  <c r="N58" i="28" s="1"/>
  <c r="J16" i="28"/>
  <c r="N16" i="28" s="1"/>
  <c r="J194" i="28"/>
  <c r="N194" i="28" s="1"/>
  <c r="J182" i="28"/>
  <c r="N182" i="28" s="1"/>
  <c r="J141" i="28"/>
  <c r="N141" i="28" s="1"/>
  <c r="J180" i="28"/>
  <c r="N180" i="28" s="1"/>
  <c r="J67" i="28"/>
  <c r="N67" i="28" s="1"/>
  <c r="J53" i="28"/>
  <c r="N53" i="28" s="1"/>
  <c r="J23" i="28"/>
  <c r="N23" i="28" s="1"/>
  <c r="J41" i="28"/>
  <c r="N41" i="28" s="1"/>
  <c r="J169" i="28"/>
  <c r="N169" i="28" s="1"/>
  <c r="J127" i="28"/>
  <c r="N127" i="28" s="1"/>
  <c r="J176" i="28"/>
  <c r="N176" i="28" s="1"/>
  <c r="J167" i="28"/>
  <c r="N167" i="28" s="1"/>
  <c r="J136" i="28"/>
  <c r="N136" i="28" s="1"/>
  <c r="J50" i="28"/>
  <c r="N50" i="28" s="1"/>
  <c r="J99" i="28"/>
  <c r="N99" i="28" s="1"/>
  <c r="J170" i="28"/>
  <c r="N170" i="28" s="1"/>
  <c r="J198" i="28"/>
  <c r="N198" i="28" s="1"/>
  <c r="J121" i="28"/>
  <c r="N121" i="28" s="1"/>
  <c r="J152" i="28"/>
  <c r="N152" i="28" s="1"/>
  <c r="J188" i="28"/>
  <c r="N188" i="28" s="1"/>
  <c r="J111" i="28"/>
  <c r="N111" i="28" s="1"/>
  <c r="J98" i="28"/>
  <c r="N98" i="28" s="1"/>
  <c r="J160" i="28"/>
  <c r="N160" i="28" s="1"/>
  <c r="J78" i="28"/>
  <c r="N78" i="28" s="1"/>
  <c r="J155" i="28"/>
  <c r="N155" i="28" s="1"/>
  <c r="J73" i="28"/>
  <c r="N73" i="28" s="1"/>
  <c r="J204" i="28"/>
  <c r="N204" i="28" s="1"/>
  <c r="J42" i="28"/>
  <c r="N42" i="28" s="1"/>
  <c r="J120" i="28"/>
  <c r="N120" i="28" s="1"/>
  <c r="J123" i="28"/>
  <c r="N123" i="28" s="1"/>
  <c r="J29" i="28"/>
  <c r="N29" i="28" s="1"/>
  <c r="J90" i="28"/>
  <c r="N90" i="28" s="1"/>
  <c r="J115" i="28"/>
  <c r="N115" i="28" s="1"/>
  <c r="J2" i="28"/>
  <c r="N2" i="28" s="1"/>
  <c r="J35" i="28"/>
  <c r="N35" i="28" s="1"/>
  <c r="J14" i="28"/>
  <c r="N14" i="28" s="1"/>
  <c r="J52" i="28"/>
  <c r="N52" i="28" s="1"/>
  <c r="J22" i="28"/>
  <c r="N22" i="28" s="1"/>
  <c r="J26" i="28"/>
  <c r="N26" i="28" s="1"/>
  <c r="J12" i="28"/>
  <c r="N12" i="28" s="1"/>
  <c r="J104" i="28"/>
  <c r="N104" i="28" s="1"/>
  <c r="J179" i="28"/>
  <c r="N179" i="28" s="1"/>
  <c r="J147" i="28"/>
  <c r="N147" i="28" s="1"/>
  <c r="J128" i="28"/>
  <c r="N128" i="28" s="1"/>
  <c r="J71" i="28"/>
  <c r="N71" i="28" s="1"/>
  <c r="J172" i="28"/>
  <c r="N172" i="28" s="1"/>
  <c r="J47" i="28"/>
  <c r="N47" i="28" s="1"/>
  <c r="J162" i="28"/>
  <c r="N162" i="28" s="1"/>
  <c r="J185" i="28"/>
  <c r="N185" i="28" s="1"/>
  <c r="J117" i="28"/>
  <c r="N117" i="28" s="1"/>
  <c r="J148" i="28"/>
  <c r="N148" i="28" s="1"/>
  <c r="J175" i="28"/>
  <c r="N175" i="28" s="1"/>
  <c r="J106" i="28"/>
  <c r="N106" i="28" s="1"/>
  <c r="J92" i="28"/>
  <c r="N92" i="28" s="1"/>
  <c r="J139" i="28"/>
  <c r="N139" i="28" s="1"/>
  <c r="J70" i="28"/>
  <c r="N70" i="28" s="1"/>
  <c r="J153" i="28"/>
  <c r="N153" i="28" s="1"/>
  <c r="J65" i="28"/>
  <c r="N65" i="28" s="1"/>
  <c r="J184" i="28"/>
  <c r="N184" i="28" s="1"/>
  <c r="J19" i="28"/>
  <c r="N19" i="28" s="1"/>
  <c r="J110" i="28"/>
  <c r="N110" i="28" s="1"/>
  <c r="J113" i="28"/>
  <c r="N113" i="28" s="1"/>
  <c r="J28" i="28"/>
  <c r="N28" i="28" s="1"/>
  <c r="J79" i="28"/>
  <c r="N79" i="28" s="1"/>
  <c r="J75" i="28"/>
  <c r="N75" i="28" s="1"/>
  <c r="J189" i="28"/>
  <c r="N189" i="28" s="1"/>
  <c r="J24" i="28"/>
  <c r="N24" i="28" s="1"/>
  <c r="J4" i="28"/>
  <c r="N4" i="28" s="1"/>
  <c r="J27" i="28"/>
  <c r="N27" i="28" s="1"/>
  <c r="J54" i="28"/>
  <c r="N54" i="28" s="1"/>
  <c r="J8" i="28"/>
  <c r="N8" i="28" s="1"/>
  <c r="J149" i="28"/>
  <c r="N149" i="28" s="1"/>
  <c r="J197" i="28"/>
  <c r="N197" i="28" s="1"/>
  <c r="J151" i="28"/>
  <c r="N151" i="28" s="1"/>
  <c r="J60" i="28"/>
  <c r="N60" i="28" s="1"/>
  <c r="J82" i="28"/>
  <c r="N82" i="28" s="1"/>
  <c r="J163" i="28"/>
  <c r="N163" i="28" s="1"/>
  <c r="J46" i="28"/>
  <c r="N46" i="28" s="1"/>
  <c r="J69" i="28"/>
  <c r="N69" i="28" s="1"/>
  <c r="J44" i="28"/>
  <c r="N44" i="28" s="1"/>
  <c r="J122" i="28"/>
  <c r="N122" i="28" s="1"/>
  <c r="J93" i="28"/>
  <c r="N93" i="28" s="1"/>
  <c r="J143" i="28"/>
  <c r="N143" i="28" s="1"/>
  <c r="J56" i="28"/>
  <c r="N56" i="28" s="1"/>
  <c r="J39" i="28"/>
  <c r="J154" i="28"/>
  <c r="N154" i="28" s="1"/>
  <c r="J181" i="28"/>
  <c r="N181" i="28" s="1"/>
  <c r="J100" i="28"/>
  <c r="N100" i="28" s="1"/>
  <c r="J135" i="28"/>
  <c r="N135" i="28" s="1"/>
  <c r="J171" i="28"/>
  <c r="N171" i="28" s="1"/>
  <c r="J97" i="28"/>
  <c r="N97" i="28" s="1"/>
  <c r="J84" i="28"/>
  <c r="N84" i="28" s="1"/>
  <c r="J137" i="28"/>
  <c r="N137" i="28" s="1"/>
  <c r="J62" i="28"/>
  <c r="N62" i="28" s="1"/>
  <c r="J132" i="28"/>
  <c r="N132" i="28" s="1"/>
  <c r="J108" i="28"/>
  <c r="N108" i="28" s="1"/>
  <c r="J174" i="28"/>
  <c r="N174" i="28" s="1"/>
  <c r="J13" i="28"/>
  <c r="N13" i="28" s="1"/>
  <c r="J85" i="28"/>
  <c r="N85" i="28" s="1"/>
  <c r="J83" i="28"/>
  <c r="N83" i="28" s="1"/>
  <c r="J21" i="28"/>
  <c r="N21" i="28" s="1"/>
  <c r="J193" i="28"/>
  <c r="N193" i="28" s="1"/>
  <c r="J64" i="28"/>
  <c r="N64" i="28" s="1"/>
  <c r="J31" i="28"/>
  <c r="N31" i="28" s="1"/>
  <c r="J159" i="28"/>
  <c r="N159" i="28" s="1"/>
  <c r="J91" i="28"/>
  <c r="N91" i="28" s="1"/>
  <c r="J20" i="28"/>
  <c r="N20" i="28" s="1"/>
  <c r="J49" i="28"/>
  <c r="N49" i="28" s="1"/>
  <c r="J191" i="28"/>
  <c r="N191" i="28" s="1"/>
  <c r="J96" i="28"/>
  <c r="N96" i="28" s="1"/>
  <c r="J202" i="28"/>
  <c r="N202" i="28" s="1"/>
  <c r="J164" i="28"/>
  <c r="N164" i="28" s="1"/>
  <c r="J118" i="28"/>
  <c r="N118" i="28" s="1"/>
  <c r="J173" i="28"/>
  <c r="N173" i="28" s="1"/>
  <c r="J112" i="28"/>
  <c r="N112" i="28" s="1"/>
  <c r="J107" i="28"/>
  <c r="N107" i="28" s="1"/>
  <c r="J87" i="28"/>
  <c r="N87" i="28" s="1"/>
  <c r="J190" i="28"/>
  <c r="N190" i="28" s="1"/>
  <c r="J7" i="28"/>
  <c r="N7" i="28" s="1"/>
  <c r="J33" i="28"/>
  <c r="N33" i="28" s="1"/>
  <c r="J74" i="28"/>
  <c r="N74" i="28" s="1"/>
  <c r="J129" i="28"/>
  <c r="N129" i="28" s="1"/>
  <c r="J18" i="28"/>
  <c r="N18" i="28" s="1"/>
  <c r="J130" i="28"/>
  <c r="N130" i="28" s="1"/>
  <c r="J102" i="28"/>
  <c r="N102" i="28" s="1"/>
  <c r="J150" i="28"/>
  <c r="N150" i="28" s="1"/>
  <c r="J95" i="28"/>
  <c r="N95" i="28" s="1"/>
  <c r="J177" i="28"/>
  <c r="N177" i="28" s="1"/>
  <c r="J156" i="28"/>
  <c r="N156" i="28" s="1"/>
  <c r="J80" i="28"/>
  <c r="N80" i="28" s="1"/>
  <c r="J63" i="28"/>
  <c r="N63" i="28" s="1"/>
  <c r="J186" i="28"/>
  <c r="N186" i="28" s="1"/>
  <c r="J94" i="28"/>
  <c r="N94" i="28" s="1"/>
  <c r="J187" i="28"/>
  <c r="N187" i="28" s="1"/>
  <c r="J89" i="28"/>
  <c r="N89" i="28" s="1"/>
  <c r="J45" i="28"/>
  <c r="N45" i="28" s="1"/>
  <c r="J17" i="28"/>
  <c r="N17" i="28" s="1"/>
  <c r="J9" i="28"/>
  <c r="N9" i="28" s="1"/>
  <c r="J146" i="28"/>
  <c r="N146" i="28" s="1"/>
  <c r="J168" i="28"/>
  <c r="N168" i="28" s="1"/>
  <c r="J199" i="28"/>
  <c r="N199" i="28" s="1"/>
  <c r="J131" i="28"/>
  <c r="N131" i="28" s="1"/>
  <c r="J158" i="28"/>
  <c r="N158" i="28" s="1"/>
  <c r="J196" i="28"/>
  <c r="N196" i="28" s="1"/>
  <c r="J76" i="28"/>
  <c r="N76" i="28" s="1"/>
  <c r="J116" i="28"/>
  <c r="N116" i="28" s="1"/>
  <c r="J203" i="28"/>
  <c r="N203" i="28" s="1"/>
  <c r="J109" i="28"/>
  <c r="N109" i="28" s="1"/>
  <c r="J105" i="28"/>
  <c r="N105" i="28" s="1"/>
  <c r="J144" i="28"/>
  <c r="N144" i="28" s="1"/>
  <c r="J5" i="28"/>
  <c r="N5" i="28" s="1"/>
  <c r="J200" i="28"/>
  <c r="N200" i="28" s="1"/>
  <c r="J72" i="28"/>
  <c r="N72" i="28" s="1"/>
  <c r="J15" i="28"/>
  <c r="N15" i="28" s="1"/>
  <c r="J166" i="28"/>
  <c r="N166" i="28" s="1"/>
  <c r="J48" i="28"/>
  <c r="N48" i="28" s="1"/>
  <c r="J25" i="28"/>
  <c r="N25" i="28" s="1"/>
  <c r="J119" i="28"/>
  <c r="N119" i="28" s="1"/>
  <c r="J77" i="28"/>
  <c r="N77" i="28" s="1"/>
  <c r="J3" i="28"/>
  <c r="N3" i="28" s="1"/>
  <c r="J32" i="28"/>
  <c r="N32" i="28" s="1"/>
  <c r="J66" i="28"/>
  <c r="N66" i="28" s="1"/>
  <c r="J88" i="28"/>
  <c r="N88" i="28" s="1"/>
  <c r="J57" i="28"/>
  <c r="N57" i="28" s="1"/>
  <c r="J11" i="28"/>
  <c r="N11" i="28" s="1"/>
  <c r="J51" i="28"/>
  <c r="N51" i="28" s="1"/>
  <c r="I5" i="28"/>
  <c r="I8" i="28" s="1"/>
  <c r="J23" i="17"/>
  <c r="N23" i="17" s="1"/>
  <c r="J175" i="17"/>
  <c r="N175" i="17" s="1"/>
  <c r="J20" i="17"/>
  <c r="N20" i="17" s="1"/>
  <c r="J77" i="17"/>
  <c r="N77" i="17" s="1"/>
  <c r="J30" i="17"/>
  <c r="N30" i="17" s="1"/>
  <c r="J109" i="17"/>
  <c r="N109" i="17" s="1"/>
  <c r="J173" i="17"/>
  <c r="N173" i="17" s="1"/>
  <c r="J163" i="17"/>
  <c r="N163" i="17" s="1"/>
  <c r="J166" i="17"/>
  <c r="N166" i="17" s="1"/>
  <c r="J11" i="17"/>
  <c r="N11" i="17" s="1"/>
  <c r="J115" i="17"/>
  <c r="N115" i="17" s="1"/>
  <c r="J60" i="17"/>
  <c r="N60" i="17" s="1"/>
  <c r="J114" i="17"/>
  <c r="N114" i="17" s="1"/>
  <c r="J123" i="17"/>
  <c r="N123" i="17" s="1"/>
  <c r="J135" i="17"/>
  <c r="N135" i="17" s="1"/>
  <c r="J124" i="17"/>
  <c r="N124" i="17" s="1"/>
  <c r="J187" i="17"/>
  <c r="N187" i="17" s="1"/>
  <c r="J182" i="17"/>
  <c r="N182" i="17" s="1"/>
  <c r="J96" i="17"/>
  <c r="N96" i="17" s="1"/>
  <c r="J54" i="17"/>
  <c r="N54" i="17" s="1"/>
  <c r="J201" i="17"/>
  <c r="N201" i="17" s="1"/>
  <c r="J21" i="17"/>
  <c r="N21" i="17" s="1"/>
  <c r="J127" i="17"/>
  <c r="N127" i="17" s="1"/>
  <c r="J136" i="17"/>
  <c r="N136" i="17" s="1"/>
  <c r="J200" i="17"/>
  <c r="N200" i="17" s="1"/>
  <c r="J141" i="17"/>
  <c r="N141" i="17" s="1"/>
  <c r="J195" i="17"/>
  <c r="N195" i="17" s="1"/>
  <c r="J198" i="17"/>
  <c r="N198" i="17" s="1"/>
  <c r="J32" i="17"/>
  <c r="N32" i="17" s="1"/>
  <c r="J47" i="17"/>
  <c r="N47" i="17" s="1"/>
  <c r="J63" i="17"/>
  <c r="N63" i="17" s="1"/>
  <c r="J72" i="17"/>
  <c r="N72" i="17" s="1"/>
  <c r="J27" i="17"/>
  <c r="N27" i="17" s="1"/>
  <c r="J92" i="17"/>
  <c r="N92" i="17" s="1"/>
  <c r="J147" i="17"/>
  <c r="N147" i="17" s="1"/>
  <c r="J13" i="17"/>
  <c r="N13" i="17" s="1"/>
  <c r="J167" i="17"/>
  <c r="N167" i="17" s="1"/>
  <c r="J31" i="17"/>
  <c r="N31" i="17" s="1"/>
  <c r="J85" i="17"/>
  <c r="N85" i="17" s="1"/>
  <c r="J37" i="17"/>
  <c r="N37" i="17" s="1"/>
  <c r="J197" i="17"/>
  <c r="N197" i="17" s="1"/>
  <c r="J183" i="17"/>
  <c r="N183" i="17" s="1"/>
  <c r="J153" i="17"/>
  <c r="N153" i="17" s="1"/>
  <c r="J93" i="17"/>
  <c r="N93" i="17" s="1"/>
  <c r="J129" i="17"/>
  <c r="N129" i="17" s="1"/>
  <c r="J69" i="17"/>
  <c r="N69" i="17" s="1"/>
  <c r="J24" i="17"/>
  <c r="N24" i="17" s="1"/>
  <c r="J2" i="17"/>
  <c r="N2" i="17" s="1"/>
  <c r="J83" i="17"/>
  <c r="N83" i="17" s="1"/>
  <c r="J184" i="17"/>
  <c r="N184" i="17" s="1"/>
  <c r="J107" i="17"/>
  <c r="N107" i="17" s="1"/>
  <c r="J50" i="17"/>
  <c r="N50" i="17" s="1"/>
  <c r="J99" i="17"/>
  <c r="N99" i="17" s="1"/>
  <c r="J189" i="17"/>
  <c r="N189" i="17" s="1"/>
  <c r="J169" i="17"/>
  <c r="N169" i="17" s="1"/>
  <c r="J158" i="17"/>
  <c r="N158" i="17" s="1"/>
  <c r="J14" i="17"/>
  <c r="N14" i="17" s="1"/>
  <c r="J29" i="17"/>
  <c r="N29" i="17" s="1"/>
  <c r="J204" i="17"/>
  <c r="N204" i="17" s="1"/>
  <c r="J34" i="17"/>
  <c r="N34" i="17" s="1"/>
  <c r="J52" i="17"/>
  <c r="N52" i="17" s="1"/>
  <c r="J42" i="17"/>
  <c r="N42" i="17" s="1"/>
  <c r="J22" i="17"/>
  <c r="N22" i="17" s="1"/>
  <c r="J33" i="17"/>
  <c r="N33" i="17" s="1"/>
  <c r="J133" i="17"/>
  <c r="N133" i="17" s="1"/>
  <c r="J58" i="17"/>
  <c r="N58" i="17" s="1"/>
  <c r="J121" i="17"/>
  <c r="N121" i="17" s="1"/>
  <c r="J188" i="17"/>
  <c r="N188" i="17" s="1"/>
  <c r="J193" i="17"/>
  <c r="N193" i="17" s="1"/>
  <c r="J142" i="17"/>
  <c r="N142" i="17" s="1"/>
  <c r="J15" i="17"/>
  <c r="N15" i="17" s="1"/>
  <c r="J8" i="17"/>
  <c r="N8" i="17" s="1"/>
  <c r="J111" i="17"/>
  <c r="N111" i="17" s="1"/>
  <c r="J86" i="17"/>
  <c r="N86" i="17" s="1"/>
  <c r="J40" i="17"/>
  <c r="N40" i="17" s="1"/>
  <c r="J59" i="17"/>
  <c r="N59" i="17" s="1"/>
  <c r="J75" i="17"/>
  <c r="N75" i="17" s="1"/>
  <c r="J113" i="17"/>
  <c r="N113" i="17" s="1"/>
  <c r="J73" i="17"/>
  <c r="N73" i="17" s="1"/>
  <c r="J159" i="17"/>
  <c r="N159" i="17" s="1"/>
  <c r="J154" i="17"/>
  <c r="N154" i="17" s="1"/>
  <c r="J118" i="17"/>
  <c r="N118" i="17" s="1"/>
  <c r="J10" i="17"/>
  <c r="N10" i="17" s="1"/>
  <c r="J3" i="17"/>
  <c r="N3" i="17" s="1"/>
  <c r="J35" i="17"/>
  <c r="N35" i="17" s="1"/>
  <c r="J152" i="17"/>
  <c r="N152" i="17" s="1"/>
  <c r="J119" i="17"/>
  <c r="N119" i="17" s="1"/>
  <c r="J53" i="17"/>
  <c r="N53" i="17" s="1"/>
  <c r="J71" i="17"/>
  <c r="N71" i="17" s="1"/>
  <c r="J87" i="17"/>
  <c r="N87" i="17" s="1"/>
  <c r="J130" i="17"/>
  <c r="N130" i="17" s="1"/>
  <c r="J89" i="17"/>
  <c r="N89" i="17" s="1"/>
  <c r="J156" i="17"/>
  <c r="N156" i="17" s="1"/>
  <c r="J170" i="17"/>
  <c r="N170" i="17" s="1"/>
  <c r="J134" i="17"/>
  <c r="N134" i="17" s="1"/>
  <c r="I19" i="17"/>
  <c r="J146" i="17"/>
  <c r="N146" i="17" s="1"/>
  <c r="J191" i="17"/>
  <c r="N191" i="17" s="1"/>
  <c r="J120" i="17"/>
  <c r="N120" i="17" s="1"/>
  <c r="J180" i="17"/>
  <c r="N180" i="17" s="1"/>
  <c r="J194" i="17"/>
  <c r="N194" i="17" s="1"/>
  <c r="J49" i="17"/>
  <c r="N49" i="17" s="1"/>
  <c r="J44" i="17"/>
  <c r="N44" i="17" s="1"/>
  <c r="J17" i="17"/>
  <c r="N17" i="17" s="1"/>
  <c r="J65" i="17"/>
  <c r="N65" i="17" s="1"/>
  <c r="J74" i="17"/>
  <c r="N74" i="17" s="1"/>
  <c r="J76" i="17"/>
  <c r="N76" i="17" s="1"/>
  <c r="J6" i="17"/>
  <c r="N6" i="17" s="1"/>
  <c r="J55" i="17"/>
  <c r="N55" i="17" s="1"/>
  <c r="J143" i="17"/>
  <c r="N143" i="17" s="1"/>
  <c r="J94" i="17"/>
  <c r="N94" i="17" s="1"/>
  <c r="J68" i="17"/>
  <c r="N68" i="17" s="1"/>
  <c r="J28" i="17"/>
  <c r="N28" i="17" s="1"/>
  <c r="J95" i="17"/>
  <c r="N95" i="17" s="1"/>
  <c r="J43" i="17"/>
  <c r="N43" i="17" s="1"/>
  <c r="J131" i="17"/>
  <c r="N131" i="17" s="1"/>
  <c r="J157" i="17"/>
  <c r="N157" i="17" s="1"/>
  <c r="J176" i="17"/>
  <c r="N176" i="17" s="1"/>
  <c r="J138" i="17"/>
  <c r="N138" i="17" s="1"/>
  <c r="J106" i="17"/>
  <c r="N106" i="17" s="1"/>
  <c r="J168" i="17"/>
  <c r="N168" i="17" s="1"/>
  <c r="J172" i="17"/>
  <c r="N172" i="17" s="1"/>
  <c r="J179" i="17"/>
  <c r="N179" i="17" s="1"/>
  <c r="J186" i="17"/>
  <c r="N186" i="17" s="1"/>
  <c r="J185" i="17"/>
  <c r="N185" i="17" s="1"/>
  <c r="J150" i="17"/>
  <c r="N150" i="17" s="1"/>
  <c r="J116" i="17"/>
  <c r="N116" i="17" s="1"/>
  <c r="J12" i="17"/>
  <c r="N12" i="17" s="1"/>
  <c r="J64" i="17"/>
  <c r="N64" i="17" s="1"/>
  <c r="J5" i="17"/>
  <c r="N5" i="17" s="1"/>
  <c r="J41" i="17"/>
  <c r="N41" i="17" s="1"/>
  <c r="J105" i="17"/>
  <c r="N105" i="17" s="1"/>
  <c r="J57" i="17"/>
  <c r="N57" i="17" s="1"/>
  <c r="J82" i="17"/>
  <c r="N82" i="17" s="1"/>
  <c r="J46" i="17"/>
  <c r="N46" i="17" s="1"/>
  <c r="J160" i="17"/>
  <c r="N160" i="17" s="1"/>
  <c r="J90" i="17"/>
  <c r="N90" i="17" s="1"/>
  <c r="J51" i="17"/>
  <c r="N51" i="17" s="1"/>
  <c r="J26" i="17"/>
  <c r="N26" i="17" s="1"/>
  <c r="J66" i="17"/>
  <c r="N66" i="17" s="1"/>
  <c r="J101" i="17"/>
  <c r="N101" i="17" s="1"/>
  <c r="J100" i="17"/>
  <c r="N100" i="17" s="1"/>
  <c r="J91" i="17"/>
  <c r="N91" i="17" s="1"/>
  <c r="J192" i="17"/>
  <c r="N192" i="17" s="1"/>
  <c r="J137" i="17"/>
  <c r="N137" i="17" s="1"/>
  <c r="J149" i="17"/>
  <c r="N149" i="17" s="1"/>
  <c r="J196" i="17"/>
  <c r="N196" i="17" s="1"/>
  <c r="J203" i="17"/>
  <c r="N203" i="17" s="1"/>
  <c r="J145" i="17"/>
  <c r="N145" i="17" s="1"/>
  <c r="J110" i="17"/>
  <c r="N110" i="17" s="1"/>
  <c r="J174" i="17"/>
  <c r="N174" i="17" s="1"/>
  <c r="J4" i="17"/>
  <c r="N4" i="17" s="1"/>
  <c r="J18" i="17"/>
  <c r="N18" i="17" s="1"/>
  <c r="J70" i="17"/>
  <c r="N70" i="17" s="1"/>
  <c r="J19" i="17"/>
  <c r="N19" i="17" s="1"/>
  <c r="J16" i="17"/>
  <c r="N16" i="17" s="1"/>
  <c r="J56" i="17"/>
  <c r="N56" i="17" s="1"/>
  <c r="J132" i="17"/>
  <c r="N132" i="17" s="1"/>
  <c r="J80" i="17"/>
  <c r="N80" i="17" s="1"/>
  <c r="J104" i="17"/>
  <c r="N104" i="17" s="1"/>
  <c r="J62" i="17"/>
  <c r="N62" i="17" s="1"/>
  <c r="J45" i="17"/>
  <c r="N45" i="17" s="1"/>
  <c r="J112" i="17"/>
  <c r="N112" i="17" s="1"/>
  <c r="J67" i="17"/>
  <c r="N67" i="17" s="1"/>
  <c r="J36" i="17"/>
  <c r="N36" i="17" s="1"/>
  <c r="J79" i="17"/>
  <c r="N79" i="17" s="1"/>
  <c r="J122" i="17"/>
  <c r="N122" i="17" s="1"/>
  <c r="J117" i="17"/>
  <c r="N117" i="17" s="1"/>
  <c r="J108" i="17"/>
  <c r="N108" i="17" s="1"/>
  <c r="J81" i="17"/>
  <c r="N81" i="17" s="1"/>
  <c r="J144" i="17"/>
  <c r="N144" i="17" s="1"/>
  <c r="J165" i="17"/>
  <c r="N165" i="17" s="1"/>
  <c r="J155" i="17"/>
  <c r="N155" i="17" s="1"/>
  <c r="J162" i="17"/>
  <c r="N162" i="17" s="1"/>
  <c r="J161" i="17"/>
  <c r="N161" i="17" s="1"/>
  <c r="J126" i="17"/>
  <c r="N126" i="17" s="1"/>
  <c r="J190" i="17"/>
  <c r="N190" i="17" s="1"/>
  <c r="J25" i="17"/>
  <c r="N25" i="17" s="1"/>
  <c r="J7" i="17"/>
  <c r="N7" i="17" s="1"/>
  <c r="J9" i="17"/>
  <c r="N9" i="17" s="1"/>
  <c r="J78" i="17"/>
  <c r="N78" i="17" s="1"/>
  <c r="J48" i="17"/>
  <c r="N48" i="17" s="1"/>
  <c r="J39" i="17"/>
  <c r="J181" i="17"/>
  <c r="N181" i="17" s="1"/>
  <c r="J128" i="17"/>
  <c r="N128" i="17" s="1"/>
  <c r="J140" i="17"/>
  <c r="N140" i="17" s="1"/>
  <c r="J88" i="17"/>
  <c r="N88" i="17" s="1"/>
  <c r="J61" i="17"/>
  <c r="N61" i="17" s="1"/>
  <c r="J199" i="17"/>
  <c r="N199" i="17" s="1"/>
  <c r="J84" i="17"/>
  <c r="N84" i="17" s="1"/>
  <c r="J38" i="17"/>
  <c r="N38" i="17" s="1"/>
  <c r="J102" i="17"/>
  <c r="N102" i="17" s="1"/>
  <c r="J139" i="17"/>
  <c r="N139" i="17" s="1"/>
  <c r="J148" i="17"/>
  <c r="N148" i="17" s="1"/>
  <c r="J125" i="17"/>
  <c r="N125" i="17" s="1"/>
  <c r="J97" i="17"/>
  <c r="N97" i="17" s="1"/>
  <c r="J151" i="17"/>
  <c r="N151" i="17" s="1"/>
  <c r="J164" i="17"/>
  <c r="N164" i="17" s="1"/>
  <c r="J171" i="17"/>
  <c r="N171" i="17" s="1"/>
  <c r="J178" i="17"/>
  <c r="N178" i="17" s="1"/>
  <c r="J177" i="17"/>
  <c r="N177" i="17" s="1"/>
  <c r="E44" i="14"/>
  <c r="G44" i="14"/>
  <c r="C2" i="14"/>
  <c r="I13" i="17"/>
  <c r="I14" i="17" s="1"/>
  <c r="K159" i="17" s="1"/>
  <c r="O159" i="17" s="1"/>
  <c r="I17" i="17"/>
  <c r="I15" i="17"/>
  <c r="I13" i="16"/>
  <c r="I14" i="16" s="1"/>
  <c r="K187" i="16" s="1"/>
  <c r="O187" i="16" s="1"/>
  <c r="I17" i="16"/>
  <c r="L161" i="16" s="1"/>
  <c r="I15" i="16"/>
  <c r="N39" i="16"/>
  <c r="I43" i="16"/>
  <c r="I20" i="13"/>
  <c r="I19" i="13"/>
  <c r="I5" i="13"/>
  <c r="I8" i="13" s="1"/>
  <c r="I9" i="13"/>
  <c r="J199" i="13"/>
  <c r="N199" i="13" s="1"/>
  <c r="J200" i="13"/>
  <c r="N200" i="13" s="1"/>
  <c r="J192" i="13"/>
  <c r="N192" i="13" s="1"/>
  <c r="J184" i="13"/>
  <c r="N184" i="13" s="1"/>
  <c r="J176" i="13"/>
  <c r="N176" i="13" s="1"/>
  <c r="J168" i="13"/>
  <c r="N168" i="13" s="1"/>
  <c r="J160" i="13"/>
  <c r="N160" i="13" s="1"/>
  <c r="J152" i="13"/>
  <c r="N152" i="13" s="1"/>
  <c r="J144" i="13"/>
  <c r="N144" i="13" s="1"/>
  <c r="J201" i="13"/>
  <c r="N201" i="13" s="1"/>
  <c r="J193" i="13"/>
  <c r="N193" i="13" s="1"/>
  <c r="J202" i="13"/>
  <c r="N202" i="13" s="1"/>
  <c r="J194" i="13"/>
  <c r="N194" i="13" s="1"/>
  <c r="J186" i="13"/>
  <c r="N186" i="13" s="1"/>
  <c r="J178" i="13"/>
  <c r="N178" i="13" s="1"/>
  <c r="J170" i="13"/>
  <c r="N170" i="13" s="1"/>
  <c r="J162" i="13"/>
  <c r="N162" i="13" s="1"/>
  <c r="J154" i="13"/>
  <c r="N154" i="13" s="1"/>
  <c r="J203" i="13"/>
  <c r="N203" i="13" s="1"/>
  <c r="J195" i="13"/>
  <c r="N195" i="13" s="1"/>
  <c r="J187" i="13"/>
  <c r="N187" i="13" s="1"/>
  <c r="J179" i="13"/>
  <c r="N179" i="13" s="1"/>
  <c r="J171" i="13"/>
  <c r="N171" i="13" s="1"/>
  <c r="J163" i="13"/>
  <c r="N163" i="13" s="1"/>
  <c r="J155" i="13"/>
  <c r="N155" i="13" s="1"/>
  <c r="J147" i="13"/>
  <c r="N147" i="13" s="1"/>
  <c r="J204" i="13"/>
  <c r="N204" i="13" s="1"/>
  <c r="J196" i="13"/>
  <c r="N196" i="13" s="1"/>
  <c r="J188" i="13"/>
  <c r="N188" i="13" s="1"/>
  <c r="J180" i="13"/>
  <c r="N180" i="13" s="1"/>
  <c r="J183" i="13"/>
  <c r="N183" i="13" s="1"/>
  <c r="J174" i="13"/>
  <c r="N174" i="13" s="1"/>
  <c r="J172" i="13"/>
  <c r="N172" i="13" s="1"/>
  <c r="J185" i="13"/>
  <c r="N185" i="13" s="1"/>
  <c r="J161" i="13"/>
  <c r="N161" i="13" s="1"/>
  <c r="J150" i="13"/>
  <c r="N150" i="13" s="1"/>
  <c r="J148" i="13"/>
  <c r="N148" i="13" s="1"/>
  <c r="J145" i="13"/>
  <c r="N145" i="13" s="1"/>
  <c r="J139" i="13"/>
  <c r="N139" i="13" s="1"/>
  <c r="J131" i="13"/>
  <c r="N131" i="13" s="1"/>
  <c r="J123" i="13"/>
  <c r="N123" i="13" s="1"/>
  <c r="J115" i="13"/>
  <c r="N115" i="13" s="1"/>
  <c r="J107" i="13"/>
  <c r="N107" i="13" s="1"/>
  <c r="J98" i="13"/>
  <c r="N98" i="13" s="1"/>
  <c r="J90" i="13"/>
  <c r="N90" i="13" s="1"/>
  <c r="J82" i="13"/>
  <c r="N82" i="13" s="1"/>
  <c r="J74" i="13"/>
  <c r="N74" i="13" s="1"/>
  <c r="J66" i="13"/>
  <c r="N66" i="13" s="1"/>
  <c r="J189" i="13"/>
  <c r="N189" i="13" s="1"/>
  <c r="J159" i="13"/>
  <c r="N159" i="13" s="1"/>
  <c r="J157" i="13"/>
  <c r="N157" i="13" s="1"/>
  <c r="J140" i="13"/>
  <c r="N140" i="13" s="1"/>
  <c r="J132" i="13"/>
  <c r="N132" i="13" s="1"/>
  <c r="J124" i="13"/>
  <c r="N124" i="13" s="1"/>
  <c r="J116" i="13"/>
  <c r="N116" i="13" s="1"/>
  <c r="J108" i="13"/>
  <c r="N108" i="13" s="1"/>
  <c r="J99" i="13"/>
  <c r="N99" i="13" s="1"/>
  <c r="J91" i="13"/>
  <c r="N91" i="13" s="1"/>
  <c r="J83" i="13"/>
  <c r="N83" i="13" s="1"/>
  <c r="J75" i="13"/>
  <c r="N75" i="13" s="1"/>
  <c r="J67" i="13"/>
  <c r="N67" i="13" s="1"/>
  <c r="J182" i="13"/>
  <c r="N182" i="13" s="1"/>
  <c r="J166" i="13"/>
  <c r="N166" i="13" s="1"/>
  <c r="J164" i="13"/>
  <c r="N164" i="13" s="1"/>
  <c r="J146" i="13"/>
  <c r="N146" i="13" s="1"/>
  <c r="J141" i="13"/>
  <c r="N141" i="13" s="1"/>
  <c r="J133" i="13"/>
  <c r="N133" i="13" s="1"/>
  <c r="J125" i="13"/>
  <c r="N125" i="13" s="1"/>
  <c r="J117" i="13"/>
  <c r="N117" i="13" s="1"/>
  <c r="J109" i="13"/>
  <c r="N109" i="13" s="1"/>
  <c r="J100" i="13"/>
  <c r="N100" i="13" s="1"/>
  <c r="J92" i="13"/>
  <c r="N92" i="13" s="1"/>
  <c r="J191" i="13"/>
  <c r="N191" i="13" s="1"/>
  <c r="J175" i="13"/>
  <c r="N175" i="13" s="1"/>
  <c r="J173" i="13"/>
  <c r="N173" i="13" s="1"/>
  <c r="J153" i="13"/>
  <c r="N153" i="13" s="1"/>
  <c r="J142" i="13"/>
  <c r="N142" i="13" s="1"/>
  <c r="J134" i="13"/>
  <c r="N134" i="13" s="1"/>
  <c r="J126" i="13"/>
  <c r="N126" i="13" s="1"/>
  <c r="J118" i="13"/>
  <c r="N118" i="13" s="1"/>
  <c r="J110" i="13"/>
  <c r="N110" i="13" s="1"/>
  <c r="J101" i="13"/>
  <c r="N101" i="13" s="1"/>
  <c r="J93" i="13"/>
  <c r="N93" i="13" s="1"/>
  <c r="J85" i="13"/>
  <c r="N85" i="13" s="1"/>
  <c r="J77" i="13"/>
  <c r="N77" i="13" s="1"/>
  <c r="J198" i="13"/>
  <c r="N198" i="13" s="1"/>
  <c r="J177" i="13"/>
  <c r="N177" i="13" s="1"/>
  <c r="J151" i="13"/>
  <c r="N151" i="13" s="1"/>
  <c r="J149" i="13"/>
  <c r="N149" i="13" s="1"/>
  <c r="J135" i="13"/>
  <c r="N135" i="13" s="1"/>
  <c r="J127" i="13"/>
  <c r="N127" i="13" s="1"/>
  <c r="J119" i="13"/>
  <c r="N119" i="13" s="1"/>
  <c r="J111" i="13"/>
  <c r="N111" i="13" s="1"/>
  <c r="J102" i="13"/>
  <c r="N102" i="13" s="1"/>
  <c r="J94" i="13"/>
  <c r="N94" i="13" s="1"/>
  <c r="J197" i="13"/>
  <c r="N197" i="13" s="1"/>
  <c r="J181" i="13"/>
  <c r="N181" i="13" s="1"/>
  <c r="J169" i="13"/>
  <c r="N169" i="13" s="1"/>
  <c r="J158" i="13"/>
  <c r="N158" i="13" s="1"/>
  <c r="J156" i="13"/>
  <c r="N156" i="13" s="1"/>
  <c r="J143" i="13"/>
  <c r="N143" i="13" s="1"/>
  <c r="J136" i="13"/>
  <c r="N136" i="13" s="1"/>
  <c r="J128" i="13"/>
  <c r="N128" i="13" s="1"/>
  <c r="J120" i="13"/>
  <c r="N120" i="13" s="1"/>
  <c r="J112" i="13"/>
  <c r="N112" i="13" s="1"/>
  <c r="J104" i="13"/>
  <c r="N104" i="13" s="1"/>
  <c r="J95" i="13"/>
  <c r="N95" i="13" s="1"/>
  <c r="J87" i="13"/>
  <c r="N87" i="13" s="1"/>
  <c r="J79" i="13"/>
  <c r="N79" i="13" s="1"/>
  <c r="J130" i="13"/>
  <c r="N130" i="13" s="1"/>
  <c r="J97" i="13"/>
  <c r="N97" i="13" s="1"/>
  <c r="J52" i="13"/>
  <c r="N52" i="13" s="1"/>
  <c r="J44" i="13"/>
  <c r="N44" i="13" s="1"/>
  <c r="J39" i="13"/>
  <c r="J32" i="13"/>
  <c r="N32" i="13" s="1"/>
  <c r="J31" i="13"/>
  <c r="N31" i="13" s="1"/>
  <c r="J22" i="13"/>
  <c r="N22" i="13" s="1"/>
  <c r="J8" i="13"/>
  <c r="N8" i="13" s="1"/>
  <c r="J129" i="13"/>
  <c r="N129" i="13" s="1"/>
  <c r="J96" i="13"/>
  <c r="N96" i="13" s="1"/>
  <c r="J84" i="13"/>
  <c r="N84" i="13" s="1"/>
  <c r="J69" i="13"/>
  <c r="N69" i="13" s="1"/>
  <c r="J63" i="13"/>
  <c r="N63" i="13" s="1"/>
  <c r="J60" i="13"/>
  <c r="N60" i="13" s="1"/>
  <c r="J53" i="13"/>
  <c r="N53" i="13" s="1"/>
  <c r="J45" i="13"/>
  <c r="N45" i="13" s="1"/>
  <c r="J40" i="13"/>
  <c r="N40" i="13" s="1"/>
  <c r="J16" i="13"/>
  <c r="N16" i="13" s="1"/>
  <c r="J167" i="13"/>
  <c r="N167" i="13" s="1"/>
  <c r="J138" i="13"/>
  <c r="N138" i="13" s="1"/>
  <c r="J106" i="13"/>
  <c r="N106" i="13" s="1"/>
  <c r="J72" i="13"/>
  <c r="N72" i="13" s="1"/>
  <c r="J54" i="13"/>
  <c r="N54" i="13" s="1"/>
  <c r="J46" i="13"/>
  <c r="N46" i="13" s="1"/>
  <c r="J33" i="13"/>
  <c r="N33" i="13" s="1"/>
  <c r="J23" i="13"/>
  <c r="N23" i="13" s="1"/>
  <c r="J17" i="13"/>
  <c r="N17" i="13" s="1"/>
  <c r="J10" i="13"/>
  <c r="N10" i="13" s="1"/>
  <c r="J2" i="13"/>
  <c r="N2" i="13" s="1"/>
  <c r="J165" i="13"/>
  <c r="N165" i="13" s="1"/>
  <c r="J137" i="13"/>
  <c r="N137" i="13" s="1"/>
  <c r="J105" i="13"/>
  <c r="N105" i="13" s="1"/>
  <c r="J86" i="13"/>
  <c r="N86" i="13" s="1"/>
  <c r="J61" i="13"/>
  <c r="N61" i="13" s="1"/>
  <c r="J55" i="13"/>
  <c r="N55" i="13" s="1"/>
  <c r="J47" i="13"/>
  <c r="N47" i="13" s="1"/>
  <c r="J41" i="13"/>
  <c r="N41" i="13" s="1"/>
  <c r="J34" i="13"/>
  <c r="N34" i="13" s="1"/>
  <c r="J24" i="13"/>
  <c r="N24" i="13" s="1"/>
  <c r="J11" i="13"/>
  <c r="N11" i="13" s="1"/>
  <c r="J3" i="13"/>
  <c r="N3" i="13" s="1"/>
  <c r="J114" i="13"/>
  <c r="N114" i="13" s="1"/>
  <c r="J81" i="13"/>
  <c r="N81" i="13" s="1"/>
  <c r="J70" i="13"/>
  <c r="N70" i="13" s="1"/>
  <c r="J64" i="13"/>
  <c r="N64" i="13" s="1"/>
  <c r="J56" i="13"/>
  <c r="N56" i="13" s="1"/>
  <c r="J48" i="13"/>
  <c r="N48" i="13" s="1"/>
  <c r="J35" i="13"/>
  <c r="N35" i="13" s="1"/>
  <c r="J25" i="13"/>
  <c r="N25" i="13" s="1"/>
  <c r="J18" i="13"/>
  <c r="N18" i="13" s="1"/>
  <c r="J12" i="13"/>
  <c r="N12" i="13" s="1"/>
  <c r="J4" i="13"/>
  <c r="N4" i="13" s="1"/>
  <c r="J113" i="13"/>
  <c r="N113" i="13" s="1"/>
  <c r="J73" i="13"/>
  <c r="N73" i="13" s="1"/>
  <c r="J57" i="13"/>
  <c r="N57" i="13" s="1"/>
  <c r="J49" i="13"/>
  <c r="N49" i="13" s="1"/>
  <c r="J42" i="13"/>
  <c r="N42" i="13" s="1"/>
  <c r="J19" i="13"/>
  <c r="N19" i="13" s="1"/>
  <c r="J13" i="13"/>
  <c r="N13" i="13" s="1"/>
  <c r="J5" i="13"/>
  <c r="N5" i="13" s="1"/>
  <c r="J190" i="13"/>
  <c r="N190" i="13" s="1"/>
  <c r="J88" i="13"/>
  <c r="N88" i="13" s="1"/>
  <c r="J71" i="13"/>
  <c r="N71" i="13" s="1"/>
  <c r="J65" i="13"/>
  <c r="N65" i="13" s="1"/>
  <c r="J59" i="13"/>
  <c r="N59" i="13" s="1"/>
  <c r="J122" i="13"/>
  <c r="N122" i="13" s="1"/>
  <c r="J76" i="13"/>
  <c r="N76" i="13" s="1"/>
  <c r="J58" i="13"/>
  <c r="N58" i="13" s="1"/>
  <c r="J28" i="13"/>
  <c r="N28" i="13" s="1"/>
  <c r="J26" i="13"/>
  <c r="N26" i="13" s="1"/>
  <c r="J121" i="13"/>
  <c r="N121" i="13" s="1"/>
  <c r="J15" i="13"/>
  <c r="N15" i="13" s="1"/>
  <c r="J68" i="13"/>
  <c r="N68" i="13" s="1"/>
  <c r="J62" i="13"/>
  <c r="N62" i="13" s="1"/>
  <c r="J37" i="13"/>
  <c r="N37" i="13" s="1"/>
  <c r="J29" i="13"/>
  <c r="N29" i="13" s="1"/>
  <c r="J27" i="13"/>
  <c r="N27" i="13" s="1"/>
  <c r="J21" i="13"/>
  <c r="N21" i="13" s="1"/>
  <c r="J9" i="13"/>
  <c r="N9" i="13" s="1"/>
  <c r="J6" i="13"/>
  <c r="N6" i="13" s="1"/>
  <c r="J50" i="13"/>
  <c r="N50" i="13" s="1"/>
  <c r="J7" i="13"/>
  <c r="N7" i="13" s="1"/>
  <c r="J43" i="13"/>
  <c r="N43" i="13" s="1"/>
  <c r="J14" i="13"/>
  <c r="N14" i="13" s="1"/>
  <c r="J78" i="13"/>
  <c r="N78" i="13" s="1"/>
  <c r="J80" i="13"/>
  <c r="N80" i="13" s="1"/>
  <c r="J51" i="13"/>
  <c r="N51" i="13" s="1"/>
  <c r="J89" i="13"/>
  <c r="N89" i="13" s="1"/>
  <c r="J38" i="13"/>
  <c r="N38" i="13" s="1"/>
  <c r="J36" i="13"/>
  <c r="N36" i="13" s="1"/>
  <c r="J30" i="13"/>
  <c r="N30" i="13" s="1"/>
  <c r="J20" i="13"/>
  <c r="N20" i="13" s="1"/>
  <c r="I7" i="13"/>
  <c r="I10" i="13" s="1"/>
  <c r="I12" i="13"/>
  <c r="I11" i="13"/>
  <c r="I38" i="19" l="1"/>
  <c r="H38" i="19"/>
  <c r="H40" i="19" s="1"/>
  <c r="H34" i="19"/>
  <c r="H35" i="19"/>
  <c r="I37" i="19"/>
  <c r="N39" i="29"/>
  <c r="I43" i="29"/>
  <c r="I17" i="29"/>
  <c r="I22" i="29" s="1"/>
  <c r="L30" i="29"/>
  <c r="L175" i="29"/>
  <c r="I13" i="29"/>
  <c r="I14" i="29" s="1"/>
  <c r="I15" i="29"/>
  <c r="I13" i="28"/>
  <c r="I14" i="28" s="1"/>
  <c r="I15" i="28"/>
  <c r="I17" i="28"/>
  <c r="I22" i="28" s="1"/>
  <c r="I43" i="28"/>
  <c r="N39" i="28"/>
  <c r="I43" i="17"/>
  <c r="N39" i="17"/>
  <c r="L192" i="17"/>
  <c r="K49" i="17"/>
  <c r="O49" i="17" s="1"/>
  <c r="K13" i="17"/>
  <c r="O13" i="17" s="1"/>
  <c r="K19" i="16"/>
  <c r="O19" i="16" s="1"/>
  <c r="L106" i="16"/>
  <c r="M106" i="16" s="1"/>
  <c r="P106" i="16" s="1"/>
  <c r="L155" i="16"/>
  <c r="M155" i="16" s="1"/>
  <c r="P155" i="16" s="1"/>
  <c r="E2" i="14"/>
  <c r="I5" i="14" s="1"/>
  <c r="I3" i="14"/>
  <c r="I2" i="14"/>
  <c r="G2" i="14"/>
  <c r="I7" i="14" s="1"/>
  <c r="I24" i="14"/>
  <c r="I25" i="14"/>
  <c r="K45" i="17"/>
  <c r="O45" i="17" s="1"/>
  <c r="K7" i="17"/>
  <c r="O7" i="17" s="1"/>
  <c r="K52" i="17"/>
  <c r="O52" i="17" s="1"/>
  <c r="K29" i="17"/>
  <c r="O29" i="17" s="1"/>
  <c r="K161" i="17"/>
  <c r="O161" i="17" s="1"/>
  <c r="K196" i="16"/>
  <c r="O196" i="16" s="1"/>
  <c r="K107" i="17"/>
  <c r="O107" i="17" s="1"/>
  <c r="K16" i="17"/>
  <c r="O16" i="17" s="1"/>
  <c r="K83" i="17"/>
  <c r="O83" i="17" s="1"/>
  <c r="K51" i="17"/>
  <c r="O51" i="17" s="1"/>
  <c r="K177" i="17"/>
  <c r="O177" i="17" s="1"/>
  <c r="K12" i="17"/>
  <c r="O12" i="17" s="1"/>
  <c r="K96" i="17"/>
  <c r="O96" i="17" s="1"/>
  <c r="K136" i="17"/>
  <c r="O136" i="17" s="1"/>
  <c r="K173" i="17"/>
  <c r="O173" i="17" s="1"/>
  <c r="K196" i="17"/>
  <c r="O196" i="17" s="1"/>
  <c r="K169" i="17"/>
  <c r="O169" i="17" s="1"/>
  <c r="K86" i="17"/>
  <c r="O86" i="17" s="1"/>
  <c r="K101" i="17"/>
  <c r="O101" i="17" s="1"/>
  <c r="K155" i="17"/>
  <c r="O155" i="17" s="1"/>
  <c r="K73" i="17"/>
  <c r="O73" i="17" s="1"/>
  <c r="K50" i="17"/>
  <c r="O50" i="17" s="1"/>
  <c r="K184" i="17"/>
  <c r="O184" i="17" s="1"/>
  <c r="K100" i="17"/>
  <c r="O100" i="17" s="1"/>
  <c r="K178" i="17"/>
  <c r="O178" i="17" s="1"/>
  <c r="K58" i="17"/>
  <c r="O58" i="17" s="1"/>
  <c r="K114" i="17"/>
  <c r="O114" i="17" s="1"/>
  <c r="K91" i="17"/>
  <c r="O91" i="17" s="1"/>
  <c r="K81" i="17"/>
  <c r="O81" i="17" s="1"/>
  <c r="K134" i="17"/>
  <c r="O134" i="17" s="1"/>
  <c r="K175" i="17"/>
  <c r="O175" i="17" s="1"/>
  <c r="L132" i="16"/>
  <c r="K192" i="16"/>
  <c r="O192" i="16" s="1"/>
  <c r="K29" i="16"/>
  <c r="O29" i="16" s="1"/>
  <c r="K113" i="16"/>
  <c r="O113" i="16" s="1"/>
  <c r="L149" i="17"/>
  <c r="L160" i="16"/>
  <c r="M160" i="16" s="1"/>
  <c r="P160" i="16" s="1"/>
  <c r="L6" i="17"/>
  <c r="M6" i="17" s="1"/>
  <c r="P6" i="17" s="1"/>
  <c r="K84" i="16"/>
  <c r="O84" i="16" s="1"/>
  <c r="L30" i="16"/>
  <c r="M30" i="16" s="1"/>
  <c r="P30" i="16" s="1"/>
  <c r="L140" i="17"/>
  <c r="M140" i="17" s="1"/>
  <c r="P140" i="17" s="1"/>
  <c r="K66" i="16"/>
  <c r="O66" i="16" s="1"/>
  <c r="K6" i="17"/>
  <c r="O6" i="17" s="1"/>
  <c r="K66" i="17"/>
  <c r="O66" i="17" s="1"/>
  <c r="K62" i="17"/>
  <c r="O62" i="17" s="1"/>
  <c r="K190" i="17"/>
  <c r="O190" i="17" s="1"/>
  <c r="K176" i="17"/>
  <c r="O176" i="17" s="1"/>
  <c r="K195" i="17"/>
  <c r="O195" i="17" s="1"/>
  <c r="L61" i="17"/>
  <c r="M61" i="17" s="1"/>
  <c r="P61" i="17" s="1"/>
  <c r="L24" i="17"/>
  <c r="M24" i="17" s="1"/>
  <c r="P24" i="17" s="1"/>
  <c r="K200" i="16"/>
  <c r="O200" i="16" s="1"/>
  <c r="K8" i="17"/>
  <c r="O8" i="17" s="1"/>
  <c r="K137" i="17"/>
  <c r="O137" i="17" s="1"/>
  <c r="K121" i="17"/>
  <c r="O121" i="17" s="1"/>
  <c r="K44" i="17"/>
  <c r="O44" i="17" s="1"/>
  <c r="K166" i="17"/>
  <c r="O166" i="17" s="1"/>
  <c r="K112" i="17"/>
  <c r="O112" i="17" s="1"/>
  <c r="K194" i="17"/>
  <c r="O194" i="17" s="1"/>
  <c r="K177" i="16"/>
  <c r="O177" i="16" s="1"/>
  <c r="K203" i="16"/>
  <c r="O203" i="16" s="1"/>
  <c r="K5" i="17"/>
  <c r="O5" i="17" s="1"/>
  <c r="K53" i="17"/>
  <c r="O53" i="17" s="1"/>
  <c r="K132" i="17"/>
  <c r="O132" i="17" s="1"/>
  <c r="K105" i="17"/>
  <c r="O105" i="17" s="1"/>
  <c r="K92" i="17"/>
  <c r="O92" i="17" s="1"/>
  <c r="K165" i="17"/>
  <c r="O165" i="17" s="1"/>
  <c r="K183" i="17"/>
  <c r="O183" i="17" s="1"/>
  <c r="L119" i="17"/>
  <c r="M119" i="17" s="1"/>
  <c r="P119" i="17" s="1"/>
  <c r="K146" i="16"/>
  <c r="O146" i="16" s="1"/>
  <c r="K183" i="16"/>
  <c r="O183" i="16" s="1"/>
  <c r="L198" i="17"/>
  <c r="M198" i="17" s="1"/>
  <c r="P198" i="17" s="1"/>
  <c r="K4" i="17"/>
  <c r="O4" i="17" s="1"/>
  <c r="K11" i="17"/>
  <c r="O11" i="17" s="1"/>
  <c r="K15" i="17"/>
  <c r="O15" i="17" s="1"/>
  <c r="K149" i="17"/>
  <c r="O149" i="17" s="1"/>
  <c r="K88" i="17"/>
  <c r="O88" i="17" s="1"/>
  <c r="K59" i="17"/>
  <c r="O59" i="17" s="1"/>
  <c r="K109" i="17"/>
  <c r="O109" i="17" s="1"/>
  <c r="K153" i="17"/>
  <c r="O153" i="17" s="1"/>
  <c r="K181" i="17"/>
  <c r="O181" i="17" s="1"/>
  <c r="K202" i="17"/>
  <c r="O202" i="17" s="1"/>
  <c r="L38" i="17"/>
  <c r="M38" i="17" s="1"/>
  <c r="P38" i="17" s="1"/>
  <c r="K83" i="16"/>
  <c r="O83" i="16" s="1"/>
  <c r="K165" i="16"/>
  <c r="O165" i="16" s="1"/>
  <c r="K68" i="17"/>
  <c r="O68" i="17" s="1"/>
  <c r="K25" i="17"/>
  <c r="O25" i="17" s="1"/>
  <c r="K141" i="17"/>
  <c r="O141" i="17" s="1"/>
  <c r="K27" i="17"/>
  <c r="O27" i="17" s="1"/>
  <c r="K41" i="17"/>
  <c r="O41" i="17" s="1"/>
  <c r="K125" i="17"/>
  <c r="O125" i="17" s="1"/>
  <c r="K71" i="17"/>
  <c r="O71" i="17" s="1"/>
  <c r="K126" i="17"/>
  <c r="O126" i="17" s="1"/>
  <c r="K201" i="17"/>
  <c r="O201" i="17" s="1"/>
  <c r="K156" i="17"/>
  <c r="O156" i="17" s="1"/>
  <c r="K119" i="17"/>
  <c r="O119" i="17" s="1"/>
  <c r="L24" i="16"/>
  <c r="M24" i="16" s="1"/>
  <c r="P24" i="16" s="1"/>
  <c r="K25" i="16"/>
  <c r="O25" i="16" s="1"/>
  <c r="K154" i="16"/>
  <c r="O154" i="16" s="1"/>
  <c r="L71" i="16"/>
  <c r="M71" i="16" s="1"/>
  <c r="P71" i="16" s="1"/>
  <c r="K42" i="17"/>
  <c r="O42" i="17" s="1"/>
  <c r="K108" i="17"/>
  <c r="O108" i="17" s="1"/>
  <c r="K65" i="17"/>
  <c r="O65" i="17" s="1"/>
  <c r="K35" i="17"/>
  <c r="O35" i="17" s="1"/>
  <c r="K104" i="17"/>
  <c r="O104" i="17" s="1"/>
  <c r="K60" i="17"/>
  <c r="O60" i="17" s="1"/>
  <c r="K94" i="17"/>
  <c r="O94" i="17" s="1"/>
  <c r="K113" i="17"/>
  <c r="O113" i="17" s="1"/>
  <c r="K116" i="17"/>
  <c r="O116" i="17" s="1"/>
  <c r="K163" i="17"/>
  <c r="O163" i="17" s="1"/>
  <c r="K199" i="17"/>
  <c r="O199" i="17" s="1"/>
  <c r="K106" i="16"/>
  <c r="O106" i="16" s="1"/>
  <c r="L45" i="17"/>
  <c r="M45" i="17" s="1"/>
  <c r="P45" i="17" s="1"/>
  <c r="K108" i="16"/>
  <c r="O108" i="16" s="1"/>
  <c r="K51" i="16"/>
  <c r="O51" i="16" s="1"/>
  <c r="K161" i="16"/>
  <c r="O161" i="16" s="1"/>
  <c r="L177" i="17"/>
  <c r="M177" i="17" s="1"/>
  <c r="P177" i="17" s="1"/>
  <c r="L133" i="17"/>
  <c r="M133" i="17" s="1"/>
  <c r="P133" i="17" s="1"/>
  <c r="K17" i="16"/>
  <c r="O17" i="16" s="1"/>
  <c r="K24" i="16"/>
  <c r="O24" i="16" s="1"/>
  <c r="K85" i="16"/>
  <c r="O85" i="16" s="1"/>
  <c r="K42" i="16"/>
  <c r="O42" i="16" s="1"/>
  <c r="K145" i="16"/>
  <c r="O145" i="16" s="1"/>
  <c r="K45" i="16"/>
  <c r="O45" i="16" s="1"/>
  <c r="K131" i="16"/>
  <c r="O131" i="16" s="1"/>
  <c r="L20" i="17"/>
  <c r="M20" i="17" s="1"/>
  <c r="P20" i="17" s="1"/>
  <c r="L121" i="17"/>
  <c r="M121" i="17" s="1"/>
  <c r="P121" i="17" s="1"/>
  <c r="L59" i="17"/>
  <c r="M59" i="17" s="1"/>
  <c r="P59" i="17" s="1"/>
  <c r="K20" i="16"/>
  <c r="O20" i="16" s="1"/>
  <c r="K31" i="16"/>
  <c r="O31" i="16" s="1"/>
  <c r="K60" i="16"/>
  <c r="O60" i="16" s="1"/>
  <c r="K93" i="16"/>
  <c r="O93" i="16" s="1"/>
  <c r="K151" i="16"/>
  <c r="O151" i="16" s="1"/>
  <c r="K102" i="16"/>
  <c r="O102" i="16" s="1"/>
  <c r="K155" i="16"/>
  <c r="O155" i="16" s="1"/>
  <c r="L83" i="17"/>
  <c r="M83" i="17" s="1"/>
  <c r="P83" i="17" s="1"/>
  <c r="L126" i="17"/>
  <c r="M126" i="17" s="1"/>
  <c r="P126" i="17" s="1"/>
  <c r="L12" i="17"/>
  <c r="M12" i="17" s="1"/>
  <c r="P12" i="17" s="1"/>
  <c r="K23" i="16"/>
  <c r="O23" i="16" s="1"/>
  <c r="K44" i="16"/>
  <c r="O44" i="16" s="1"/>
  <c r="K67" i="16"/>
  <c r="O67" i="16" s="1"/>
  <c r="K169" i="16"/>
  <c r="O169" i="16" s="1"/>
  <c r="K64" i="16"/>
  <c r="O64" i="16" s="1"/>
  <c r="K144" i="16"/>
  <c r="O144" i="16" s="1"/>
  <c r="K195" i="16"/>
  <c r="O195" i="16" s="1"/>
  <c r="L32" i="17"/>
  <c r="M32" i="17" s="1"/>
  <c r="P32" i="17" s="1"/>
  <c r="L89" i="17"/>
  <c r="M89" i="17" s="1"/>
  <c r="P89" i="17" s="1"/>
  <c r="K152" i="16"/>
  <c r="O152" i="16" s="1"/>
  <c r="K7" i="16"/>
  <c r="O7" i="16" s="1"/>
  <c r="K126" i="16"/>
  <c r="O126" i="16" s="1"/>
  <c r="K107" i="16"/>
  <c r="O107" i="16" s="1"/>
  <c r="K184" i="16"/>
  <c r="O184" i="16" s="1"/>
  <c r="K167" i="16"/>
  <c r="O167" i="16" s="1"/>
  <c r="L142" i="17"/>
  <c r="M142" i="17" s="1"/>
  <c r="P142" i="17" s="1"/>
  <c r="L148" i="17"/>
  <c r="M148" i="17" s="1"/>
  <c r="P148" i="17" s="1"/>
  <c r="L156" i="17"/>
  <c r="M156" i="17" s="1"/>
  <c r="P156" i="17" s="1"/>
  <c r="L73" i="17"/>
  <c r="M73" i="17" s="1"/>
  <c r="P73" i="17" s="1"/>
  <c r="K9" i="16"/>
  <c r="O9" i="16" s="1"/>
  <c r="K87" i="16"/>
  <c r="O87" i="16" s="1"/>
  <c r="K117" i="16"/>
  <c r="O117" i="16" s="1"/>
  <c r="K55" i="16"/>
  <c r="O55" i="16" s="1"/>
  <c r="K73" i="16"/>
  <c r="O73" i="16" s="1"/>
  <c r="K159" i="16"/>
  <c r="O159" i="16" s="1"/>
  <c r="K198" i="16"/>
  <c r="O198" i="16" s="1"/>
  <c r="L199" i="17"/>
  <c r="M199" i="17" s="1"/>
  <c r="P199" i="17" s="1"/>
  <c r="L17" i="17"/>
  <c r="M17" i="17" s="1"/>
  <c r="P17" i="17" s="1"/>
  <c r="L168" i="17"/>
  <c r="M168" i="17" s="1"/>
  <c r="P168" i="17" s="1"/>
  <c r="L85" i="17"/>
  <c r="M85" i="17" s="1"/>
  <c r="P85" i="17" s="1"/>
  <c r="L114" i="17"/>
  <c r="M114" i="17" s="1"/>
  <c r="P114" i="17" s="1"/>
  <c r="L95" i="17"/>
  <c r="M95" i="17" s="1"/>
  <c r="P95" i="17" s="1"/>
  <c r="L204" i="17"/>
  <c r="M204" i="17" s="1"/>
  <c r="P204" i="17" s="1"/>
  <c r="L129" i="17"/>
  <c r="M129" i="17" s="1"/>
  <c r="P129" i="17" s="1"/>
  <c r="L53" i="17"/>
  <c r="M53" i="17" s="1"/>
  <c r="P53" i="17" s="1"/>
  <c r="L161" i="17"/>
  <c r="M161" i="17" s="1"/>
  <c r="P161" i="17" s="1"/>
  <c r="L159" i="17"/>
  <c r="M159" i="17" s="1"/>
  <c r="P159" i="17" s="1"/>
  <c r="L151" i="17"/>
  <c r="M151" i="17" s="1"/>
  <c r="P151" i="17" s="1"/>
  <c r="L49" i="17"/>
  <c r="M49" i="17" s="1"/>
  <c r="P49" i="17" s="1"/>
  <c r="L3" i="17"/>
  <c r="M3" i="17" s="1"/>
  <c r="P3" i="17" s="1"/>
  <c r="L155" i="17"/>
  <c r="M155" i="17" s="1"/>
  <c r="P155" i="17" s="1"/>
  <c r="L115" i="17"/>
  <c r="M115" i="17" s="1"/>
  <c r="P115" i="17" s="1"/>
  <c r="L37" i="17"/>
  <c r="M37" i="17" s="1"/>
  <c r="P37" i="17" s="1"/>
  <c r="L124" i="17"/>
  <c r="M124" i="17" s="1"/>
  <c r="P124" i="17" s="1"/>
  <c r="L94" i="16"/>
  <c r="M94" i="16" s="1"/>
  <c r="P94" i="16" s="1"/>
  <c r="K10" i="17"/>
  <c r="O10" i="17" s="1"/>
  <c r="K75" i="17"/>
  <c r="O75" i="17" s="1"/>
  <c r="K20" i="17"/>
  <c r="O20" i="17" s="1"/>
  <c r="K3" i="17"/>
  <c r="O3" i="17" s="1"/>
  <c r="K24" i="17"/>
  <c r="O24" i="17" s="1"/>
  <c r="K72" i="17"/>
  <c r="O72" i="17" s="1"/>
  <c r="K21" i="17"/>
  <c r="O21" i="17" s="1"/>
  <c r="K70" i="17"/>
  <c r="O70" i="17" s="1"/>
  <c r="K34" i="17"/>
  <c r="O34" i="17" s="1"/>
  <c r="K140" i="17"/>
  <c r="O140" i="17" s="1"/>
  <c r="K99" i="17"/>
  <c r="O99" i="17" s="1"/>
  <c r="K80" i="17"/>
  <c r="O80" i="17" s="1"/>
  <c r="K67" i="17"/>
  <c r="O67" i="17" s="1"/>
  <c r="K102" i="17"/>
  <c r="O102" i="17" s="1"/>
  <c r="K122" i="17"/>
  <c r="O122" i="17" s="1"/>
  <c r="K117" i="17"/>
  <c r="O117" i="17" s="1"/>
  <c r="K158" i="17"/>
  <c r="O158" i="17" s="1"/>
  <c r="K129" i="17"/>
  <c r="O129" i="17" s="1"/>
  <c r="K189" i="17"/>
  <c r="O189" i="17" s="1"/>
  <c r="K179" i="17"/>
  <c r="O179" i="17" s="1"/>
  <c r="K111" i="17"/>
  <c r="O111" i="17" s="1"/>
  <c r="M149" i="17"/>
  <c r="P149" i="17" s="1"/>
  <c r="K2" i="17"/>
  <c r="O2" i="17" s="1"/>
  <c r="K18" i="17"/>
  <c r="O18" i="17" s="1"/>
  <c r="K57" i="17"/>
  <c r="O57" i="17" s="1"/>
  <c r="K9" i="17"/>
  <c r="O9" i="17" s="1"/>
  <c r="K61" i="17"/>
  <c r="O61" i="17" s="1"/>
  <c r="K97" i="17"/>
  <c r="O97" i="17" s="1"/>
  <c r="K36" i="17"/>
  <c r="O36" i="17" s="1"/>
  <c r="K48" i="17"/>
  <c r="O48" i="17" s="1"/>
  <c r="K47" i="17"/>
  <c r="O47" i="17" s="1"/>
  <c r="K33" i="17"/>
  <c r="O33" i="17" s="1"/>
  <c r="K138" i="17"/>
  <c r="O138" i="17" s="1"/>
  <c r="K115" i="17"/>
  <c r="O115" i="17" s="1"/>
  <c r="K84" i="17"/>
  <c r="O84" i="17" s="1"/>
  <c r="K118" i="17"/>
  <c r="O118" i="17" s="1"/>
  <c r="K139" i="17"/>
  <c r="O139" i="17" s="1"/>
  <c r="K142" i="17"/>
  <c r="O142" i="17" s="1"/>
  <c r="K74" i="17"/>
  <c r="O74" i="17" s="1"/>
  <c r="K192" i="17"/>
  <c r="O192" i="17" s="1"/>
  <c r="K164" i="17"/>
  <c r="O164" i="17" s="1"/>
  <c r="K146" i="17"/>
  <c r="O146" i="17" s="1"/>
  <c r="K135" i="17"/>
  <c r="O135" i="17" s="1"/>
  <c r="K14" i="17"/>
  <c r="O14" i="17" s="1"/>
  <c r="K23" i="17"/>
  <c r="O23" i="17" s="1"/>
  <c r="K106" i="17"/>
  <c r="O106" i="17" s="1"/>
  <c r="K17" i="17"/>
  <c r="O17" i="17" s="1"/>
  <c r="K89" i="17"/>
  <c r="O89" i="17" s="1"/>
  <c r="K124" i="17"/>
  <c r="O124" i="17" s="1"/>
  <c r="K37" i="17"/>
  <c r="O37" i="17" s="1"/>
  <c r="K56" i="17"/>
  <c r="O56" i="17" s="1"/>
  <c r="K63" i="17"/>
  <c r="O63" i="17" s="1"/>
  <c r="K46" i="17"/>
  <c r="O46" i="17" s="1"/>
  <c r="K31" i="17"/>
  <c r="O31" i="17" s="1"/>
  <c r="K128" i="17"/>
  <c r="O128" i="17" s="1"/>
  <c r="K95" i="17"/>
  <c r="O95" i="17" s="1"/>
  <c r="K152" i="17"/>
  <c r="O152" i="17" s="1"/>
  <c r="K185" i="17"/>
  <c r="O185" i="17" s="1"/>
  <c r="K145" i="17"/>
  <c r="O145" i="17" s="1"/>
  <c r="K90" i="17"/>
  <c r="O90" i="17" s="1"/>
  <c r="K198" i="17"/>
  <c r="O198" i="17" s="1"/>
  <c r="K172" i="17"/>
  <c r="O172" i="17" s="1"/>
  <c r="K154" i="17"/>
  <c r="O154" i="17" s="1"/>
  <c r="K151" i="17"/>
  <c r="O151" i="17" s="1"/>
  <c r="I28" i="17"/>
  <c r="H37" i="17" s="1"/>
  <c r="K19" i="17"/>
  <c r="O19" i="17" s="1"/>
  <c r="K22" i="17"/>
  <c r="O22" i="17" s="1"/>
  <c r="K120" i="17"/>
  <c r="O120" i="17" s="1"/>
  <c r="K85" i="17"/>
  <c r="O85" i="17" s="1"/>
  <c r="I31" i="17"/>
  <c r="K40" i="17"/>
  <c r="O40" i="17" s="1"/>
  <c r="K38" i="17"/>
  <c r="O38" i="17" s="1"/>
  <c r="K64" i="17"/>
  <c r="O64" i="17" s="1"/>
  <c r="K69" i="17"/>
  <c r="O69" i="17" s="1"/>
  <c r="K54" i="17"/>
  <c r="O54" i="17" s="1"/>
  <c r="K39" i="17"/>
  <c r="O39" i="17" s="1"/>
  <c r="K28" i="17"/>
  <c r="O28" i="17" s="1"/>
  <c r="K123" i="17"/>
  <c r="O123" i="17" s="1"/>
  <c r="K160" i="17"/>
  <c r="O160" i="17" s="1"/>
  <c r="K200" i="17"/>
  <c r="O200" i="17" s="1"/>
  <c r="K148" i="17"/>
  <c r="O148" i="17" s="1"/>
  <c r="K98" i="17"/>
  <c r="O98" i="17" s="1"/>
  <c r="K168" i="17"/>
  <c r="O168" i="17" s="1"/>
  <c r="K180" i="17"/>
  <c r="O180" i="17" s="1"/>
  <c r="K162" i="17"/>
  <c r="O162" i="17" s="1"/>
  <c r="K167" i="17"/>
  <c r="O167" i="17" s="1"/>
  <c r="L198" i="16"/>
  <c r="M198" i="16" s="1"/>
  <c r="P198" i="16" s="1"/>
  <c r="L80" i="16"/>
  <c r="L135" i="17"/>
  <c r="M135" i="17" s="1"/>
  <c r="P135" i="17" s="1"/>
  <c r="L164" i="17"/>
  <c r="M164" i="17" s="1"/>
  <c r="P164" i="17" s="1"/>
  <c r="M132" i="16"/>
  <c r="P132" i="16" s="1"/>
  <c r="L105" i="17"/>
  <c r="M105" i="17" s="1"/>
  <c r="P105" i="17" s="1"/>
  <c r="L99" i="17"/>
  <c r="M99" i="17" s="1"/>
  <c r="P99" i="17" s="1"/>
  <c r="L40" i="17"/>
  <c r="M40" i="17" s="1"/>
  <c r="P40" i="17" s="1"/>
  <c r="K188" i="16"/>
  <c r="O188" i="16" s="1"/>
  <c r="K95" i="16"/>
  <c r="O95" i="16" s="1"/>
  <c r="K115" i="16"/>
  <c r="O115" i="16" s="1"/>
  <c r="K105" i="16"/>
  <c r="O105" i="16" s="1"/>
  <c r="K70" i="16"/>
  <c r="O70" i="16" s="1"/>
  <c r="K141" i="16"/>
  <c r="O141" i="16" s="1"/>
  <c r="L203" i="17"/>
  <c r="M203" i="17" s="1"/>
  <c r="P203" i="17" s="1"/>
  <c r="L25" i="17"/>
  <c r="M25" i="17" s="1"/>
  <c r="P25" i="17" s="1"/>
  <c r="L96" i="17"/>
  <c r="M96" i="17" s="1"/>
  <c r="P96" i="17" s="1"/>
  <c r="L135" i="16"/>
  <c r="M135" i="16" s="1"/>
  <c r="P135" i="16" s="1"/>
  <c r="L194" i="17"/>
  <c r="M194" i="17" s="1"/>
  <c r="P194" i="17" s="1"/>
  <c r="L120" i="17"/>
  <c r="M120" i="17" s="1"/>
  <c r="P120" i="17" s="1"/>
  <c r="L118" i="17"/>
  <c r="M118" i="17" s="1"/>
  <c r="P118" i="17" s="1"/>
  <c r="L57" i="17"/>
  <c r="M57" i="17" s="1"/>
  <c r="P57" i="17" s="1"/>
  <c r="K6" i="16"/>
  <c r="O6" i="16" s="1"/>
  <c r="K4" i="16"/>
  <c r="O4" i="16" s="1"/>
  <c r="K140" i="16"/>
  <c r="O140" i="16" s="1"/>
  <c r="K109" i="16"/>
  <c r="O109" i="16" s="1"/>
  <c r="I31" i="16"/>
  <c r="K65" i="16"/>
  <c r="O65" i="16" s="1"/>
  <c r="K136" i="16"/>
  <c r="O136" i="16" s="1"/>
  <c r="K111" i="16"/>
  <c r="O111" i="16" s="1"/>
  <c r="K123" i="16"/>
  <c r="O123" i="16" s="1"/>
  <c r="L190" i="17"/>
  <c r="M190" i="17" s="1"/>
  <c r="P190" i="17" s="1"/>
  <c r="I21" i="17"/>
  <c r="L112" i="17"/>
  <c r="M112" i="17" s="1"/>
  <c r="P112" i="17" s="1"/>
  <c r="L46" i="17"/>
  <c r="M46" i="17" s="1"/>
  <c r="P46" i="17" s="1"/>
  <c r="L2" i="17"/>
  <c r="M2" i="17" s="1"/>
  <c r="P2" i="17" s="1"/>
  <c r="I28" i="16"/>
  <c r="M192" i="17"/>
  <c r="P192" i="17" s="1"/>
  <c r="K3" i="16"/>
  <c r="O3" i="16" s="1"/>
  <c r="K76" i="16"/>
  <c r="O76" i="16" s="1"/>
  <c r="K81" i="16"/>
  <c r="O81" i="16" s="1"/>
  <c r="K26" i="16"/>
  <c r="O26" i="16" s="1"/>
  <c r="K5" i="16"/>
  <c r="O5" i="16" s="1"/>
  <c r="K12" i="16"/>
  <c r="O12" i="16" s="1"/>
  <c r="K59" i="16"/>
  <c r="O59" i="16" s="1"/>
  <c r="K15" i="16"/>
  <c r="O15" i="16" s="1"/>
  <c r="K104" i="16"/>
  <c r="O104" i="16" s="1"/>
  <c r="K99" i="16"/>
  <c r="O99" i="16" s="1"/>
  <c r="K63" i="16"/>
  <c r="O63" i="16" s="1"/>
  <c r="K33" i="16"/>
  <c r="O33" i="16" s="1"/>
  <c r="K175" i="16"/>
  <c r="O175" i="16" s="1"/>
  <c r="K121" i="16"/>
  <c r="O121" i="16" s="1"/>
  <c r="K193" i="16"/>
  <c r="O193" i="16" s="1"/>
  <c r="K120" i="16"/>
  <c r="O120" i="16" s="1"/>
  <c r="K128" i="16"/>
  <c r="O128" i="16" s="1"/>
  <c r="K49" i="16"/>
  <c r="O49" i="16" s="1"/>
  <c r="K132" i="16"/>
  <c r="O132" i="16" s="1"/>
  <c r="K185" i="16"/>
  <c r="O185" i="16" s="1"/>
  <c r="K149" i="16"/>
  <c r="O149" i="16" s="1"/>
  <c r="K139" i="16"/>
  <c r="O139" i="16" s="1"/>
  <c r="K14" i="16"/>
  <c r="O14" i="16" s="1"/>
  <c r="K13" i="16"/>
  <c r="O13" i="16" s="1"/>
  <c r="K18" i="16"/>
  <c r="O18" i="16" s="1"/>
  <c r="K11" i="16"/>
  <c r="O11" i="16" s="1"/>
  <c r="K71" i="16"/>
  <c r="O71" i="16" s="1"/>
  <c r="K21" i="16"/>
  <c r="O21" i="16" s="1"/>
  <c r="K69" i="16"/>
  <c r="O69" i="16" s="1"/>
  <c r="K92" i="16"/>
  <c r="O92" i="16" s="1"/>
  <c r="K116" i="16"/>
  <c r="O116" i="16" s="1"/>
  <c r="K79" i="16"/>
  <c r="O79" i="16" s="1"/>
  <c r="K37" i="16"/>
  <c r="O37" i="16" s="1"/>
  <c r="K58" i="16"/>
  <c r="O58" i="16" s="1"/>
  <c r="K134" i="16"/>
  <c r="O134" i="16" s="1"/>
  <c r="K97" i="16"/>
  <c r="O97" i="16" s="1"/>
  <c r="K56" i="16"/>
  <c r="O56" i="16" s="1"/>
  <c r="K133" i="16"/>
  <c r="O133" i="16" s="1"/>
  <c r="K153" i="16"/>
  <c r="O153" i="16" s="1"/>
  <c r="K62" i="16"/>
  <c r="O62" i="16" s="1"/>
  <c r="K138" i="16"/>
  <c r="O138" i="16" s="1"/>
  <c r="K201" i="16"/>
  <c r="O201" i="16" s="1"/>
  <c r="K157" i="16"/>
  <c r="O157" i="16" s="1"/>
  <c r="K147" i="16"/>
  <c r="O147" i="16" s="1"/>
  <c r="K16" i="16"/>
  <c r="O16" i="16" s="1"/>
  <c r="K27" i="16"/>
  <c r="O27" i="16" s="1"/>
  <c r="K50" i="16"/>
  <c r="O50" i="16" s="1"/>
  <c r="K32" i="16"/>
  <c r="O32" i="16" s="1"/>
  <c r="K122" i="16"/>
  <c r="O122" i="16" s="1"/>
  <c r="K22" i="16"/>
  <c r="O22" i="16" s="1"/>
  <c r="K30" i="16"/>
  <c r="O30" i="16" s="1"/>
  <c r="K35" i="16"/>
  <c r="O35" i="16" s="1"/>
  <c r="K137" i="16"/>
  <c r="O137" i="16" s="1"/>
  <c r="K124" i="16"/>
  <c r="O124" i="16" s="1"/>
  <c r="K57" i="16"/>
  <c r="O57" i="16" s="1"/>
  <c r="K74" i="16"/>
  <c r="O74" i="16" s="1"/>
  <c r="K166" i="16"/>
  <c r="O166" i="16" s="1"/>
  <c r="K114" i="16"/>
  <c r="O114" i="16" s="1"/>
  <c r="K72" i="16"/>
  <c r="O72" i="16" s="1"/>
  <c r="K162" i="16"/>
  <c r="O162" i="16" s="1"/>
  <c r="K176" i="16"/>
  <c r="O176" i="16" s="1"/>
  <c r="K78" i="16"/>
  <c r="O78" i="16" s="1"/>
  <c r="K150" i="16"/>
  <c r="O150" i="16" s="1"/>
  <c r="K191" i="16"/>
  <c r="O191" i="16" s="1"/>
  <c r="K173" i="16"/>
  <c r="O173" i="16" s="1"/>
  <c r="K171" i="16"/>
  <c r="O171" i="16" s="1"/>
  <c r="K204" i="16"/>
  <c r="O204" i="16" s="1"/>
  <c r="K68" i="16"/>
  <c r="O68" i="16" s="1"/>
  <c r="K52" i="16"/>
  <c r="O52" i="16" s="1"/>
  <c r="K39" i="16"/>
  <c r="O39" i="16" s="1"/>
  <c r="K135" i="16"/>
  <c r="O135" i="16" s="1"/>
  <c r="K36" i="16"/>
  <c r="O36" i="16" s="1"/>
  <c r="K48" i="16"/>
  <c r="O48" i="16" s="1"/>
  <c r="K118" i="16"/>
  <c r="O118" i="16" s="1"/>
  <c r="K38" i="16"/>
  <c r="O38" i="16" s="1"/>
  <c r="K34" i="16"/>
  <c r="O34" i="16" s="1"/>
  <c r="K127" i="16"/>
  <c r="O127" i="16" s="1"/>
  <c r="K61" i="16"/>
  <c r="O61" i="16" s="1"/>
  <c r="K82" i="16"/>
  <c r="O82" i="16" s="1"/>
  <c r="K186" i="16"/>
  <c r="O186" i="16" s="1"/>
  <c r="K125" i="16"/>
  <c r="O125" i="16" s="1"/>
  <c r="K88" i="16"/>
  <c r="O88" i="16" s="1"/>
  <c r="K168" i="16"/>
  <c r="O168" i="16" s="1"/>
  <c r="K178" i="16"/>
  <c r="O178" i="16" s="1"/>
  <c r="K86" i="16"/>
  <c r="O86" i="16" s="1"/>
  <c r="K170" i="16"/>
  <c r="O170" i="16" s="1"/>
  <c r="K199" i="16"/>
  <c r="O199" i="16" s="1"/>
  <c r="K189" i="16"/>
  <c r="O189" i="16" s="1"/>
  <c r="K179" i="16"/>
  <c r="O179" i="16" s="1"/>
  <c r="K101" i="16"/>
  <c r="O101" i="16" s="1"/>
  <c r="K2" i="16"/>
  <c r="O2" i="16" s="1"/>
  <c r="K10" i="16"/>
  <c r="O10" i="16" s="1"/>
  <c r="K100" i="16"/>
  <c r="O100" i="16" s="1"/>
  <c r="K75" i="16"/>
  <c r="O75" i="16" s="1"/>
  <c r="K158" i="16"/>
  <c r="O158" i="16" s="1"/>
  <c r="K46" i="16"/>
  <c r="O46" i="16" s="1"/>
  <c r="K91" i="16"/>
  <c r="O91" i="16" s="1"/>
  <c r="K172" i="16"/>
  <c r="O172" i="16" s="1"/>
  <c r="K47" i="16"/>
  <c r="O47" i="16" s="1"/>
  <c r="K40" i="16"/>
  <c r="O40" i="16" s="1"/>
  <c r="K130" i="16"/>
  <c r="O130" i="16" s="1"/>
  <c r="K77" i="16"/>
  <c r="O77" i="16" s="1"/>
  <c r="K98" i="16"/>
  <c r="O98" i="16" s="1"/>
  <c r="K202" i="16"/>
  <c r="O202" i="16" s="1"/>
  <c r="K129" i="16"/>
  <c r="O129" i="16" s="1"/>
  <c r="K96" i="16"/>
  <c r="O96" i="16" s="1"/>
  <c r="K174" i="16"/>
  <c r="O174" i="16" s="1"/>
  <c r="K180" i="16"/>
  <c r="O180" i="16" s="1"/>
  <c r="K94" i="16"/>
  <c r="O94" i="16" s="1"/>
  <c r="K194" i="16"/>
  <c r="O194" i="16" s="1"/>
  <c r="K190" i="16"/>
  <c r="O190" i="16" s="1"/>
  <c r="K197" i="16"/>
  <c r="O197" i="16" s="1"/>
  <c r="L74" i="17"/>
  <c r="M74" i="17" s="1"/>
  <c r="P74" i="17" s="1"/>
  <c r="L140" i="16"/>
  <c r="M140" i="16" s="1"/>
  <c r="P140" i="16" s="1"/>
  <c r="L186" i="16"/>
  <c r="M186" i="16" s="1"/>
  <c r="P186" i="16" s="1"/>
  <c r="L111" i="16"/>
  <c r="M111" i="16" s="1"/>
  <c r="P111" i="16" s="1"/>
  <c r="L48" i="16"/>
  <c r="M48" i="16" s="1"/>
  <c r="P48" i="16" s="1"/>
  <c r="L107" i="16"/>
  <c r="M107" i="16" s="1"/>
  <c r="P107" i="16" s="1"/>
  <c r="L150" i="16"/>
  <c r="M150" i="16" s="1"/>
  <c r="P150" i="16" s="1"/>
  <c r="L82" i="16"/>
  <c r="M82" i="16" s="1"/>
  <c r="P82" i="16" s="1"/>
  <c r="L46" i="16"/>
  <c r="M46" i="16" s="1"/>
  <c r="P46" i="16" s="1"/>
  <c r="L63" i="17"/>
  <c r="M63" i="17" s="1"/>
  <c r="P63" i="17" s="1"/>
  <c r="L141" i="16"/>
  <c r="M141" i="16" s="1"/>
  <c r="P141" i="16" s="1"/>
  <c r="L49" i="16"/>
  <c r="M49" i="16" s="1"/>
  <c r="P49" i="16" s="1"/>
  <c r="L178" i="16"/>
  <c r="M178" i="16" s="1"/>
  <c r="P178" i="16" s="1"/>
  <c r="L17" i="16"/>
  <c r="M17" i="16" s="1"/>
  <c r="P17" i="16" s="1"/>
  <c r="L148" i="16"/>
  <c r="M148" i="16" s="1"/>
  <c r="P148" i="16" s="1"/>
  <c r="L104" i="17"/>
  <c r="M104" i="17" s="1"/>
  <c r="P104" i="17" s="1"/>
  <c r="L129" i="16"/>
  <c r="M129" i="16" s="1"/>
  <c r="P129" i="16" s="1"/>
  <c r="L70" i="17"/>
  <c r="M70" i="17" s="1"/>
  <c r="P70" i="17" s="1"/>
  <c r="L171" i="17"/>
  <c r="M171" i="17" s="1"/>
  <c r="P171" i="17" s="1"/>
  <c r="L158" i="16"/>
  <c r="M158" i="16" s="1"/>
  <c r="P158" i="16" s="1"/>
  <c r="L90" i="16"/>
  <c r="M90" i="16" s="1"/>
  <c r="P90" i="16" s="1"/>
  <c r="L61" i="16"/>
  <c r="M61" i="16" s="1"/>
  <c r="P61" i="16" s="1"/>
  <c r="L105" i="16"/>
  <c r="M105" i="16" s="1"/>
  <c r="P105" i="16" s="1"/>
  <c r="L192" i="16"/>
  <c r="M192" i="16" s="1"/>
  <c r="P192" i="16" s="1"/>
  <c r="L143" i="16"/>
  <c r="M143" i="16" s="1"/>
  <c r="P143" i="16" s="1"/>
  <c r="L54" i="16"/>
  <c r="M54" i="16" s="1"/>
  <c r="P54" i="16" s="1"/>
  <c r="L193" i="17"/>
  <c r="M193" i="17" s="1"/>
  <c r="P193" i="17" s="1"/>
  <c r="L36" i="16"/>
  <c r="L145" i="16"/>
  <c r="M145" i="16" s="1"/>
  <c r="P145" i="16" s="1"/>
  <c r="L189" i="17"/>
  <c r="M189" i="17" s="1"/>
  <c r="P189" i="17" s="1"/>
  <c r="L172" i="16"/>
  <c r="M172" i="16" s="1"/>
  <c r="P172" i="16" s="1"/>
  <c r="L47" i="17"/>
  <c r="M47" i="17" s="1"/>
  <c r="P47" i="17" s="1"/>
  <c r="L115" i="16"/>
  <c r="M115" i="16" s="1"/>
  <c r="P115" i="16" s="1"/>
  <c r="L113" i="16"/>
  <c r="M113" i="16" s="1"/>
  <c r="P113" i="16" s="1"/>
  <c r="L131" i="17"/>
  <c r="M131" i="17" s="1"/>
  <c r="P131" i="17" s="1"/>
  <c r="L51" i="16"/>
  <c r="M51" i="16" s="1"/>
  <c r="P51" i="16" s="1"/>
  <c r="L182" i="16"/>
  <c r="M182" i="16" s="1"/>
  <c r="P182" i="16" s="1"/>
  <c r="L200" i="16"/>
  <c r="M200" i="16" s="1"/>
  <c r="P200" i="16" s="1"/>
  <c r="L163" i="16"/>
  <c r="M163" i="16" s="1"/>
  <c r="P163" i="16" s="1"/>
  <c r="L9" i="16"/>
  <c r="M9" i="16" s="1"/>
  <c r="P9" i="16" s="1"/>
  <c r="L84" i="16"/>
  <c r="M84" i="16" s="1"/>
  <c r="P84" i="16" s="1"/>
  <c r="L203" i="16"/>
  <c r="M203" i="16" s="1"/>
  <c r="P203" i="16" s="1"/>
  <c r="L83" i="16"/>
  <c r="M83" i="16" s="1"/>
  <c r="P83" i="16" s="1"/>
  <c r="L64" i="16"/>
  <c r="M64" i="16" s="1"/>
  <c r="P64" i="16" s="1"/>
  <c r="L23" i="17"/>
  <c r="M23" i="17" s="1"/>
  <c r="P23" i="17" s="1"/>
  <c r="L188" i="16"/>
  <c r="M188" i="16" s="1"/>
  <c r="P188" i="16" s="1"/>
  <c r="L152" i="16"/>
  <c r="M152" i="16" s="1"/>
  <c r="P152" i="16" s="1"/>
  <c r="L154" i="16"/>
  <c r="M154" i="16" s="1"/>
  <c r="P154" i="16" s="1"/>
  <c r="L201" i="17"/>
  <c r="M201" i="17" s="1"/>
  <c r="P201" i="17" s="1"/>
  <c r="L165" i="16"/>
  <c r="M165" i="16" s="1"/>
  <c r="P165" i="16" s="1"/>
  <c r="L8" i="17"/>
  <c r="M8" i="17" s="1"/>
  <c r="P8" i="17" s="1"/>
  <c r="L201" i="16"/>
  <c r="M201" i="16" s="1"/>
  <c r="P201" i="16" s="1"/>
  <c r="L172" i="17"/>
  <c r="M172" i="17" s="1"/>
  <c r="P172" i="17" s="1"/>
  <c r="L138" i="16"/>
  <c r="M138" i="16" s="1"/>
  <c r="P138" i="16" s="1"/>
  <c r="L91" i="16"/>
  <c r="M91" i="16" s="1"/>
  <c r="P91" i="16" s="1"/>
  <c r="L77" i="16"/>
  <c r="M77" i="16" s="1"/>
  <c r="P77" i="16" s="1"/>
  <c r="L26" i="16"/>
  <c r="M26" i="16" s="1"/>
  <c r="P26" i="16" s="1"/>
  <c r="L112" i="16"/>
  <c r="M112" i="16" s="1"/>
  <c r="P112" i="16" s="1"/>
  <c r="L70" i="16"/>
  <c r="M70" i="16" s="1"/>
  <c r="P70" i="16" s="1"/>
  <c r="L4" i="16"/>
  <c r="M4" i="16" s="1"/>
  <c r="P4" i="16" s="1"/>
  <c r="L142" i="16"/>
  <c r="M142" i="16" s="1"/>
  <c r="P142" i="16" s="1"/>
  <c r="L11" i="16"/>
  <c r="M11" i="16" s="1"/>
  <c r="P11" i="16" s="1"/>
  <c r="L66" i="16"/>
  <c r="M66" i="16" s="1"/>
  <c r="P66" i="16" s="1"/>
  <c r="L195" i="16"/>
  <c r="M195" i="16" s="1"/>
  <c r="P195" i="16" s="1"/>
  <c r="L50" i="16"/>
  <c r="M50" i="16" s="1"/>
  <c r="P50" i="16" s="1"/>
  <c r="L128" i="16"/>
  <c r="M128" i="16" s="1"/>
  <c r="P128" i="16" s="1"/>
  <c r="L86" i="16"/>
  <c r="M86" i="16" s="1"/>
  <c r="P86" i="16" s="1"/>
  <c r="L12" i="16"/>
  <c r="M12" i="16" s="1"/>
  <c r="P12" i="16" s="1"/>
  <c r="L175" i="16"/>
  <c r="M175" i="16" s="1"/>
  <c r="P175" i="16" s="1"/>
  <c r="L41" i="16"/>
  <c r="M41" i="16" s="1"/>
  <c r="P41" i="16" s="1"/>
  <c r="L53" i="16"/>
  <c r="M53" i="16" s="1"/>
  <c r="P53" i="16" s="1"/>
  <c r="L110" i="16"/>
  <c r="M110" i="16" s="1"/>
  <c r="P110" i="16" s="1"/>
  <c r="L169" i="17"/>
  <c r="M169" i="17" s="1"/>
  <c r="P169" i="17" s="1"/>
  <c r="L104" i="16"/>
  <c r="M104" i="16" s="1"/>
  <c r="P104" i="16" s="1"/>
  <c r="L47" i="16"/>
  <c r="M47" i="16" s="1"/>
  <c r="P47" i="16" s="1"/>
  <c r="L78" i="17"/>
  <c r="M78" i="17" s="1"/>
  <c r="P78" i="17" s="1"/>
  <c r="L69" i="16"/>
  <c r="M69" i="16" s="1"/>
  <c r="P69" i="16" s="1"/>
  <c r="L170" i="17"/>
  <c r="M170" i="17" s="1"/>
  <c r="P170" i="17" s="1"/>
  <c r="L23" i="16"/>
  <c r="M23" i="16" s="1"/>
  <c r="P23" i="16" s="1"/>
  <c r="L154" i="17"/>
  <c r="M154" i="17" s="1"/>
  <c r="P154" i="17" s="1"/>
  <c r="L51" i="17"/>
  <c r="M51" i="17" s="1"/>
  <c r="P51" i="17" s="1"/>
  <c r="L55" i="16"/>
  <c r="M55" i="16" s="1"/>
  <c r="P55" i="16" s="1"/>
  <c r="L72" i="16"/>
  <c r="M72" i="16" s="1"/>
  <c r="P72" i="16" s="1"/>
  <c r="L131" i="16"/>
  <c r="M131" i="16" s="1"/>
  <c r="P131" i="16" s="1"/>
  <c r="L63" i="16"/>
  <c r="M63" i="16" s="1"/>
  <c r="P63" i="16" s="1"/>
  <c r="L171" i="16"/>
  <c r="M171" i="16" s="1"/>
  <c r="P171" i="16" s="1"/>
  <c r="L92" i="16"/>
  <c r="M92" i="16" s="1"/>
  <c r="P92" i="16" s="1"/>
  <c r="L6" i="16"/>
  <c r="M6" i="16" s="1"/>
  <c r="P6" i="16" s="1"/>
  <c r="L156" i="16"/>
  <c r="M156" i="16" s="1"/>
  <c r="P156" i="16" s="1"/>
  <c r="L89" i="16"/>
  <c r="M89" i="16" s="1"/>
  <c r="P89" i="16" s="1"/>
  <c r="L62" i="16"/>
  <c r="M62" i="16" s="1"/>
  <c r="P62" i="16" s="1"/>
  <c r="L8" i="16"/>
  <c r="M8" i="16" s="1"/>
  <c r="P8" i="16" s="1"/>
  <c r="L20" i="16"/>
  <c r="M20" i="16" s="1"/>
  <c r="P20" i="16" s="1"/>
  <c r="L193" i="16"/>
  <c r="M193" i="16" s="1"/>
  <c r="P193" i="16" s="1"/>
  <c r="L109" i="16"/>
  <c r="M109" i="16" s="1"/>
  <c r="P109" i="16" s="1"/>
  <c r="L14" i="16"/>
  <c r="M14" i="16" s="1"/>
  <c r="P14" i="16" s="1"/>
  <c r="L174" i="16"/>
  <c r="M174" i="16" s="1"/>
  <c r="P174" i="16" s="1"/>
  <c r="L196" i="16"/>
  <c r="M196" i="16" s="1"/>
  <c r="P196" i="16" s="1"/>
  <c r="L97" i="16"/>
  <c r="M97" i="16" s="1"/>
  <c r="P97" i="16" s="1"/>
  <c r="L118" i="16"/>
  <c r="M118" i="16" s="1"/>
  <c r="P118" i="16" s="1"/>
  <c r="L21" i="16"/>
  <c r="M21" i="16" s="1"/>
  <c r="P21" i="16" s="1"/>
  <c r="L144" i="16"/>
  <c r="M144" i="16" s="1"/>
  <c r="P144" i="16" s="1"/>
  <c r="L137" i="16"/>
  <c r="M137" i="16" s="1"/>
  <c r="P137" i="16" s="1"/>
  <c r="L42" i="16"/>
  <c r="M42" i="16" s="1"/>
  <c r="P42" i="16" s="1"/>
  <c r="L18" i="17"/>
  <c r="M18" i="17" s="1"/>
  <c r="P18" i="17" s="1"/>
  <c r="L68" i="16"/>
  <c r="M68" i="16" s="1"/>
  <c r="P68" i="16" s="1"/>
  <c r="L181" i="16"/>
  <c r="M181" i="16" s="1"/>
  <c r="P181" i="16" s="1"/>
  <c r="L136" i="17"/>
  <c r="M136" i="17" s="1"/>
  <c r="P136" i="17" s="1"/>
  <c r="L68" i="17"/>
  <c r="M68" i="17" s="1"/>
  <c r="P68" i="17" s="1"/>
  <c r="L162" i="17"/>
  <c r="M162" i="17" s="1"/>
  <c r="P162" i="17" s="1"/>
  <c r="L42" i="17"/>
  <c r="M42" i="17" s="1"/>
  <c r="P42" i="17" s="1"/>
  <c r="L109" i="17"/>
  <c r="M109" i="17" s="1"/>
  <c r="P109" i="17" s="1"/>
  <c r="L88" i="17"/>
  <c r="M88" i="17" s="1"/>
  <c r="P88" i="17" s="1"/>
  <c r="L191" i="17"/>
  <c r="M191" i="17" s="1"/>
  <c r="P191" i="17" s="1"/>
  <c r="L4" i="17"/>
  <c r="M4" i="17" s="1"/>
  <c r="P4" i="17" s="1"/>
  <c r="L188" i="17"/>
  <c r="M188" i="17" s="1"/>
  <c r="P188" i="17" s="1"/>
  <c r="L7" i="17"/>
  <c r="M7" i="17" s="1"/>
  <c r="P7" i="17" s="1"/>
  <c r="L77" i="17"/>
  <c r="M77" i="17" s="1"/>
  <c r="P77" i="17" s="1"/>
  <c r="L157" i="17"/>
  <c r="M157" i="17" s="1"/>
  <c r="P157" i="17" s="1"/>
  <c r="K163" i="16"/>
  <c r="O163" i="16" s="1"/>
  <c r="K181" i="16"/>
  <c r="O181" i="16" s="1"/>
  <c r="K182" i="16"/>
  <c r="O182" i="16" s="1"/>
  <c r="K164" i="16"/>
  <c r="O164" i="16" s="1"/>
  <c r="K119" i="16"/>
  <c r="O119" i="16" s="1"/>
  <c r="K54" i="16"/>
  <c r="O54" i="16" s="1"/>
  <c r="K156" i="16"/>
  <c r="O156" i="16" s="1"/>
  <c r="K142" i="16"/>
  <c r="O142" i="16" s="1"/>
  <c r="K80" i="16"/>
  <c r="O80" i="16" s="1"/>
  <c r="K148" i="16"/>
  <c r="O148" i="16" s="1"/>
  <c r="K89" i="16"/>
  <c r="O89" i="16" s="1"/>
  <c r="K160" i="16"/>
  <c r="O160" i="16" s="1"/>
  <c r="K90" i="16"/>
  <c r="O90" i="16" s="1"/>
  <c r="K110" i="16"/>
  <c r="O110" i="16" s="1"/>
  <c r="K112" i="16"/>
  <c r="O112" i="16" s="1"/>
  <c r="K143" i="16"/>
  <c r="O143" i="16" s="1"/>
  <c r="K53" i="16"/>
  <c r="O53" i="16" s="1"/>
  <c r="K43" i="16"/>
  <c r="O43" i="16" s="1"/>
  <c r="K41" i="16"/>
  <c r="O41" i="16" s="1"/>
  <c r="K28" i="16"/>
  <c r="O28" i="16" s="1"/>
  <c r="K8" i="16"/>
  <c r="O8" i="16" s="1"/>
  <c r="L80" i="17"/>
  <c r="M80" i="17" s="1"/>
  <c r="P80" i="17" s="1"/>
  <c r="L79" i="17"/>
  <c r="M79" i="17" s="1"/>
  <c r="P79" i="17" s="1"/>
  <c r="L145" i="17"/>
  <c r="M145" i="17" s="1"/>
  <c r="P145" i="17" s="1"/>
  <c r="L27" i="17"/>
  <c r="M27" i="17" s="1"/>
  <c r="P27" i="17" s="1"/>
  <c r="L123" i="17"/>
  <c r="M123" i="17" s="1"/>
  <c r="P123" i="17" s="1"/>
  <c r="L21" i="17"/>
  <c r="M21" i="17" s="1"/>
  <c r="P21" i="17" s="1"/>
  <c r="L76" i="17"/>
  <c r="M76" i="17" s="1"/>
  <c r="P76" i="17" s="1"/>
  <c r="L174" i="17"/>
  <c r="M174" i="17" s="1"/>
  <c r="P174" i="17" s="1"/>
  <c r="L179" i="17"/>
  <c r="M179" i="17" s="1"/>
  <c r="P179" i="17" s="1"/>
  <c r="L163" i="17"/>
  <c r="M163" i="17" s="1"/>
  <c r="P163" i="17" s="1"/>
  <c r="L65" i="17"/>
  <c r="M65" i="17" s="1"/>
  <c r="P65" i="17" s="1"/>
  <c r="L139" i="17"/>
  <c r="M139" i="17" s="1"/>
  <c r="P139" i="17" s="1"/>
  <c r="L116" i="17"/>
  <c r="M116" i="17" s="1"/>
  <c r="P116" i="17" s="1"/>
  <c r="L31" i="17"/>
  <c r="M31" i="17" s="1"/>
  <c r="P31" i="17" s="1"/>
  <c r="L19" i="17"/>
  <c r="M19" i="17" s="1"/>
  <c r="P19" i="17" s="1"/>
  <c r="L81" i="17"/>
  <c r="M81" i="17" s="1"/>
  <c r="P81" i="17" s="1"/>
  <c r="L97" i="17"/>
  <c r="M97" i="17" s="1"/>
  <c r="P97" i="17" s="1"/>
  <c r="L90" i="17"/>
  <c r="M90" i="17" s="1"/>
  <c r="P90" i="17" s="1"/>
  <c r="L50" i="17"/>
  <c r="M50" i="17" s="1"/>
  <c r="P50" i="17" s="1"/>
  <c r="L39" i="17"/>
  <c r="M39" i="17" s="1"/>
  <c r="P39" i="17" s="1"/>
  <c r="L54" i="17"/>
  <c r="M54" i="17" s="1"/>
  <c r="P54" i="17" s="1"/>
  <c r="L48" i="17"/>
  <c r="M48" i="17" s="1"/>
  <c r="P48" i="17" s="1"/>
  <c r="L150" i="17"/>
  <c r="M150" i="17" s="1"/>
  <c r="P150" i="17" s="1"/>
  <c r="L143" i="17"/>
  <c r="M143" i="17" s="1"/>
  <c r="P143" i="17" s="1"/>
  <c r="L167" i="17"/>
  <c r="M167" i="17" s="1"/>
  <c r="P167" i="17" s="1"/>
  <c r="L72" i="17"/>
  <c r="M72" i="17" s="1"/>
  <c r="P72" i="17" s="1"/>
  <c r="L56" i="17"/>
  <c r="M56" i="17" s="1"/>
  <c r="P56" i="17" s="1"/>
  <c r="L52" i="17"/>
  <c r="M52" i="17" s="1"/>
  <c r="P52" i="17" s="1"/>
  <c r="L15" i="17"/>
  <c r="M15" i="17" s="1"/>
  <c r="P15" i="17" s="1"/>
  <c r="L130" i="17"/>
  <c r="M130" i="17" s="1"/>
  <c r="P130" i="17" s="1"/>
  <c r="L186" i="17"/>
  <c r="M186" i="17" s="1"/>
  <c r="P186" i="17" s="1"/>
  <c r="L10" i="17"/>
  <c r="M10" i="17" s="1"/>
  <c r="P10" i="17" s="1"/>
  <c r="L55" i="17"/>
  <c r="M55" i="17" s="1"/>
  <c r="P55" i="17" s="1"/>
  <c r="L91" i="17"/>
  <c r="M91" i="17" s="1"/>
  <c r="P91" i="17" s="1"/>
  <c r="L16" i="17"/>
  <c r="M16" i="17" s="1"/>
  <c r="P16" i="17" s="1"/>
  <c r="L200" i="17"/>
  <c r="M200" i="17" s="1"/>
  <c r="P200" i="17" s="1"/>
  <c r="L28" i="17"/>
  <c r="M28" i="17" s="1"/>
  <c r="P28" i="17" s="1"/>
  <c r="L138" i="17"/>
  <c r="M138" i="17" s="1"/>
  <c r="P138" i="17" s="1"/>
  <c r="L125" i="17"/>
  <c r="M125" i="17" s="1"/>
  <c r="P125" i="17" s="1"/>
  <c r="L11" i="17"/>
  <c r="M11" i="17" s="1"/>
  <c r="P11" i="17" s="1"/>
  <c r="L158" i="17"/>
  <c r="M158" i="17" s="1"/>
  <c r="P158" i="17" s="1"/>
  <c r="L153" i="17"/>
  <c r="M153" i="17" s="1"/>
  <c r="P153" i="17" s="1"/>
  <c r="L166" i="17"/>
  <c r="M166" i="17" s="1"/>
  <c r="P166" i="17" s="1"/>
  <c r="L113" i="17"/>
  <c r="M113" i="17" s="1"/>
  <c r="P113" i="17" s="1"/>
  <c r="L60" i="17"/>
  <c r="M60" i="17" s="1"/>
  <c r="P60" i="17" s="1"/>
  <c r="L181" i="17"/>
  <c r="M181" i="17" s="1"/>
  <c r="P181" i="17" s="1"/>
  <c r="L41" i="17"/>
  <c r="M41" i="17" s="1"/>
  <c r="P41" i="17" s="1"/>
  <c r="L14" i="17"/>
  <c r="M14" i="17" s="1"/>
  <c r="P14" i="17" s="1"/>
  <c r="L141" i="17"/>
  <c r="M141" i="17" s="1"/>
  <c r="P141" i="17" s="1"/>
  <c r="L182" i="17"/>
  <c r="M182" i="17" s="1"/>
  <c r="P182" i="17" s="1"/>
  <c r="L87" i="17"/>
  <c r="M87" i="17" s="1"/>
  <c r="P87" i="17" s="1"/>
  <c r="L29" i="17"/>
  <c r="M29" i="17" s="1"/>
  <c r="P29" i="17" s="1"/>
  <c r="L197" i="17"/>
  <c r="M197" i="17" s="1"/>
  <c r="P197" i="17" s="1"/>
  <c r="L98" i="17"/>
  <c r="M98" i="17" s="1"/>
  <c r="P98" i="17" s="1"/>
  <c r="L127" i="17"/>
  <c r="M127" i="17" s="1"/>
  <c r="P127" i="17" s="1"/>
  <c r="L147" i="17"/>
  <c r="M147" i="17" s="1"/>
  <c r="P147" i="17" s="1"/>
  <c r="L75" i="17"/>
  <c r="M75" i="17" s="1"/>
  <c r="P75" i="17" s="1"/>
  <c r="L102" i="17"/>
  <c r="M102" i="17" s="1"/>
  <c r="P102" i="17" s="1"/>
  <c r="L165" i="17"/>
  <c r="M165" i="17" s="1"/>
  <c r="P165" i="17" s="1"/>
  <c r="L146" i="17"/>
  <c r="M146" i="17" s="1"/>
  <c r="P146" i="17" s="1"/>
  <c r="L58" i="17"/>
  <c r="M58" i="17" s="1"/>
  <c r="P58" i="17" s="1"/>
  <c r="L84" i="17"/>
  <c r="M84" i="17" s="1"/>
  <c r="P84" i="17" s="1"/>
  <c r="L43" i="17"/>
  <c r="M43" i="17" s="1"/>
  <c r="P43" i="17" s="1"/>
  <c r="L34" i="17"/>
  <c r="M34" i="17" s="1"/>
  <c r="P34" i="17" s="1"/>
  <c r="L134" i="17"/>
  <c r="M134" i="17" s="1"/>
  <c r="P134" i="17" s="1"/>
  <c r="L144" i="17"/>
  <c r="M144" i="17" s="1"/>
  <c r="P144" i="17" s="1"/>
  <c r="L100" i="17"/>
  <c r="M100" i="17" s="1"/>
  <c r="P100" i="17" s="1"/>
  <c r="L175" i="17"/>
  <c r="M175" i="17" s="1"/>
  <c r="P175" i="17" s="1"/>
  <c r="L187" i="17"/>
  <c r="M187" i="17" s="1"/>
  <c r="P187" i="17" s="1"/>
  <c r="L180" i="17"/>
  <c r="M180" i="17" s="1"/>
  <c r="P180" i="17" s="1"/>
  <c r="L22" i="17"/>
  <c r="M22" i="17" s="1"/>
  <c r="P22" i="17" s="1"/>
  <c r="L110" i="17"/>
  <c r="M110" i="17" s="1"/>
  <c r="P110" i="17" s="1"/>
  <c r="L196" i="17"/>
  <c r="M196" i="17" s="1"/>
  <c r="P196" i="17" s="1"/>
  <c r="L117" i="17"/>
  <c r="M117" i="17" s="1"/>
  <c r="P117" i="17" s="1"/>
  <c r="L82" i="17"/>
  <c r="M82" i="17" s="1"/>
  <c r="P82" i="17" s="1"/>
  <c r="L9" i="17"/>
  <c r="M9" i="17" s="1"/>
  <c r="P9" i="17" s="1"/>
  <c r="L137" i="17"/>
  <c r="M137" i="17" s="1"/>
  <c r="P137" i="17" s="1"/>
  <c r="L122" i="17"/>
  <c r="M122" i="17" s="1"/>
  <c r="P122" i="17" s="1"/>
  <c r="L176" i="17"/>
  <c r="M176" i="17" s="1"/>
  <c r="P176" i="17" s="1"/>
  <c r="L86" i="17"/>
  <c r="M86" i="17" s="1"/>
  <c r="P86" i="17" s="1"/>
  <c r="L184" i="17"/>
  <c r="M184" i="17" s="1"/>
  <c r="P184" i="17" s="1"/>
  <c r="L44" i="17"/>
  <c r="M44" i="17" s="1"/>
  <c r="P44" i="17" s="1"/>
  <c r="L62" i="17"/>
  <c r="M62" i="17" s="1"/>
  <c r="P62" i="17" s="1"/>
  <c r="L178" i="17"/>
  <c r="M178" i="17" s="1"/>
  <c r="P178" i="17" s="1"/>
  <c r="L5" i="17"/>
  <c r="M5" i="17" s="1"/>
  <c r="P5" i="17" s="1"/>
  <c r="L66" i="17"/>
  <c r="M66" i="17" s="1"/>
  <c r="P66" i="17" s="1"/>
  <c r="L30" i="17"/>
  <c r="M30" i="17" s="1"/>
  <c r="P30" i="17" s="1"/>
  <c r="L106" i="17"/>
  <c r="M106" i="17" s="1"/>
  <c r="P106" i="17" s="1"/>
  <c r="L93" i="17"/>
  <c r="M93" i="17" s="1"/>
  <c r="P93" i="17" s="1"/>
  <c r="L152" i="17"/>
  <c r="M152" i="17" s="1"/>
  <c r="P152" i="17" s="1"/>
  <c r="I22" i="17"/>
  <c r="I30" i="17" s="1"/>
  <c r="L107" i="17"/>
  <c r="M107" i="17" s="1"/>
  <c r="P107" i="17" s="1"/>
  <c r="L94" i="17"/>
  <c r="M94" i="17" s="1"/>
  <c r="P94" i="17" s="1"/>
  <c r="L195" i="17"/>
  <c r="M195" i="17" s="1"/>
  <c r="P195" i="17" s="1"/>
  <c r="L35" i="17"/>
  <c r="M35" i="17" s="1"/>
  <c r="P35" i="17" s="1"/>
  <c r="L183" i="17"/>
  <c r="M183" i="17" s="1"/>
  <c r="P183" i="17" s="1"/>
  <c r="L92" i="17"/>
  <c r="M92" i="17" s="1"/>
  <c r="P92" i="17" s="1"/>
  <c r="L128" i="17"/>
  <c r="M128" i="17" s="1"/>
  <c r="P128" i="17" s="1"/>
  <c r="L132" i="17"/>
  <c r="M132" i="17" s="1"/>
  <c r="P132" i="17" s="1"/>
  <c r="L67" i="17"/>
  <c r="M67" i="17" s="1"/>
  <c r="P67" i="17" s="1"/>
  <c r="L26" i="17"/>
  <c r="M26" i="17" s="1"/>
  <c r="P26" i="17" s="1"/>
  <c r="L71" i="17"/>
  <c r="M71" i="17" s="1"/>
  <c r="P71" i="17" s="1"/>
  <c r="L13" i="17"/>
  <c r="M13" i="17" s="1"/>
  <c r="P13" i="17" s="1"/>
  <c r="L64" i="17"/>
  <c r="M64" i="17" s="1"/>
  <c r="P64" i="17" s="1"/>
  <c r="L185" i="17"/>
  <c r="M185" i="17" s="1"/>
  <c r="P185" i="17" s="1"/>
  <c r="L33" i="17"/>
  <c r="M33" i="17" s="1"/>
  <c r="P33" i="17" s="1"/>
  <c r="L111" i="17"/>
  <c r="M111" i="17" s="1"/>
  <c r="P111" i="17" s="1"/>
  <c r="L101" i="17"/>
  <c r="M101" i="17" s="1"/>
  <c r="P101" i="17" s="1"/>
  <c r="L160" i="17"/>
  <c r="M160" i="17" s="1"/>
  <c r="P160" i="17" s="1"/>
  <c r="L173" i="17"/>
  <c r="M173" i="17" s="1"/>
  <c r="P173" i="17" s="1"/>
  <c r="L202" i="17"/>
  <c r="M202" i="17" s="1"/>
  <c r="P202" i="17" s="1"/>
  <c r="L36" i="17"/>
  <c r="M36" i="17" s="1"/>
  <c r="P36" i="17" s="1"/>
  <c r="L69" i="17"/>
  <c r="M69" i="17" s="1"/>
  <c r="P69" i="17" s="1"/>
  <c r="L108" i="17"/>
  <c r="M108" i="17" s="1"/>
  <c r="P108" i="17" s="1"/>
  <c r="K147" i="17"/>
  <c r="O147" i="17" s="1"/>
  <c r="K171" i="17"/>
  <c r="O171" i="17" s="1"/>
  <c r="K170" i="17"/>
  <c r="O170" i="17" s="1"/>
  <c r="K127" i="17"/>
  <c r="O127" i="17" s="1"/>
  <c r="K191" i="17"/>
  <c r="O191" i="17" s="1"/>
  <c r="L177" i="16"/>
  <c r="M177" i="16" s="1"/>
  <c r="P177" i="16" s="1"/>
  <c r="L184" i="16"/>
  <c r="M184" i="16" s="1"/>
  <c r="P184" i="16" s="1"/>
  <c r="L101" i="16"/>
  <c r="M101" i="16" s="1"/>
  <c r="P101" i="16" s="1"/>
  <c r="L67" i="16"/>
  <c r="M67" i="16" s="1"/>
  <c r="P67" i="16" s="1"/>
  <c r="L199" i="16"/>
  <c r="M199" i="16" s="1"/>
  <c r="P199" i="16" s="1"/>
  <c r="L15" i="16"/>
  <c r="M15" i="16" s="1"/>
  <c r="P15" i="16" s="1"/>
  <c r="L43" i="16"/>
  <c r="M43" i="16" s="1"/>
  <c r="P43" i="16" s="1"/>
  <c r="L197" i="16"/>
  <c r="M197" i="16" s="1"/>
  <c r="P197" i="16" s="1"/>
  <c r="M36" i="16"/>
  <c r="P36" i="16" s="1"/>
  <c r="K174" i="17"/>
  <c r="O174" i="17" s="1"/>
  <c r="K197" i="17"/>
  <c r="O197" i="17" s="1"/>
  <c r="K188" i="17"/>
  <c r="O188" i="17" s="1"/>
  <c r="K187" i="17"/>
  <c r="O187" i="17" s="1"/>
  <c r="K186" i="17"/>
  <c r="O186" i="17" s="1"/>
  <c r="K143" i="17"/>
  <c r="O143" i="17" s="1"/>
  <c r="L29" i="16"/>
  <c r="M29" i="16" s="1"/>
  <c r="P29" i="16" s="1"/>
  <c r="L189" i="16"/>
  <c r="M189" i="16" s="1"/>
  <c r="P189" i="16" s="1"/>
  <c r="L44" i="16"/>
  <c r="M44" i="16" s="1"/>
  <c r="P44" i="16" s="1"/>
  <c r="L134" i="16"/>
  <c r="M134" i="16" s="1"/>
  <c r="P134" i="16" s="1"/>
  <c r="L60" i="16"/>
  <c r="M60" i="16" s="1"/>
  <c r="P60" i="16" s="1"/>
  <c r="L73" i="16"/>
  <c r="M73" i="16" s="1"/>
  <c r="P73" i="16" s="1"/>
  <c r="L13" i="16"/>
  <c r="M13" i="16" s="1"/>
  <c r="P13" i="16" s="1"/>
  <c r="L19" i="16"/>
  <c r="M19" i="16" s="1"/>
  <c r="P19" i="16" s="1"/>
  <c r="L88" i="16"/>
  <c r="M88" i="16" s="1"/>
  <c r="P88" i="16" s="1"/>
  <c r="K26" i="17"/>
  <c r="O26" i="17" s="1"/>
  <c r="K43" i="17"/>
  <c r="O43" i="17" s="1"/>
  <c r="K193" i="17"/>
  <c r="O193" i="17" s="1"/>
  <c r="K79" i="17"/>
  <c r="O79" i="17" s="1"/>
  <c r="K87" i="17"/>
  <c r="O87" i="17" s="1"/>
  <c r="K78" i="17"/>
  <c r="O78" i="17" s="1"/>
  <c r="K55" i="17"/>
  <c r="O55" i="17" s="1"/>
  <c r="K144" i="17"/>
  <c r="O144" i="17" s="1"/>
  <c r="K77" i="17"/>
  <c r="O77" i="17" s="1"/>
  <c r="K32" i="17"/>
  <c r="O32" i="17" s="1"/>
  <c r="K76" i="17"/>
  <c r="O76" i="17" s="1"/>
  <c r="K30" i="17"/>
  <c r="O30" i="17" s="1"/>
  <c r="K110" i="17"/>
  <c r="O110" i="17" s="1"/>
  <c r="K131" i="17"/>
  <c r="O131" i="17" s="1"/>
  <c r="K93" i="17"/>
  <c r="O93" i="17" s="1"/>
  <c r="K150" i="17"/>
  <c r="O150" i="17" s="1"/>
  <c r="K130" i="17"/>
  <c r="O130" i="17" s="1"/>
  <c r="K182" i="17"/>
  <c r="O182" i="17" s="1"/>
  <c r="K82" i="17"/>
  <c r="O82" i="17" s="1"/>
  <c r="K133" i="17"/>
  <c r="O133" i="17" s="1"/>
  <c r="K157" i="17"/>
  <c r="O157" i="17" s="1"/>
  <c r="K204" i="17"/>
  <c r="O204" i="17" s="1"/>
  <c r="K203" i="17"/>
  <c r="O203" i="17" s="1"/>
  <c r="L114" i="16"/>
  <c r="M114" i="16" s="1"/>
  <c r="P114" i="16" s="1"/>
  <c r="L74" i="16"/>
  <c r="M74" i="16" s="1"/>
  <c r="P74" i="16" s="1"/>
  <c r="L93" i="16"/>
  <c r="M93" i="16" s="1"/>
  <c r="P93" i="16" s="1"/>
  <c r="L168" i="16"/>
  <c r="M168" i="16" s="1"/>
  <c r="P168" i="16" s="1"/>
  <c r="L22" i="16"/>
  <c r="M22" i="16" s="1"/>
  <c r="P22" i="16" s="1"/>
  <c r="L38" i="16"/>
  <c r="M38" i="16" s="1"/>
  <c r="P38" i="16" s="1"/>
  <c r="L79" i="16"/>
  <c r="M79" i="16" s="1"/>
  <c r="P79" i="16" s="1"/>
  <c r="L18" i="16"/>
  <c r="M18" i="16" s="1"/>
  <c r="P18" i="16" s="1"/>
  <c r="M80" i="16"/>
  <c r="P80" i="16" s="1"/>
  <c r="L16" i="16"/>
  <c r="M16" i="16" s="1"/>
  <c r="P16" i="16" s="1"/>
  <c r="L173" i="16"/>
  <c r="M173" i="16" s="1"/>
  <c r="P173" i="16" s="1"/>
  <c r="L126" i="16"/>
  <c r="M126" i="16" s="1"/>
  <c r="P126" i="16" s="1"/>
  <c r="L33" i="16"/>
  <c r="M33" i="16" s="1"/>
  <c r="P33" i="16" s="1"/>
  <c r="L2" i="16"/>
  <c r="M2" i="16" s="1"/>
  <c r="P2" i="16" s="1"/>
  <c r="L183" i="16"/>
  <c r="M183" i="16" s="1"/>
  <c r="P183" i="16" s="1"/>
  <c r="L191" i="16"/>
  <c r="M191" i="16" s="1"/>
  <c r="P191" i="16" s="1"/>
  <c r="L179" i="16"/>
  <c r="M179" i="16" s="1"/>
  <c r="P179" i="16" s="1"/>
  <c r="L96" i="16"/>
  <c r="M96" i="16" s="1"/>
  <c r="P96" i="16" s="1"/>
  <c r="L5" i="16"/>
  <c r="M5" i="16" s="1"/>
  <c r="P5" i="16" s="1"/>
  <c r="L166" i="16"/>
  <c r="M166" i="16" s="1"/>
  <c r="P166" i="16" s="1"/>
  <c r="L187" i="16"/>
  <c r="M187" i="16" s="1"/>
  <c r="P187" i="16" s="1"/>
  <c r="L75" i="16"/>
  <c r="M75" i="16" s="1"/>
  <c r="P75" i="16" s="1"/>
  <c r="L185" i="16"/>
  <c r="M185" i="16" s="1"/>
  <c r="P185" i="16" s="1"/>
  <c r="L180" i="16"/>
  <c r="M180" i="16" s="1"/>
  <c r="P180" i="16" s="1"/>
  <c r="L81" i="16"/>
  <c r="M81" i="16" s="1"/>
  <c r="P81" i="16" s="1"/>
  <c r="L85" i="16"/>
  <c r="M85" i="16" s="1"/>
  <c r="P85" i="16" s="1"/>
  <c r="L10" i="16"/>
  <c r="M10" i="16" s="1"/>
  <c r="P10" i="16" s="1"/>
  <c r="L108" i="16"/>
  <c r="M108" i="16" s="1"/>
  <c r="P108" i="16" s="1"/>
  <c r="L176" i="16"/>
  <c r="M176" i="16" s="1"/>
  <c r="P176" i="16" s="1"/>
  <c r="L59" i="16"/>
  <c r="M59" i="16" s="1"/>
  <c r="P59" i="16" s="1"/>
  <c r="L39" i="16"/>
  <c r="M39" i="16" s="1"/>
  <c r="P39" i="16" s="1"/>
  <c r="L153" i="16"/>
  <c r="M153" i="16" s="1"/>
  <c r="P153" i="16" s="1"/>
  <c r="L170" i="16"/>
  <c r="M170" i="16" s="1"/>
  <c r="P170" i="16" s="1"/>
  <c r="L116" i="16"/>
  <c r="M116" i="16" s="1"/>
  <c r="P116" i="16" s="1"/>
  <c r="L31" i="16"/>
  <c r="M31" i="16" s="1"/>
  <c r="P31" i="16" s="1"/>
  <c r="L149" i="16"/>
  <c r="M149" i="16" s="1"/>
  <c r="P149" i="16" s="1"/>
  <c r="L3" i="16"/>
  <c r="M3" i="16" s="1"/>
  <c r="P3" i="16" s="1"/>
  <c r="L87" i="16"/>
  <c r="M87" i="16" s="1"/>
  <c r="P87" i="16" s="1"/>
  <c r="L34" i="16"/>
  <c r="M34" i="16" s="1"/>
  <c r="P34" i="16" s="1"/>
  <c r="L52" i="16"/>
  <c r="M52" i="16" s="1"/>
  <c r="P52" i="16" s="1"/>
  <c r="L57" i="16"/>
  <c r="M57" i="16" s="1"/>
  <c r="P57" i="16" s="1"/>
  <c r="L159" i="16"/>
  <c r="M159" i="16" s="1"/>
  <c r="P159" i="16" s="1"/>
  <c r="L127" i="16"/>
  <c r="M127" i="16" s="1"/>
  <c r="P127" i="16" s="1"/>
  <c r="L32" i="16"/>
  <c r="M32" i="16" s="1"/>
  <c r="P32" i="16" s="1"/>
  <c r="L136" i="16"/>
  <c r="M136" i="16" s="1"/>
  <c r="P136" i="16" s="1"/>
  <c r="L125" i="16"/>
  <c r="M125" i="16" s="1"/>
  <c r="P125" i="16" s="1"/>
  <c r="L151" i="16"/>
  <c r="M151" i="16" s="1"/>
  <c r="P151" i="16" s="1"/>
  <c r="L76" i="16"/>
  <c r="M76" i="16" s="1"/>
  <c r="P76" i="16" s="1"/>
  <c r="L146" i="16"/>
  <c r="M146" i="16" s="1"/>
  <c r="P146" i="16" s="1"/>
  <c r="L194" i="16"/>
  <c r="M194" i="16" s="1"/>
  <c r="P194" i="16" s="1"/>
  <c r="L130" i="16"/>
  <c r="M130" i="16" s="1"/>
  <c r="P130" i="16" s="1"/>
  <c r="L37" i="16"/>
  <c r="M37" i="16" s="1"/>
  <c r="P37" i="16" s="1"/>
  <c r="I22" i="16"/>
  <c r="L147" i="16"/>
  <c r="M147" i="16" s="1"/>
  <c r="P147" i="16" s="1"/>
  <c r="L139" i="16"/>
  <c r="M139" i="16" s="1"/>
  <c r="P139" i="16" s="1"/>
  <c r="L45" i="16"/>
  <c r="M45" i="16" s="1"/>
  <c r="P45" i="16" s="1"/>
  <c r="L7" i="16"/>
  <c r="M7" i="16" s="1"/>
  <c r="P7" i="16" s="1"/>
  <c r="L120" i="16"/>
  <c r="M120" i="16" s="1"/>
  <c r="P120" i="16" s="1"/>
  <c r="L162" i="16"/>
  <c r="M162" i="16" s="1"/>
  <c r="P162" i="16" s="1"/>
  <c r="L35" i="16"/>
  <c r="M35" i="16" s="1"/>
  <c r="P35" i="16" s="1"/>
  <c r="L27" i="16"/>
  <c r="M27" i="16" s="1"/>
  <c r="P27" i="16" s="1"/>
  <c r="L25" i="16"/>
  <c r="M25" i="16" s="1"/>
  <c r="P25" i="16" s="1"/>
  <c r="L169" i="16"/>
  <c r="M169" i="16" s="1"/>
  <c r="P169" i="16" s="1"/>
  <c r="L122" i="16"/>
  <c r="M122" i="16" s="1"/>
  <c r="P122" i="16" s="1"/>
  <c r="L167" i="16"/>
  <c r="M167" i="16" s="1"/>
  <c r="P167" i="16" s="1"/>
  <c r="L124" i="16"/>
  <c r="M124" i="16" s="1"/>
  <c r="P124" i="16" s="1"/>
  <c r="L157" i="16"/>
  <c r="M157" i="16" s="1"/>
  <c r="P157" i="16" s="1"/>
  <c r="L78" i="16"/>
  <c r="M78" i="16" s="1"/>
  <c r="P78" i="16" s="1"/>
  <c r="L95" i="16"/>
  <c r="M95" i="16" s="1"/>
  <c r="P95" i="16" s="1"/>
  <c r="L40" i="16"/>
  <c r="M40" i="16" s="1"/>
  <c r="P40" i="16" s="1"/>
  <c r="L100" i="16"/>
  <c r="M100" i="16" s="1"/>
  <c r="P100" i="16" s="1"/>
  <c r="L190" i="16"/>
  <c r="M190" i="16" s="1"/>
  <c r="P190" i="16" s="1"/>
  <c r="L121" i="16"/>
  <c r="M121" i="16" s="1"/>
  <c r="P121" i="16" s="1"/>
  <c r="L56" i="16"/>
  <c r="M56" i="16" s="1"/>
  <c r="P56" i="16" s="1"/>
  <c r="I21" i="16"/>
  <c r="I27" i="16" s="1"/>
  <c r="L164" i="16"/>
  <c r="M164" i="16" s="1"/>
  <c r="P164" i="16" s="1"/>
  <c r="L65" i="16"/>
  <c r="M65" i="16" s="1"/>
  <c r="P65" i="16" s="1"/>
  <c r="L58" i="16"/>
  <c r="M58" i="16" s="1"/>
  <c r="P58" i="16" s="1"/>
  <c r="L133" i="16"/>
  <c r="M133" i="16" s="1"/>
  <c r="P133" i="16" s="1"/>
  <c r="M161" i="16"/>
  <c r="P161" i="16" s="1"/>
  <c r="L117" i="16"/>
  <c r="M117" i="16" s="1"/>
  <c r="P117" i="16" s="1"/>
  <c r="L119" i="16"/>
  <c r="M119" i="16" s="1"/>
  <c r="P119" i="16" s="1"/>
  <c r="L204" i="16"/>
  <c r="M204" i="16" s="1"/>
  <c r="P204" i="16" s="1"/>
  <c r="L28" i="16"/>
  <c r="M28" i="16" s="1"/>
  <c r="P28" i="16" s="1"/>
  <c r="L98" i="16"/>
  <c r="M98" i="16" s="1"/>
  <c r="P98" i="16" s="1"/>
  <c r="L99" i="16"/>
  <c r="M99" i="16" s="1"/>
  <c r="P99" i="16" s="1"/>
  <c r="L202" i="16"/>
  <c r="M202" i="16" s="1"/>
  <c r="P202" i="16" s="1"/>
  <c r="L102" i="16"/>
  <c r="M102" i="16" s="1"/>
  <c r="P102" i="16" s="1"/>
  <c r="L123" i="16"/>
  <c r="M123" i="16" s="1"/>
  <c r="P123" i="16" s="1"/>
  <c r="I17" i="13"/>
  <c r="I21" i="13" s="1"/>
  <c r="I15" i="13"/>
  <c r="I13" i="13"/>
  <c r="I14" i="13" s="1"/>
  <c r="N39" i="13"/>
  <c r="I43" i="13"/>
  <c r="L127" i="28" l="1"/>
  <c r="L142" i="28"/>
  <c r="L23" i="28"/>
  <c r="L32" i="28"/>
  <c r="L101" i="28"/>
  <c r="L2" i="28"/>
  <c r="L100" i="28"/>
  <c r="M100" i="28" s="1"/>
  <c r="P100" i="28" s="1"/>
  <c r="L148" i="28"/>
  <c r="L37" i="28"/>
  <c r="L45" i="28"/>
  <c r="L202" i="28"/>
  <c r="L76" i="28"/>
  <c r="L90" i="28"/>
  <c r="L54" i="28"/>
  <c r="L31" i="28"/>
  <c r="M31" i="28" s="1"/>
  <c r="P31" i="28" s="1"/>
  <c r="L9" i="28"/>
  <c r="M9" i="28" s="1"/>
  <c r="P9" i="28" s="1"/>
  <c r="L94" i="28"/>
  <c r="L156" i="28"/>
  <c r="L67" i="28"/>
  <c r="L40" i="28"/>
  <c r="L13" i="28"/>
  <c r="L28" i="28"/>
  <c r="L177" i="28"/>
  <c r="M177" i="28" s="1"/>
  <c r="P177" i="28" s="1"/>
  <c r="L175" i="28"/>
  <c r="M175" i="28" s="1"/>
  <c r="P175" i="28" s="1"/>
  <c r="L14" i="28"/>
  <c r="L36" i="28"/>
  <c r="L104" i="28"/>
  <c r="L165" i="28"/>
  <c r="L39" i="28"/>
  <c r="L72" i="28"/>
  <c r="L163" i="28"/>
  <c r="M163" i="28" s="1"/>
  <c r="P163" i="28" s="1"/>
  <c r="L190" i="28"/>
  <c r="M190" i="28" s="1"/>
  <c r="P190" i="28" s="1"/>
  <c r="L131" i="28"/>
  <c r="L192" i="28"/>
  <c r="L126" i="28"/>
  <c r="L62" i="28"/>
  <c r="L46" i="28"/>
  <c r="L97" i="28"/>
  <c r="L173" i="28"/>
  <c r="M173" i="28" s="1"/>
  <c r="P173" i="28" s="1"/>
  <c r="L185" i="28"/>
  <c r="M185" i="28" s="1"/>
  <c r="P185" i="28" s="1"/>
  <c r="L26" i="28"/>
  <c r="L197" i="28"/>
  <c r="L188" i="28"/>
  <c r="L42" i="28"/>
  <c r="L134" i="28"/>
  <c r="L69" i="28"/>
  <c r="L136" i="28"/>
  <c r="M136" i="28" s="1"/>
  <c r="P136" i="28" s="1"/>
  <c r="L73" i="28"/>
  <c r="M73" i="28" s="1"/>
  <c r="P73" i="28" s="1"/>
  <c r="L63" i="28"/>
  <c r="L99" i="28"/>
  <c r="L41" i="28"/>
  <c r="L7" i="28"/>
  <c r="L133" i="28"/>
  <c r="L49" i="28"/>
  <c r="L70" i="28"/>
  <c r="M70" i="28" s="1"/>
  <c r="P70" i="28" s="1"/>
  <c r="L75" i="28"/>
  <c r="M75" i="28" s="1"/>
  <c r="P75" i="28" s="1"/>
  <c r="L34" i="28"/>
  <c r="L194" i="28"/>
  <c r="L105" i="28"/>
  <c r="L98" i="28"/>
  <c r="L21" i="28"/>
  <c r="L3" i="28"/>
  <c r="L141" i="28"/>
  <c r="M141" i="28" s="1"/>
  <c r="P141" i="28" s="1"/>
  <c r="L171" i="28"/>
  <c r="M171" i="28" s="1"/>
  <c r="P171" i="28" s="1"/>
  <c r="L33" i="28"/>
  <c r="L12" i="28"/>
  <c r="L178" i="28"/>
  <c r="L102" i="28"/>
  <c r="L27" i="28"/>
  <c r="L137" i="28"/>
  <c r="L176" i="28"/>
  <c r="M176" i="28" s="1"/>
  <c r="P176" i="28" s="1"/>
  <c r="L144" i="28"/>
  <c r="M144" i="28" s="1"/>
  <c r="P144" i="28" s="1"/>
  <c r="L74" i="28"/>
  <c r="L112" i="28"/>
  <c r="L17" i="28"/>
  <c r="L125" i="28"/>
  <c r="L78" i="28"/>
  <c r="L38" i="28"/>
  <c r="L121" i="28"/>
  <c r="M121" i="28" s="1"/>
  <c r="P121" i="28" s="1"/>
  <c r="L183" i="28"/>
  <c r="M183" i="28" s="1"/>
  <c r="P183" i="28" s="1"/>
  <c r="L161" i="28"/>
  <c r="L184" i="28"/>
  <c r="L43" i="28"/>
  <c r="L91" i="28"/>
  <c r="L85" i="28"/>
  <c r="L68" i="28"/>
  <c r="L82" i="28"/>
  <c r="M82" i="28" s="1"/>
  <c r="P82" i="28" s="1"/>
  <c r="L115" i="28"/>
  <c r="M115" i="28" s="1"/>
  <c r="P115" i="28" s="1"/>
  <c r="L182" i="28"/>
  <c r="L174" i="28"/>
  <c r="L89" i="28"/>
  <c r="M89" i="28" s="1"/>
  <c r="P89" i="28" s="1"/>
  <c r="L149" i="28"/>
  <c r="L52" i="28"/>
  <c r="L147" i="28"/>
  <c r="M147" i="28" s="1"/>
  <c r="P147" i="28" s="1"/>
  <c r="L189" i="28"/>
  <c r="M189" i="28" s="1"/>
  <c r="P189" i="28" s="1"/>
  <c r="L35" i="28"/>
  <c r="M35" i="28" s="1"/>
  <c r="P35" i="28" s="1"/>
  <c r="L166" i="28"/>
  <c r="L96" i="28"/>
  <c r="L55" i="28"/>
  <c r="L83" i="28"/>
  <c r="L152" i="28"/>
  <c r="L193" i="28"/>
  <c r="L158" i="28"/>
  <c r="M158" i="28" s="1"/>
  <c r="P158" i="28" s="1"/>
  <c r="L61" i="28"/>
  <c r="M61" i="28" s="1"/>
  <c r="P61" i="28" s="1"/>
  <c r="L145" i="28"/>
  <c r="L50" i="28"/>
  <c r="L150" i="28"/>
  <c r="L162" i="28"/>
  <c r="L66" i="28"/>
  <c r="L80" i="28"/>
  <c r="L140" i="28"/>
  <c r="M140" i="28" s="1"/>
  <c r="P140" i="28" s="1"/>
  <c r="L18" i="28"/>
  <c r="M18" i="28" s="1"/>
  <c r="P18" i="28" s="1"/>
  <c r="L198" i="28"/>
  <c r="L118" i="28"/>
  <c r="L201" i="28"/>
  <c r="L95" i="28"/>
  <c r="L153" i="28"/>
  <c r="L16" i="28"/>
  <c r="L203" i="28"/>
  <c r="M203" i="28" s="1"/>
  <c r="P203" i="28" s="1"/>
  <c r="L172" i="28"/>
  <c r="M172" i="28" s="1"/>
  <c r="P172" i="28" s="1"/>
  <c r="L195" i="28"/>
  <c r="L56" i="28"/>
  <c r="L180" i="28"/>
  <c r="L135" i="28"/>
  <c r="L129" i="28"/>
  <c r="L60" i="28"/>
  <c r="L179" i="28"/>
  <c r="M179" i="28" s="1"/>
  <c r="P179" i="28" s="1"/>
  <c r="L81" i="28"/>
  <c r="L30" i="28"/>
  <c r="L44" i="28"/>
  <c r="L79" i="28"/>
  <c r="L191" i="28"/>
  <c r="L204" i="28"/>
  <c r="L128" i="28"/>
  <c r="L117" i="28"/>
  <c r="M117" i="28" s="1"/>
  <c r="P117" i="28" s="1"/>
  <c r="L186" i="28"/>
  <c r="M186" i="28" s="1"/>
  <c r="P186" i="28" s="1"/>
  <c r="L25" i="28"/>
  <c r="L59" i="28"/>
  <c r="L122" i="28"/>
  <c r="L15" i="28"/>
  <c r="L84" i="28"/>
  <c r="L5" i="28"/>
  <c r="L47" i="28"/>
  <c r="M47" i="28" s="1"/>
  <c r="P47" i="28" s="1"/>
  <c r="L143" i="28"/>
  <c r="L6" i="28"/>
  <c r="L164" i="28"/>
  <c r="L170" i="28"/>
  <c r="L57" i="28"/>
  <c r="L119" i="28"/>
  <c r="L108" i="28"/>
  <c r="L151" i="28"/>
  <c r="M151" i="28" s="1"/>
  <c r="P151" i="28" s="1"/>
  <c r="L114" i="28"/>
  <c r="M114" i="28" s="1"/>
  <c r="P114" i="28" s="1"/>
  <c r="L160" i="28"/>
  <c r="L110" i="28"/>
  <c r="L11" i="28"/>
  <c r="L109" i="28"/>
  <c r="L88" i="28"/>
  <c r="L155" i="28"/>
  <c r="L138" i="28"/>
  <c r="M138" i="28" s="1"/>
  <c r="P138" i="28" s="1"/>
  <c r="L199" i="28"/>
  <c r="M199" i="28" s="1"/>
  <c r="P199" i="28" s="1"/>
  <c r="L157" i="28"/>
  <c r="L24" i="28"/>
  <c r="L8" i="28"/>
  <c r="L92" i="28"/>
  <c r="L86" i="28"/>
  <c r="L10" i="28"/>
  <c r="L19" i="28"/>
  <c r="M19" i="28" s="1"/>
  <c r="P19" i="28" s="1"/>
  <c r="L139" i="28"/>
  <c r="M139" i="28" s="1"/>
  <c r="P139" i="28" s="1"/>
  <c r="L130" i="28"/>
  <c r="L187" i="28"/>
  <c r="L65" i="28"/>
  <c r="L113" i="28"/>
  <c r="L24" i="29"/>
  <c r="L23" i="29"/>
  <c r="L55" i="29"/>
  <c r="L63" i="29"/>
  <c r="L2" i="29"/>
  <c r="L199" i="29"/>
  <c r="L142" i="29"/>
  <c r="M142" i="29" s="1"/>
  <c r="P142" i="29" s="1"/>
  <c r="L107" i="29"/>
  <c r="L9" i="29"/>
  <c r="L87" i="29"/>
  <c r="L62" i="29"/>
  <c r="L40" i="29"/>
  <c r="L204" i="29"/>
  <c r="L190" i="29"/>
  <c r="L96" i="29"/>
  <c r="M96" i="29" s="1"/>
  <c r="P96" i="29" s="1"/>
  <c r="L197" i="29"/>
  <c r="L37" i="29"/>
  <c r="M37" i="29" s="1"/>
  <c r="P37" i="29" s="1"/>
  <c r="L101" i="29"/>
  <c r="M101" i="29" s="1"/>
  <c r="P101" i="29" s="1"/>
  <c r="L202" i="29"/>
  <c r="L92" i="29"/>
  <c r="L39" i="29"/>
  <c r="L168" i="29"/>
  <c r="L73" i="29"/>
  <c r="L191" i="29"/>
  <c r="L177" i="29"/>
  <c r="L143" i="29"/>
  <c r="L151" i="29"/>
  <c r="L180" i="29"/>
  <c r="L157" i="29"/>
  <c r="L196" i="29"/>
  <c r="L144" i="29"/>
  <c r="M144" i="29" s="1"/>
  <c r="P144" i="29" s="1"/>
  <c r="L146" i="29"/>
  <c r="L125" i="29"/>
  <c r="M125" i="29" s="1"/>
  <c r="P125" i="29" s="1"/>
  <c r="L21" i="29"/>
  <c r="M21" i="29" s="1"/>
  <c r="P21" i="29" s="1"/>
  <c r="L114" i="29"/>
  <c r="L122" i="29"/>
  <c r="L163" i="29"/>
  <c r="L6" i="29"/>
  <c r="L36" i="29"/>
  <c r="M36" i="29" s="1"/>
  <c r="P36" i="29" s="1"/>
  <c r="L187" i="29"/>
  <c r="L77" i="29"/>
  <c r="M77" i="29" s="1"/>
  <c r="P77" i="29" s="1"/>
  <c r="L15" i="29"/>
  <c r="L186" i="29"/>
  <c r="L200" i="29"/>
  <c r="L33" i="29"/>
  <c r="L10" i="29"/>
  <c r="L129" i="29"/>
  <c r="M129" i="29" s="1"/>
  <c r="P129" i="29" s="1"/>
  <c r="L141" i="29"/>
  <c r="L41" i="29"/>
  <c r="M41" i="29" s="1"/>
  <c r="P41" i="29" s="1"/>
  <c r="L90" i="29"/>
  <c r="L70" i="29"/>
  <c r="L34" i="29"/>
  <c r="L91" i="29"/>
  <c r="L97" i="29"/>
  <c r="L20" i="29"/>
  <c r="M20" i="29" s="1"/>
  <c r="P20" i="29" s="1"/>
  <c r="L104" i="29"/>
  <c r="L110" i="29"/>
  <c r="M110" i="29" s="1"/>
  <c r="P110" i="29" s="1"/>
  <c r="L88" i="29"/>
  <c r="M88" i="29" s="1"/>
  <c r="P88" i="29" s="1"/>
  <c r="L124" i="29"/>
  <c r="L81" i="29"/>
  <c r="L79" i="29"/>
  <c r="L29" i="29"/>
  <c r="L152" i="29"/>
  <c r="M152" i="29" s="1"/>
  <c r="P152" i="29" s="1"/>
  <c r="L100" i="29"/>
  <c r="L133" i="29"/>
  <c r="M133" i="29" s="1"/>
  <c r="P133" i="29" s="1"/>
  <c r="L172" i="29"/>
  <c r="M172" i="29" s="1"/>
  <c r="P172" i="29" s="1"/>
  <c r="H37" i="16"/>
  <c r="I45" i="16"/>
  <c r="E3" i="36" s="1"/>
  <c r="I44" i="16"/>
  <c r="D3" i="36" s="1"/>
  <c r="L48" i="28"/>
  <c r="L93" i="28"/>
  <c r="L53" i="28"/>
  <c r="L71" i="28"/>
  <c r="M71" i="28" s="1"/>
  <c r="P71" i="28" s="1"/>
  <c r="L198" i="29"/>
  <c r="M198" i="29" s="1"/>
  <c r="P198" i="29" s="1"/>
  <c r="L161" i="29"/>
  <c r="L132" i="29"/>
  <c r="L135" i="29"/>
  <c r="L84" i="29"/>
  <c r="L179" i="29"/>
  <c r="M179" i="29" s="1"/>
  <c r="P179" i="29" s="1"/>
  <c r="L80" i="29"/>
  <c r="M80" i="29" s="1"/>
  <c r="P80" i="29" s="1"/>
  <c r="L54" i="29"/>
  <c r="M54" i="29" s="1"/>
  <c r="P54" i="29" s="1"/>
  <c r="L102" i="29"/>
  <c r="M102" i="29" s="1"/>
  <c r="P102" i="29" s="1"/>
  <c r="L72" i="29"/>
  <c r="L115" i="29"/>
  <c r="L51" i="29"/>
  <c r="L18" i="29"/>
  <c r="L106" i="29"/>
  <c r="M106" i="29" s="1"/>
  <c r="P106" i="29" s="1"/>
  <c r="L160" i="29"/>
  <c r="M160" i="29" s="1"/>
  <c r="P160" i="29" s="1"/>
  <c r="L66" i="29"/>
  <c r="L26" i="29"/>
  <c r="M26" i="29" s="1"/>
  <c r="P26" i="29" s="1"/>
  <c r="L182" i="29"/>
  <c r="L134" i="29"/>
  <c r="L3" i="29"/>
  <c r="L119" i="29"/>
  <c r="L128" i="29"/>
  <c r="M128" i="29" s="1"/>
  <c r="P128" i="29" s="1"/>
  <c r="L76" i="29"/>
  <c r="M76" i="29" s="1"/>
  <c r="P76" i="29" s="1"/>
  <c r="L194" i="29"/>
  <c r="M194" i="29" s="1"/>
  <c r="P194" i="29" s="1"/>
  <c r="L17" i="29"/>
  <c r="M17" i="29" s="1"/>
  <c r="P17" i="29" s="1"/>
  <c r="L85" i="29"/>
  <c r="L113" i="29"/>
  <c r="L50" i="29"/>
  <c r="L121" i="29"/>
  <c r="L4" i="29"/>
  <c r="M4" i="29" s="1"/>
  <c r="P4" i="29" s="1"/>
  <c r="L75" i="29"/>
  <c r="M75" i="29" s="1"/>
  <c r="P75" i="29" s="1"/>
  <c r="L189" i="29"/>
  <c r="M189" i="29" s="1"/>
  <c r="P189" i="29" s="1"/>
  <c r="L16" i="29"/>
  <c r="M16" i="29" s="1"/>
  <c r="P16" i="29" s="1"/>
  <c r="L164" i="29"/>
  <c r="L19" i="29"/>
  <c r="L139" i="29"/>
  <c r="L65" i="29"/>
  <c r="L8" i="29"/>
  <c r="M8" i="29" s="1"/>
  <c r="P8" i="29" s="1"/>
  <c r="L183" i="29"/>
  <c r="M183" i="29" s="1"/>
  <c r="P183" i="29" s="1"/>
  <c r="L192" i="29"/>
  <c r="M192" i="29" s="1"/>
  <c r="P192" i="29" s="1"/>
  <c r="L38" i="29"/>
  <c r="L169" i="29"/>
  <c r="L89" i="29"/>
  <c r="L149" i="29"/>
  <c r="L12" i="29"/>
  <c r="L166" i="29"/>
  <c r="M166" i="29" s="1"/>
  <c r="P166" i="29" s="1"/>
  <c r="L185" i="29"/>
  <c r="M185" i="29" s="1"/>
  <c r="P185" i="29" s="1"/>
  <c r="L43" i="29"/>
  <c r="M43" i="29" s="1"/>
  <c r="P43" i="29" s="1"/>
  <c r="L94" i="29"/>
  <c r="M94" i="29" s="1"/>
  <c r="P94" i="29" s="1"/>
  <c r="L123" i="29"/>
  <c r="L45" i="29"/>
  <c r="L131" i="29"/>
  <c r="L46" i="29"/>
  <c r="L112" i="29"/>
  <c r="M112" i="29" s="1"/>
  <c r="P112" i="29" s="1"/>
  <c r="L28" i="29"/>
  <c r="M28" i="29" s="1"/>
  <c r="P28" i="29" s="1"/>
  <c r="L93" i="29"/>
  <c r="M93" i="29" s="1"/>
  <c r="P93" i="29" s="1"/>
  <c r="L155" i="29"/>
  <c r="M155" i="29" s="1"/>
  <c r="P155" i="29" s="1"/>
  <c r="L22" i="29"/>
  <c r="L165" i="29"/>
  <c r="L60" i="29"/>
  <c r="L138" i="29"/>
  <c r="L11" i="29"/>
  <c r="M11" i="29" s="1"/>
  <c r="P11" i="29" s="1"/>
  <c r="L47" i="29"/>
  <c r="M47" i="29" s="1"/>
  <c r="P47" i="29" s="1"/>
  <c r="L117" i="29"/>
  <c r="M117" i="29" s="1"/>
  <c r="P117" i="29" s="1"/>
  <c r="L153" i="29"/>
  <c r="M153" i="29" s="1"/>
  <c r="P153" i="29" s="1"/>
  <c r="L5" i="29"/>
  <c r="L58" i="29"/>
  <c r="L193" i="29"/>
  <c r="L44" i="29"/>
  <c r="L7" i="29"/>
  <c r="M7" i="29" s="1"/>
  <c r="P7" i="29" s="1"/>
  <c r="L52" i="29"/>
  <c r="M52" i="29" s="1"/>
  <c r="P52" i="29" s="1"/>
  <c r="L176" i="29"/>
  <c r="M176" i="29" s="1"/>
  <c r="P176" i="29" s="1"/>
  <c r="L48" i="29"/>
  <c r="M48" i="29" s="1"/>
  <c r="P48" i="29" s="1"/>
  <c r="L69" i="29"/>
  <c r="L195" i="29"/>
  <c r="L27" i="29"/>
  <c r="L167" i="29"/>
  <c r="L127" i="29"/>
  <c r="M127" i="29" s="1"/>
  <c r="P127" i="29" s="1"/>
  <c r="L136" i="29"/>
  <c r="M136" i="29" s="1"/>
  <c r="P136" i="29" s="1"/>
  <c r="L126" i="29"/>
  <c r="L64" i="29"/>
  <c r="M64" i="29" s="1"/>
  <c r="P64" i="29" s="1"/>
  <c r="L173" i="29"/>
  <c r="M173" i="29" s="1"/>
  <c r="P173" i="29" s="1"/>
  <c r="L86" i="29"/>
  <c r="L148" i="29"/>
  <c r="L116" i="29"/>
  <c r="L35" i="29"/>
  <c r="M35" i="29" s="1"/>
  <c r="P35" i="29" s="1"/>
  <c r="L61" i="29"/>
  <c r="M61" i="29" s="1"/>
  <c r="P61" i="29" s="1"/>
  <c r="L156" i="29"/>
  <c r="M156" i="29" s="1"/>
  <c r="P156" i="29" s="1"/>
  <c r="L105" i="29"/>
  <c r="M105" i="29" s="1"/>
  <c r="P105" i="29" s="1"/>
  <c r="L118" i="29"/>
  <c r="L174" i="29"/>
  <c r="L32" i="29"/>
  <c r="L108" i="29"/>
  <c r="L181" i="28"/>
  <c r="L200" i="28"/>
  <c r="L169" i="28"/>
  <c r="M169" i="28" s="1"/>
  <c r="P169" i="28" s="1"/>
  <c r="L132" i="28"/>
  <c r="L196" i="28"/>
  <c r="M196" i="28" s="1"/>
  <c r="P196" i="28" s="1"/>
  <c r="L82" i="29"/>
  <c r="L140" i="29"/>
  <c r="L49" i="29"/>
  <c r="M49" i="29" s="1"/>
  <c r="P49" i="29" s="1"/>
  <c r="L162" i="29"/>
  <c r="M162" i="29" s="1"/>
  <c r="P162" i="29" s="1"/>
  <c r="L25" i="29"/>
  <c r="M25" i="29" s="1"/>
  <c r="P25" i="29" s="1"/>
  <c r="L95" i="29"/>
  <c r="M95" i="29" s="1"/>
  <c r="P95" i="29" s="1"/>
  <c r="L74" i="29"/>
  <c r="M74" i="29" s="1"/>
  <c r="P74" i="29" s="1"/>
  <c r="L203" i="29"/>
  <c r="M203" i="29" s="1"/>
  <c r="P203" i="29" s="1"/>
  <c r="L147" i="29"/>
  <c r="L13" i="29"/>
  <c r="L109" i="29"/>
  <c r="L137" i="29"/>
  <c r="M137" i="29" s="1"/>
  <c r="P137" i="29" s="1"/>
  <c r="L83" i="29"/>
  <c r="M83" i="29" s="1"/>
  <c r="P83" i="29" s="1"/>
  <c r="L59" i="29"/>
  <c r="M59" i="29" s="1"/>
  <c r="P59" i="29" s="1"/>
  <c r="L57" i="29"/>
  <c r="M57" i="29" s="1"/>
  <c r="P57" i="29" s="1"/>
  <c r="L170" i="29"/>
  <c r="M170" i="29" s="1"/>
  <c r="P170" i="29" s="1"/>
  <c r="I21" i="29"/>
  <c r="K175" i="29"/>
  <c r="O175" i="29" s="1"/>
  <c r="K143" i="29"/>
  <c r="O143" i="29" s="1"/>
  <c r="K111" i="29"/>
  <c r="O111" i="29" s="1"/>
  <c r="K176" i="29"/>
  <c r="O176" i="29" s="1"/>
  <c r="K144" i="29"/>
  <c r="O144" i="29" s="1"/>
  <c r="M139" i="29"/>
  <c r="P139" i="29" s="1"/>
  <c r="K202" i="29"/>
  <c r="O202" i="29" s="1"/>
  <c r="K170" i="29"/>
  <c r="O170" i="29" s="1"/>
  <c r="K138" i="29"/>
  <c r="O138" i="29" s="1"/>
  <c r="K203" i="29"/>
  <c r="O203" i="29" s="1"/>
  <c r="K171" i="29"/>
  <c r="O171" i="29" s="1"/>
  <c r="K139" i="29"/>
  <c r="O139" i="29" s="1"/>
  <c r="K204" i="29"/>
  <c r="O204" i="29" s="1"/>
  <c r="K172" i="29"/>
  <c r="O172" i="29" s="1"/>
  <c r="K140" i="29"/>
  <c r="O140" i="29" s="1"/>
  <c r="K198" i="29"/>
  <c r="O198" i="29" s="1"/>
  <c r="K166" i="29"/>
  <c r="O166" i="29" s="1"/>
  <c r="K134" i="29"/>
  <c r="O134" i="29" s="1"/>
  <c r="K149" i="29"/>
  <c r="O149" i="29" s="1"/>
  <c r="K80" i="29"/>
  <c r="O80" i="29" s="1"/>
  <c r="K48" i="29"/>
  <c r="O48" i="29" s="1"/>
  <c r="K81" i="29"/>
  <c r="O81" i="29" s="1"/>
  <c r="K49" i="29"/>
  <c r="O49" i="29" s="1"/>
  <c r="M135" i="29"/>
  <c r="P135" i="29" s="1"/>
  <c r="M86" i="29"/>
  <c r="P86" i="29" s="1"/>
  <c r="M104" i="29"/>
  <c r="P104" i="29" s="1"/>
  <c r="K63" i="29"/>
  <c r="O63" i="29" s="1"/>
  <c r="K7" i="29"/>
  <c r="O7" i="29" s="1"/>
  <c r="K43" i="29"/>
  <c r="O43" i="29" s="1"/>
  <c r="M2" i="29"/>
  <c r="P2" i="29" s="1"/>
  <c r="M39" i="29"/>
  <c r="P39" i="29" s="1"/>
  <c r="M119" i="29"/>
  <c r="P119" i="29" s="1"/>
  <c r="M32" i="29"/>
  <c r="P32" i="29" s="1"/>
  <c r="K3" i="29"/>
  <c r="O3" i="29" s="1"/>
  <c r="K32" i="29"/>
  <c r="O32" i="29" s="1"/>
  <c r="K12" i="29"/>
  <c r="O12" i="29" s="1"/>
  <c r="M97" i="29"/>
  <c r="P97" i="29" s="1"/>
  <c r="K104" i="29"/>
  <c r="O104" i="29" s="1"/>
  <c r="I32" i="29"/>
  <c r="M146" i="29"/>
  <c r="P146" i="29" s="1"/>
  <c r="M200" i="29"/>
  <c r="P200" i="29" s="1"/>
  <c r="M50" i="29"/>
  <c r="P50" i="29" s="1"/>
  <c r="K99" i="29"/>
  <c r="O99" i="29" s="1"/>
  <c r="K66" i="29"/>
  <c r="O66" i="29" s="1"/>
  <c r="K9" i="29"/>
  <c r="O9" i="29" s="1"/>
  <c r="M100" i="29"/>
  <c r="P100" i="29" s="1"/>
  <c r="M169" i="29"/>
  <c r="P169" i="29" s="1"/>
  <c r="M202" i="29"/>
  <c r="P202" i="29" s="1"/>
  <c r="M138" i="29"/>
  <c r="P138" i="29" s="1"/>
  <c r="K201" i="29"/>
  <c r="O201" i="29" s="1"/>
  <c r="K169" i="29"/>
  <c r="O169" i="29" s="1"/>
  <c r="K137" i="29"/>
  <c r="O137" i="29" s="1"/>
  <c r="M196" i="29"/>
  <c r="P196" i="29" s="1"/>
  <c r="M164" i="29"/>
  <c r="P164" i="29" s="1"/>
  <c r="M132" i="29"/>
  <c r="P132" i="29" s="1"/>
  <c r="M197" i="29"/>
  <c r="P197" i="29" s="1"/>
  <c r="M165" i="29"/>
  <c r="P165" i="29" s="1"/>
  <c r="M134" i="29"/>
  <c r="P134" i="29" s="1"/>
  <c r="M107" i="29"/>
  <c r="P107" i="29" s="1"/>
  <c r="K109" i="29"/>
  <c r="O109" i="29" s="1"/>
  <c r="K42" i="29"/>
  <c r="O42" i="29" s="1"/>
  <c r="K91" i="29"/>
  <c r="O91" i="29" s="1"/>
  <c r="K59" i="29"/>
  <c r="O59" i="29" s="1"/>
  <c r="K117" i="29"/>
  <c r="O117" i="29" s="1"/>
  <c r="K84" i="29"/>
  <c r="O84" i="29" s="1"/>
  <c r="K52" i="29"/>
  <c r="O52" i="29" s="1"/>
  <c r="K101" i="29"/>
  <c r="O101" i="29" s="1"/>
  <c r="K69" i="29"/>
  <c r="O69" i="29" s="1"/>
  <c r="K40" i="29"/>
  <c r="O40" i="29" s="1"/>
  <c r="K30" i="29"/>
  <c r="O30" i="29" s="1"/>
  <c r="K197" i="29"/>
  <c r="O197" i="29" s="1"/>
  <c r="K33" i="29"/>
  <c r="O33" i="29" s="1"/>
  <c r="M3" i="29"/>
  <c r="P3" i="29" s="1"/>
  <c r="K38" i="29"/>
  <c r="O38" i="29" s="1"/>
  <c r="K31" i="29"/>
  <c r="O31" i="29" s="1"/>
  <c r="K2" i="29"/>
  <c r="O2" i="29" s="1"/>
  <c r="K46" i="29"/>
  <c r="O46" i="29" s="1"/>
  <c r="I31" i="29"/>
  <c r="M6" i="29"/>
  <c r="P6" i="29" s="1"/>
  <c r="K94" i="29"/>
  <c r="O94" i="29" s="1"/>
  <c r="K14" i="29"/>
  <c r="O14" i="29" s="1"/>
  <c r="K54" i="29"/>
  <c r="O54" i="29" s="1"/>
  <c r="M204" i="29"/>
  <c r="P204" i="29" s="1"/>
  <c r="K125" i="29"/>
  <c r="O125" i="29" s="1"/>
  <c r="M5" i="29"/>
  <c r="P5" i="29" s="1"/>
  <c r="M33" i="29"/>
  <c r="P33" i="29" s="1"/>
  <c r="K199" i="29"/>
  <c r="O199" i="29" s="1"/>
  <c r="K167" i="29"/>
  <c r="O167" i="29" s="1"/>
  <c r="K135" i="29"/>
  <c r="O135" i="29" s="1"/>
  <c r="K200" i="29"/>
  <c r="O200" i="29" s="1"/>
  <c r="K168" i="29"/>
  <c r="O168" i="29" s="1"/>
  <c r="K136" i="29"/>
  <c r="O136" i="29" s="1"/>
  <c r="M195" i="29"/>
  <c r="P195" i="29" s="1"/>
  <c r="M163" i="29"/>
  <c r="P163" i="29" s="1"/>
  <c r="M131" i="29"/>
  <c r="P131" i="29" s="1"/>
  <c r="K194" i="29"/>
  <c r="O194" i="29" s="1"/>
  <c r="K162" i="29"/>
  <c r="O162" i="29" s="1"/>
  <c r="K130" i="29"/>
  <c r="O130" i="29" s="1"/>
  <c r="K195" i="29"/>
  <c r="O195" i="29" s="1"/>
  <c r="K163" i="29"/>
  <c r="O163" i="29" s="1"/>
  <c r="K131" i="29"/>
  <c r="O131" i="29" s="1"/>
  <c r="K196" i="29"/>
  <c r="O196" i="29" s="1"/>
  <c r="K164" i="29"/>
  <c r="O164" i="29" s="1"/>
  <c r="K132" i="29"/>
  <c r="O132" i="29" s="1"/>
  <c r="K190" i="29"/>
  <c r="O190" i="29" s="1"/>
  <c r="K158" i="29"/>
  <c r="O158" i="29" s="1"/>
  <c r="K126" i="29"/>
  <c r="O126" i="29" s="1"/>
  <c r="K105" i="29"/>
  <c r="O105" i="29" s="1"/>
  <c r="K72" i="29"/>
  <c r="O72" i="29" s="1"/>
  <c r="M38" i="29"/>
  <c r="P38" i="29" s="1"/>
  <c r="K106" i="29"/>
  <c r="O106" i="29" s="1"/>
  <c r="K73" i="29"/>
  <c r="O73" i="29" s="1"/>
  <c r="M191" i="29"/>
  <c r="P191" i="29" s="1"/>
  <c r="M85" i="29"/>
  <c r="P85" i="29" s="1"/>
  <c r="M46" i="29"/>
  <c r="P46" i="29" s="1"/>
  <c r="M63" i="29"/>
  <c r="P63" i="29" s="1"/>
  <c r="M151" i="29"/>
  <c r="P151" i="29" s="1"/>
  <c r="K29" i="29"/>
  <c r="O29" i="29" s="1"/>
  <c r="K37" i="29"/>
  <c r="O37" i="29" s="1"/>
  <c r="M92" i="29"/>
  <c r="P92" i="29" s="1"/>
  <c r="K165" i="29"/>
  <c r="O165" i="29" s="1"/>
  <c r="K36" i="29"/>
  <c r="O36" i="29" s="1"/>
  <c r="M27" i="29"/>
  <c r="P27" i="29" s="1"/>
  <c r="K4" i="29"/>
  <c r="O4" i="29" s="1"/>
  <c r="K82" i="29"/>
  <c r="O82" i="29" s="1"/>
  <c r="K19" i="29"/>
  <c r="O19" i="29" s="1"/>
  <c r="M72" i="29"/>
  <c r="P72" i="29" s="1"/>
  <c r="M60" i="29"/>
  <c r="P60" i="29" s="1"/>
  <c r="M174" i="29"/>
  <c r="P174" i="29" s="1"/>
  <c r="M82" i="29"/>
  <c r="P82" i="29" s="1"/>
  <c r="M51" i="29"/>
  <c r="P51" i="29" s="1"/>
  <c r="K77" i="29"/>
  <c r="O77" i="29" s="1"/>
  <c r="K47" i="29"/>
  <c r="O47" i="29" s="1"/>
  <c r="K34" i="29"/>
  <c r="O34" i="29" s="1"/>
  <c r="M193" i="29"/>
  <c r="P193" i="29" s="1"/>
  <c r="M161" i="29"/>
  <c r="P161" i="29" s="1"/>
  <c r="K193" i="29"/>
  <c r="O193" i="29" s="1"/>
  <c r="K161" i="29"/>
  <c r="O161" i="29" s="1"/>
  <c r="K129" i="29"/>
  <c r="O129" i="29" s="1"/>
  <c r="M124" i="29"/>
  <c r="P124" i="29" s="1"/>
  <c r="M157" i="29"/>
  <c r="P157" i="29" s="1"/>
  <c r="M190" i="29"/>
  <c r="P190" i="29" s="1"/>
  <c r="M126" i="29"/>
  <c r="P126" i="29" s="1"/>
  <c r="M66" i="29"/>
  <c r="P66" i="29" s="1"/>
  <c r="K173" i="29"/>
  <c r="O173" i="29" s="1"/>
  <c r="K83" i="29"/>
  <c r="O83" i="29" s="1"/>
  <c r="K51" i="29"/>
  <c r="O51" i="29" s="1"/>
  <c r="K108" i="29"/>
  <c r="O108" i="29" s="1"/>
  <c r="K76" i="29"/>
  <c r="O76" i="29" s="1"/>
  <c r="K44" i="29"/>
  <c r="O44" i="29" s="1"/>
  <c r="K93" i="29"/>
  <c r="O93" i="29" s="1"/>
  <c r="K61" i="29"/>
  <c r="O61" i="29" s="1"/>
  <c r="K28" i="29"/>
  <c r="O28" i="29" s="1"/>
  <c r="K102" i="29"/>
  <c r="O102" i="29" s="1"/>
  <c r="M23" i="29"/>
  <c r="P23" i="29" s="1"/>
  <c r="I30" i="29"/>
  <c r="M89" i="29"/>
  <c r="P89" i="29" s="1"/>
  <c r="K23" i="29"/>
  <c r="O23" i="29" s="1"/>
  <c r="K141" i="29"/>
  <c r="O141" i="29" s="1"/>
  <c r="K24" i="29"/>
  <c r="O24" i="29" s="1"/>
  <c r="M73" i="29"/>
  <c r="P73" i="29" s="1"/>
  <c r="K107" i="29"/>
  <c r="O107" i="29" s="1"/>
  <c r="K79" i="29"/>
  <c r="O79" i="29" s="1"/>
  <c r="M15" i="29"/>
  <c r="P15" i="29" s="1"/>
  <c r="K20" i="29"/>
  <c r="O20" i="29" s="1"/>
  <c r="M113" i="29"/>
  <c r="P113" i="29" s="1"/>
  <c r="M109" i="29"/>
  <c r="P109" i="29" s="1"/>
  <c r="M167" i="29"/>
  <c r="P167" i="29" s="1"/>
  <c r="K67" i="29"/>
  <c r="O67" i="29" s="1"/>
  <c r="M9" i="29"/>
  <c r="P9" i="29" s="1"/>
  <c r="M34" i="29"/>
  <c r="P34" i="29" s="1"/>
  <c r="M29" i="29"/>
  <c r="P29" i="29" s="1"/>
  <c r="K191" i="29"/>
  <c r="O191" i="29" s="1"/>
  <c r="K159" i="29"/>
  <c r="O159" i="29" s="1"/>
  <c r="K127" i="29"/>
  <c r="O127" i="29" s="1"/>
  <c r="K192" i="29"/>
  <c r="O192" i="29" s="1"/>
  <c r="K160" i="29"/>
  <c r="O160" i="29" s="1"/>
  <c r="K128" i="29"/>
  <c r="O128" i="29" s="1"/>
  <c r="M187" i="29"/>
  <c r="P187" i="29" s="1"/>
  <c r="M123" i="29"/>
  <c r="P123" i="29" s="1"/>
  <c r="K186" i="29"/>
  <c r="O186" i="29" s="1"/>
  <c r="K154" i="29"/>
  <c r="O154" i="29" s="1"/>
  <c r="K122" i="29"/>
  <c r="O122" i="29" s="1"/>
  <c r="K187" i="29"/>
  <c r="O187" i="29" s="1"/>
  <c r="K155" i="29"/>
  <c r="O155" i="29" s="1"/>
  <c r="K123" i="29"/>
  <c r="O123" i="29" s="1"/>
  <c r="K188" i="29"/>
  <c r="O188" i="29" s="1"/>
  <c r="K156" i="29"/>
  <c r="O156" i="29" s="1"/>
  <c r="K124" i="29"/>
  <c r="O124" i="29" s="1"/>
  <c r="K182" i="29"/>
  <c r="O182" i="29" s="1"/>
  <c r="K150" i="29"/>
  <c r="O150" i="29" s="1"/>
  <c r="K118" i="29"/>
  <c r="O118" i="29" s="1"/>
  <c r="K96" i="29"/>
  <c r="O96" i="29" s="1"/>
  <c r="K64" i="29"/>
  <c r="O64" i="29" s="1"/>
  <c r="K97" i="29"/>
  <c r="O97" i="29" s="1"/>
  <c r="K65" i="29"/>
  <c r="O65" i="29" s="1"/>
  <c r="M45" i="29"/>
  <c r="P45" i="29" s="1"/>
  <c r="M70" i="29"/>
  <c r="P70" i="29" s="1"/>
  <c r="K39" i="29"/>
  <c r="O39" i="29" s="1"/>
  <c r="M87" i="29"/>
  <c r="P87" i="29" s="1"/>
  <c r="M55" i="29"/>
  <c r="P55" i="29" s="1"/>
  <c r="M84" i="29"/>
  <c r="P84" i="29" s="1"/>
  <c r="K21" i="29"/>
  <c r="O21" i="29" s="1"/>
  <c r="K90" i="29"/>
  <c r="O90" i="29" s="1"/>
  <c r="K22" i="29"/>
  <c r="O22" i="29" s="1"/>
  <c r="M65" i="29"/>
  <c r="P65" i="29" s="1"/>
  <c r="M24" i="29"/>
  <c r="P24" i="29" s="1"/>
  <c r="K86" i="29"/>
  <c r="O86" i="29" s="1"/>
  <c r="M18" i="29"/>
  <c r="P18" i="29" s="1"/>
  <c r="K98" i="29"/>
  <c r="O98" i="29" s="1"/>
  <c r="M19" i="29"/>
  <c r="P19" i="29" s="1"/>
  <c r="K70" i="29"/>
  <c r="O70" i="29" s="1"/>
  <c r="K25" i="29"/>
  <c r="O25" i="29" s="1"/>
  <c r="K13" i="29"/>
  <c r="O13" i="29" s="1"/>
  <c r="K26" i="29"/>
  <c r="O26" i="29" s="1"/>
  <c r="K6" i="29"/>
  <c r="O6" i="29" s="1"/>
  <c r="M141" i="29"/>
  <c r="P141" i="29" s="1"/>
  <c r="M168" i="29"/>
  <c r="P168" i="29" s="1"/>
  <c r="K157" i="29"/>
  <c r="O157" i="29" s="1"/>
  <c r="K181" i="29"/>
  <c r="O181" i="29" s="1"/>
  <c r="K45" i="29"/>
  <c r="O45" i="29" s="1"/>
  <c r="K8" i="29"/>
  <c r="O8" i="29" s="1"/>
  <c r="M22" i="29"/>
  <c r="P22" i="29" s="1"/>
  <c r="M121" i="29"/>
  <c r="P121" i="29" s="1"/>
  <c r="M186" i="29"/>
  <c r="P186" i="29" s="1"/>
  <c r="M122" i="29"/>
  <c r="P122" i="29" s="1"/>
  <c r="K185" i="29"/>
  <c r="O185" i="29" s="1"/>
  <c r="K153" i="29"/>
  <c r="O153" i="29" s="1"/>
  <c r="K121" i="29"/>
  <c r="O121" i="29" s="1"/>
  <c r="M180" i="29"/>
  <c r="P180" i="29" s="1"/>
  <c r="M148" i="29"/>
  <c r="P148" i="29" s="1"/>
  <c r="M116" i="29"/>
  <c r="P116" i="29" s="1"/>
  <c r="M149" i="29"/>
  <c r="P149" i="29" s="1"/>
  <c r="M182" i="29"/>
  <c r="P182" i="29" s="1"/>
  <c r="M118" i="29"/>
  <c r="P118" i="29" s="1"/>
  <c r="M90" i="29"/>
  <c r="P90" i="29" s="1"/>
  <c r="M58" i="29"/>
  <c r="P58" i="29" s="1"/>
  <c r="K35" i="29"/>
  <c r="O35" i="29" s="1"/>
  <c r="M91" i="29"/>
  <c r="P91" i="29" s="1"/>
  <c r="K113" i="29"/>
  <c r="O113" i="29" s="1"/>
  <c r="K75" i="29"/>
  <c r="O75" i="29" s="1"/>
  <c r="M40" i="29"/>
  <c r="P40" i="29" s="1"/>
  <c r="K100" i="29"/>
  <c r="O100" i="29" s="1"/>
  <c r="K68" i="29"/>
  <c r="O68" i="29" s="1"/>
  <c r="K189" i="29"/>
  <c r="O189" i="29" s="1"/>
  <c r="K85" i="29"/>
  <c r="O85" i="29" s="1"/>
  <c r="K53" i="29"/>
  <c r="O53" i="29" s="1"/>
  <c r="M81" i="29"/>
  <c r="P81" i="29" s="1"/>
  <c r="K87" i="29"/>
  <c r="O87" i="29" s="1"/>
  <c r="K62" i="29"/>
  <c r="O62" i="29" s="1"/>
  <c r="K16" i="29"/>
  <c r="O16" i="29" s="1"/>
  <c r="K74" i="29"/>
  <c r="O74" i="29" s="1"/>
  <c r="K17" i="29"/>
  <c r="O17" i="29" s="1"/>
  <c r="K95" i="29"/>
  <c r="O95" i="29" s="1"/>
  <c r="M13" i="29"/>
  <c r="P13" i="29" s="1"/>
  <c r="K58" i="29"/>
  <c r="O58" i="29" s="1"/>
  <c r="K177" i="29"/>
  <c r="O177" i="29" s="1"/>
  <c r="K60" i="29"/>
  <c r="O60" i="29" s="1"/>
  <c r="K183" i="29"/>
  <c r="O183" i="29" s="1"/>
  <c r="K151" i="29"/>
  <c r="O151" i="29" s="1"/>
  <c r="K119" i="29"/>
  <c r="O119" i="29" s="1"/>
  <c r="K184" i="29"/>
  <c r="O184" i="29" s="1"/>
  <c r="K152" i="29"/>
  <c r="O152" i="29" s="1"/>
  <c r="K120" i="29"/>
  <c r="O120" i="29" s="1"/>
  <c r="M147" i="29"/>
  <c r="P147" i="29" s="1"/>
  <c r="M115" i="29"/>
  <c r="P115" i="29" s="1"/>
  <c r="K178" i="29"/>
  <c r="O178" i="29" s="1"/>
  <c r="K146" i="29"/>
  <c r="O146" i="29" s="1"/>
  <c r="K114" i="29"/>
  <c r="O114" i="29" s="1"/>
  <c r="K179" i="29"/>
  <c r="O179" i="29" s="1"/>
  <c r="K147" i="29"/>
  <c r="O147" i="29" s="1"/>
  <c r="K115" i="29"/>
  <c r="O115" i="29" s="1"/>
  <c r="K180" i="29"/>
  <c r="O180" i="29" s="1"/>
  <c r="K148" i="29"/>
  <c r="O148" i="29" s="1"/>
  <c r="K116" i="29"/>
  <c r="O116" i="29" s="1"/>
  <c r="K174" i="29"/>
  <c r="O174" i="29" s="1"/>
  <c r="K142" i="29"/>
  <c r="O142" i="29" s="1"/>
  <c r="K110" i="29"/>
  <c r="O110" i="29" s="1"/>
  <c r="K88" i="29"/>
  <c r="O88" i="29" s="1"/>
  <c r="K56" i="29"/>
  <c r="O56" i="29" s="1"/>
  <c r="M175" i="29"/>
  <c r="P175" i="29" s="1"/>
  <c r="K89" i="29"/>
  <c r="O89" i="29" s="1"/>
  <c r="K57" i="29"/>
  <c r="O57" i="29" s="1"/>
  <c r="M69" i="29"/>
  <c r="P69" i="29" s="1"/>
  <c r="M199" i="29"/>
  <c r="P199" i="29" s="1"/>
  <c r="M62" i="29"/>
  <c r="P62" i="29" s="1"/>
  <c r="M143" i="29"/>
  <c r="P143" i="29" s="1"/>
  <c r="M79" i="29"/>
  <c r="P79" i="29" s="1"/>
  <c r="K78" i="29"/>
  <c r="O78" i="29" s="1"/>
  <c r="K15" i="29"/>
  <c r="O15" i="29" s="1"/>
  <c r="M10" i="29"/>
  <c r="P10" i="29" s="1"/>
  <c r="K50" i="29"/>
  <c r="O50" i="29" s="1"/>
  <c r="K71" i="29"/>
  <c r="O71" i="29" s="1"/>
  <c r="M12" i="29"/>
  <c r="P12" i="29" s="1"/>
  <c r="K11" i="29"/>
  <c r="O11" i="29" s="1"/>
  <c r="K55" i="29"/>
  <c r="O55" i="29" s="1"/>
  <c r="K18" i="29"/>
  <c r="O18" i="29" s="1"/>
  <c r="K133" i="29"/>
  <c r="O133" i="29" s="1"/>
  <c r="M30" i="29"/>
  <c r="P30" i="29" s="1"/>
  <c r="K5" i="29"/>
  <c r="O5" i="29" s="1"/>
  <c r="K27" i="29"/>
  <c r="O27" i="29" s="1"/>
  <c r="K41" i="29"/>
  <c r="O41" i="29" s="1"/>
  <c r="M177" i="29"/>
  <c r="P177" i="29" s="1"/>
  <c r="M114" i="29"/>
  <c r="P114" i="29" s="1"/>
  <c r="K145" i="29"/>
  <c r="O145" i="29" s="1"/>
  <c r="M140" i="29"/>
  <c r="P140" i="29" s="1"/>
  <c r="M108" i="29"/>
  <c r="P108" i="29" s="1"/>
  <c r="K92" i="29"/>
  <c r="O92" i="29" s="1"/>
  <c r="M44" i="29"/>
  <c r="P44" i="29" s="1"/>
  <c r="K10" i="29"/>
  <c r="O10" i="29" s="1"/>
  <c r="K112" i="29"/>
  <c r="O112" i="29" s="1"/>
  <c r="I27" i="29"/>
  <c r="I29" i="29"/>
  <c r="I28" i="29"/>
  <c r="H37" i="29" s="1"/>
  <c r="L67" i="29"/>
  <c r="M67" i="29" s="1"/>
  <c r="P67" i="29" s="1"/>
  <c r="L68" i="29"/>
  <c r="M68" i="29" s="1"/>
  <c r="P68" i="29" s="1"/>
  <c r="L188" i="29"/>
  <c r="M188" i="29" s="1"/>
  <c r="P188" i="29" s="1"/>
  <c r="L111" i="29"/>
  <c r="M111" i="29" s="1"/>
  <c r="P111" i="29" s="1"/>
  <c r="L98" i="29"/>
  <c r="M98" i="29" s="1"/>
  <c r="P98" i="29" s="1"/>
  <c r="L130" i="29"/>
  <c r="M130" i="29" s="1"/>
  <c r="P130" i="29" s="1"/>
  <c r="L178" i="29"/>
  <c r="M178" i="29" s="1"/>
  <c r="P178" i="29" s="1"/>
  <c r="L171" i="29"/>
  <c r="M171" i="29" s="1"/>
  <c r="P171" i="29" s="1"/>
  <c r="L120" i="29"/>
  <c r="M120" i="29" s="1"/>
  <c r="P120" i="29" s="1"/>
  <c r="L14" i="29"/>
  <c r="M14" i="29" s="1"/>
  <c r="P14" i="29" s="1"/>
  <c r="L53" i="29"/>
  <c r="M53" i="29" s="1"/>
  <c r="P53" i="29" s="1"/>
  <c r="L181" i="29"/>
  <c r="M181" i="29" s="1"/>
  <c r="P181" i="29" s="1"/>
  <c r="L71" i="29"/>
  <c r="M71" i="29" s="1"/>
  <c r="P71" i="29" s="1"/>
  <c r="L78" i="29"/>
  <c r="M78" i="29" s="1"/>
  <c r="P78" i="29" s="1"/>
  <c r="L31" i="29"/>
  <c r="M31" i="29" s="1"/>
  <c r="P31" i="29" s="1"/>
  <c r="L42" i="29"/>
  <c r="M42" i="29" s="1"/>
  <c r="P42" i="29" s="1"/>
  <c r="L154" i="29"/>
  <c r="M154" i="29" s="1"/>
  <c r="P154" i="29" s="1"/>
  <c r="L184" i="29"/>
  <c r="M184" i="29" s="1"/>
  <c r="P184" i="29" s="1"/>
  <c r="L56" i="29"/>
  <c r="M56" i="29" s="1"/>
  <c r="P56" i="29" s="1"/>
  <c r="L159" i="29"/>
  <c r="M159" i="29" s="1"/>
  <c r="P159" i="29" s="1"/>
  <c r="L201" i="29"/>
  <c r="M201" i="29" s="1"/>
  <c r="P201" i="29" s="1"/>
  <c r="L99" i="29"/>
  <c r="M99" i="29" s="1"/>
  <c r="P99" i="29" s="1"/>
  <c r="L150" i="29"/>
  <c r="M150" i="29" s="1"/>
  <c r="P150" i="29" s="1"/>
  <c r="L158" i="29"/>
  <c r="M158" i="29" s="1"/>
  <c r="P158" i="29" s="1"/>
  <c r="L145" i="29"/>
  <c r="M145" i="29" s="1"/>
  <c r="P145" i="29" s="1"/>
  <c r="L116" i="28"/>
  <c r="M116" i="28" s="1"/>
  <c r="P116" i="28" s="1"/>
  <c r="L154" i="28"/>
  <c r="M154" i="28" s="1"/>
  <c r="P154" i="28" s="1"/>
  <c r="L111" i="28"/>
  <c r="L22" i="28"/>
  <c r="M22" i="28" s="1"/>
  <c r="P22" i="28" s="1"/>
  <c r="L29" i="28"/>
  <c r="M29" i="28" s="1"/>
  <c r="P29" i="28" s="1"/>
  <c r="L146" i="28"/>
  <c r="M146" i="28" s="1"/>
  <c r="P146" i="28" s="1"/>
  <c r="L51" i="28"/>
  <c r="L4" i="28"/>
  <c r="L168" i="28"/>
  <c r="M168" i="28" s="1"/>
  <c r="P168" i="28" s="1"/>
  <c r="I21" i="28"/>
  <c r="I29" i="28" s="1"/>
  <c r="L64" i="28"/>
  <c r="L124" i="28"/>
  <c r="M124" i="28" s="1"/>
  <c r="P124" i="28" s="1"/>
  <c r="L120" i="28"/>
  <c r="M120" i="28" s="1"/>
  <c r="P120" i="28" s="1"/>
  <c r="L77" i="28"/>
  <c r="L106" i="28"/>
  <c r="M106" i="28" s="1"/>
  <c r="P106" i="28" s="1"/>
  <c r="L20" i="28"/>
  <c r="L107" i="28"/>
  <c r="M107" i="28" s="1"/>
  <c r="P107" i="28" s="1"/>
  <c r="L159" i="28"/>
  <c r="L167" i="28"/>
  <c r="M167" i="28" s="1"/>
  <c r="P167" i="28" s="1"/>
  <c r="L87" i="28"/>
  <c r="M87" i="28" s="1"/>
  <c r="P87" i="28" s="1"/>
  <c r="L58" i="28"/>
  <c r="M58" i="28" s="1"/>
  <c r="P58" i="28" s="1"/>
  <c r="L123" i="28"/>
  <c r="K195" i="28"/>
  <c r="O195" i="28" s="1"/>
  <c r="K163" i="28"/>
  <c r="O163" i="28" s="1"/>
  <c r="K131" i="28"/>
  <c r="O131" i="28" s="1"/>
  <c r="M191" i="28"/>
  <c r="P191" i="28" s="1"/>
  <c r="K156" i="28"/>
  <c r="O156" i="28" s="1"/>
  <c r="K161" i="28"/>
  <c r="O161" i="28" s="1"/>
  <c r="K127" i="28"/>
  <c r="O127" i="28" s="1"/>
  <c r="K95" i="28"/>
  <c r="O95" i="28" s="1"/>
  <c r="K137" i="28"/>
  <c r="O137" i="28" s="1"/>
  <c r="M156" i="28"/>
  <c r="P156" i="28" s="1"/>
  <c r="M55" i="28"/>
  <c r="P55" i="28" s="1"/>
  <c r="K162" i="28"/>
  <c r="O162" i="28" s="1"/>
  <c r="M57" i="28"/>
  <c r="P57" i="28" s="1"/>
  <c r="K159" i="28"/>
  <c r="O159" i="28" s="1"/>
  <c r="M102" i="28"/>
  <c r="P102" i="28" s="1"/>
  <c r="K66" i="28"/>
  <c r="O66" i="28" s="1"/>
  <c r="K148" i="28"/>
  <c r="O148" i="28" s="1"/>
  <c r="K60" i="28"/>
  <c r="O60" i="28" s="1"/>
  <c r="K76" i="28"/>
  <c r="O76" i="28" s="1"/>
  <c r="K44" i="28"/>
  <c r="O44" i="28" s="1"/>
  <c r="K26" i="28"/>
  <c r="O26" i="28" s="1"/>
  <c r="K170" i="28"/>
  <c r="O170" i="28" s="1"/>
  <c r="M90" i="28"/>
  <c r="P90" i="28" s="1"/>
  <c r="K70" i="28"/>
  <c r="O70" i="28" s="1"/>
  <c r="K32" i="28"/>
  <c r="O32" i="28" s="1"/>
  <c r="K149" i="28"/>
  <c r="O149" i="28" s="1"/>
  <c r="K54" i="28"/>
  <c r="O54" i="28" s="1"/>
  <c r="M159" i="28"/>
  <c r="P159" i="28" s="1"/>
  <c r="M41" i="28"/>
  <c r="P41" i="28" s="1"/>
  <c r="M118" i="28"/>
  <c r="P118" i="28" s="1"/>
  <c r="K73" i="28"/>
  <c r="O73" i="28" s="1"/>
  <c r="K41" i="28"/>
  <c r="O41" i="28" s="1"/>
  <c r="K50" i="28"/>
  <c r="O50" i="28" s="1"/>
  <c r="M3" i="28"/>
  <c r="P3" i="28" s="1"/>
  <c r="M37" i="28"/>
  <c r="P37" i="28" s="1"/>
  <c r="M184" i="28"/>
  <c r="P184" i="28" s="1"/>
  <c r="K16" i="28"/>
  <c r="O16" i="28" s="1"/>
  <c r="K181" i="28"/>
  <c r="O181" i="28" s="1"/>
  <c r="K19" i="28"/>
  <c r="O19" i="28" s="1"/>
  <c r="K51" i="28"/>
  <c r="O51" i="28" s="1"/>
  <c r="M11" i="28"/>
  <c r="P11" i="28" s="1"/>
  <c r="K25" i="28"/>
  <c r="O25" i="28" s="1"/>
  <c r="K48" i="28"/>
  <c r="O48" i="28" s="1"/>
  <c r="K147" i="28"/>
  <c r="O147" i="28" s="1"/>
  <c r="K188" i="28"/>
  <c r="O188" i="28" s="1"/>
  <c r="K92" i="28"/>
  <c r="O92" i="28" s="1"/>
  <c r="K196" i="28"/>
  <c r="O196" i="28" s="1"/>
  <c r="M13" i="28"/>
  <c r="P13" i="28" s="1"/>
  <c r="M157" i="28"/>
  <c r="P157" i="28" s="1"/>
  <c r="M125" i="28"/>
  <c r="P125" i="28" s="1"/>
  <c r="K190" i="28"/>
  <c r="O190" i="28" s="1"/>
  <c r="M148" i="28"/>
  <c r="P148" i="28" s="1"/>
  <c r="K113" i="28"/>
  <c r="O113" i="28" s="1"/>
  <c r="M192" i="28"/>
  <c r="P192" i="28" s="1"/>
  <c r="M202" i="28"/>
  <c r="P202" i="28" s="1"/>
  <c r="M134" i="28"/>
  <c r="P134" i="28" s="1"/>
  <c r="K98" i="28"/>
  <c r="O98" i="28" s="1"/>
  <c r="K152" i="28"/>
  <c r="O152" i="28" s="1"/>
  <c r="K85" i="28"/>
  <c r="O85" i="28" s="1"/>
  <c r="K53" i="28"/>
  <c r="O53" i="28" s="1"/>
  <c r="K87" i="28"/>
  <c r="O87" i="28" s="1"/>
  <c r="K55" i="28"/>
  <c r="O55" i="28" s="1"/>
  <c r="M142" i="28"/>
  <c r="P142" i="28" s="1"/>
  <c r="M92" i="28"/>
  <c r="P92" i="28" s="1"/>
  <c r="M60" i="28"/>
  <c r="P60" i="28" s="1"/>
  <c r="K138" i="28"/>
  <c r="O138" i="28" s="1"/>
  <c r="M187" i="28"/>
  <c r="P187" i="28" s="1"/>
  <c r="M72" i="28"/>
  <c r="P72" i="28" s="1"/>
  <c r="M39" i="28"/>
  <c r="P39" i="28" s="1"/>
  <c r="M153" i="28"/>
  <c r="P153" i="28" s="1"/>
  <c r="K83" i="28"/>
  <c r="O83" i="28" s="1"/>
  <c r="M66" i="28"/>
  <c r="P66" i="28" s="1"/>
  <c r="K31" i="28"/>
  <c r="O31" i="28" s="1"/>
  <c r="M129" i="28"/>
  <c r="P129" i="28" s="1"/>
  <c r="M49" i="28"/>
  <c r="P49" i="28" s="1"/>
  <c r="K146" i="28"/>
  <c r="O146" i="28" s="1"/>
  <c r="K40" i="28"/>
  <c r="O40" i="28" s="1"/>
  <c r="M105" i="28"/>
  <c r="P105" i="28" s="1"/>
  <c r="M69" i="28"/>
  <c r="P69" i="28" s="1"/>
  <c r="K34" i="28"/>
  <c r="O34" i="28" s="1"/>
  <c r="M50" i="28"/>
  <c r="P50" i="28" s="1"/>
  <c r="I31" i="28"/>
  <c r="K199" i="28"/>
  <c r="O199" i="28" s="1"/>
  <c r="K30" i="28"/>
  <c r="O30" i="28" s="1"/>
  <c r="M85" i="28"/>
  <c r="P85" i="28" s="1"/>
  <c r="M12" i="28"/>
  <c r="P12" i="28" s="1"/>
  <c r="K42" i="28"/>
  <c r="O42" i="28" s="1"/>
  <c r="M164" i="28"/>
  <c r="P164" i="28" s="1"/>
  <c r="M24" i="28"/>
  <c r="P24" i="28" s="1"/>
  <c r="K35" i="28"/>
  <c r="O35" i="28" s="1"/>
  <c r="K179" i="28"/>
  <c r="O179" i="28" s="1"/>
  <c r="M174" i="28"/>
  <c r="P174" i="28" s="1"/>
  <c r="M131" i="28"/>
  <c r="P131" i="28" s="1"/>
  <c r="M104" i="28"/>
  <c r="P104" i="28" s="1"/>
  <c r="K178" i="28"/>
  <c r="O178" i="28" s="1"/>
  <c r="K144" i="28"/>
  <c r="O144" i="28" s="1"/>
  <c r="K110" i="28"/>
  <c r="O110" i="28" s="1"/>
  <c r="K197" i="28"/>
  <c r="O197" i="28" s="1"/>
  <c r="K154" i="28"/>
  <c r="O154" i="28" s="1"/>
  <c r="K120" i="28"/>
  <c r="O120" i="28" s="1"/>
  <c r="K198" i="28"/>
  <c r="O198" i="28" s="1"/>
  <c r="K129" i="28"/>
  <c r="O129" i="28" s="1"/>
  <c r="K185" i="28"/>
  <c r="O185" i="28" s="1"/>
  <c r="K82" i="28"/>
  <c r="O82" i="28" s="1"/>
  <c r="K56" i="28"/>
  <c r="O56" i="28" s="1"/>
  <c r="M113" i="28"/>
  <c r="P113" i="28" s="1"/>
  <c r="K99" i="28"/>
  <c r="O99" i="28" s="1"/>
  <c r="M51" i="28"/>
  <c r="P51" i="28" s="1"/>
  <c r="M194" i="28"/>
  <c r="P194" i="28" s="1"/>
  <c r="M21" i="28"/>
  <c r="P21" i="28" s="1"/>
  <c r="K187" i="28"/>
  <c r="O187" i="28" s="1"/>
  <c r="K155" i="28"/>
  <c r="O155" i="28" s="1"/>
  <c r="K123" i="28"/>
  <c r="O123" i="28" s="1"/>
  <c r="M178" i="28"/>
  <c r="P178" i="28" s="1"/>
  <c r="M110" i="28"/>
  <c r="P110" i="28" s="1"/>
  <c r="K191" i="28"/>
  <c r="O191" i="28" s="1"/>
  <c r="K157" i="28"/>
  <c r="O157" i="28" s="1"/>
  <c r="K114" i="28"/>
  <c r="O114" i="28" s="1"/>
  <c r="K201" i="28"/>
  <c r="O201" i="28" s="1"/>
  <c r="K167" i="28"/>
  <c r="O167" i="28" s="1"/>
  <c r="K133" i="28"/>
  <c r="O133" i="28" s="1"/>
  <c r="M204" i="28"/>
  <c r="P204" i="28" s="1"/>
  <c r="M137" i="28"/>
  <c r="P137" i="28" s="1"/>
  <c r="M79" i="28"/>
  <c r="P79" i="28" s="1"/>
  <c r="M193" i="28"/>
  <c r="P193" i="28" s="1"/>
  <c r="K141" i="28"/>
  <c r="O141" i="28" s="1"/>
  <c r="M81" i="28"/>
  <c r="P81" i="28" s="1"/>
  <c r="K90" i="28"/>
  <c r="O90" i="28" s="1"/>
  <c r="K58" i="28"/>
  <c r="O58" i="28" s="1"/>
  <c r="K128" i="28"/>
  <c r="O128" i="28" s="1"/>
  <c r="K65" i="28"/>
  <c r="O65" i="28" s="1"/>
  <c r="K38" i="28"/>
  <c r="O38" i="28" s="1"/>
  <c r="K20" i="28"/>
  <c r="O20" i="28" s="1"/>
  <c r="M143" i="28"/>
  <c r="P143" i="28" s="1"/>
  <c r="K59" i="28"/>
  <c r="O59" i="28" s="1"/>
  <c r="M23" i="28"/>
  <c r="P23" i="28" s="1"/>
  <c r="K119" i="28"/>
  <c r="O119" i="28" s="1"/>
  <c r="K47" i="28"/>
  <c r="O47" i="28" s="1"/>
  <c r="K202" i="28"/>
  <c r="O202" i="28" s="1"/>
  <c r="M101" i="28"/>
  <c r="P101" i="28" s="1"/>
  <c r="K62" i="28"/>
  <c r="O62" i="28" s="1"/>
  <c r="K24" i="28"/>
  <c r="O24" i="28" s="1"/>
  <c r="K28" i="28"/>
  <c r="O28" i="28" s="1"/>
  <c r="M30" i="28"/>
  <c r="P30" i="28" s="1"/>
  <c r="K172" i="28"/>
  <c r="O172" i="28" s="1"/>
  <c r="M16" i="28"/>
  <c r="P16" i="28" s="1"/>
  <c r="K78" i="28"/>
  <c r="O78" i="28" s="1"/>
  <c r="M6" i="28"/>
  <c r="P6" i="28" s="1"/>
  <c r="K72" i="28"/>
  <c r="O72" i="28" s="1"/>
  <c r="M26" i="28"/>
  <c r="P26" i="28" s="1"/>
  <c r="I32" i="28"/>
  <c r="K151" i="28"/>
  <c r="O151" i="28" s="1"/>
  <c r="K21" i="28"/>
  <c r="O21" i="28" s="1"/>
  <c r="M34" i="28"/>
  <c r="P34" i="28" s="1"/>
  <c r="K115" i="28"/>
  <c r="O115" i="28" s="1"/>
  <c r="K134" i="28"/>
  <c r="O134" i="28" s="1"/>
  <c r="K91" i="28"/>
  <c r="O91" i="28" s="1"/>
  <c r="M8" i="28"/>
  <c r="P8" i="28" s="1"/>
  <c r="M48" i="28"/>
  <c r="P48" i="28" s="1"/>
  <c r="K165" i="28"/>
  <c r="O165" i="28" s="1"/>
  <c r="M20" i="28"/>
  <c r="P20" i="28" s="1"/>
  <c r="M44" i="28"/>
  <c r="P44" i="28" s="1"/>
  <c r="M181" i="28"/>
  <c r="P181" i="28" s="1"/>
  <c r="M149" i="28"/>
  <c r="P149" i="28" s="1"/>
  <c r="K177" i="28"/>
  <c r="O177" i="28" s="1"/>
  <c r="K143" i="28"/>
  <c r="O143" i="28" s="1"/>
  <c r="K109" i="28"/>
  <c r="O109" i="28" s="1"/>
  <c r="M145" i="28"/>
  <c r="P145" i="28" s="1"/>
  <c r="M111" i="28"/>
  <c r="P111" i="28" s="1"/>
  <c r="M198" i="28"/>
  <c r="P198" i="28" s="1"/>
  <c r="M155" i="28"/>
  <c r="P155" i="28" s="1"/>
  <c r="K200" i="28"/>
  <c r="O200" i="28" s="1"/>
  <c r="M135" i="28"/>
  <c r="P135" i="28" s="1"/>
  <c r="K77" i="28"/>
  <c r="O77" i="28" s="1"/>
  <c r="K189" i="28"/>
  <c r="O189" i="28" s="1"/>
  <c r="M126" i="28"/>
  <c r="P126" i="28" s="1"/>
  <c r="K79" i="28"/>
  <c r="O79" i="28" s="1"/>
  <c r="M188" i="28"/>
  <c r="P188" i="28" s="1"/>
  <c r="K136" i="28"/>
  <c r="O136" i="28" s="1"/>
  <c r="M84" i="28"/>
  <c r="P84" i="28" s="1"/>
  <c r="M201" i="28"/>
  <c r="P201" i="28" s="1"/>
  <c r="K93" i="28"/>
  <c r="O93" i="28" s="1"/>
  <c r="M150" i="28"/>
  <c r="P150" i="28" s="1"/>
  <c r="K37" i="28"/>
  <c r="O37" i="28" s="1"/>
  <c r="K14" i="28"/>
  <c r="O14" i="28" s="1"/>
  <c r="M123" i="28"/>
  <c r="P123" i="28" s="1"/>
  <c r="K193" i="28"/>
  <c r="O193" i="28" s="1"/>
  <c r="K94" i="28"/>
  <c r="O94" i="28" s="1"/>
  <c r="M54" i="28"/>
  <c r="P54" i="28" s="1"/>
  <c r="K22" i="28"/>
  <c r="O22" i="28" s="1"/>
  <c r="K102" i="28"/>
  <c r="O102" i="28" s="1"/>
  <c r="K106" i="28"/>
  <c r="O106" i="28" s="1"/>
  <c r="K192" i="28"/>
  <c r="O192" i="28" s="1"/>
  <c r="M98" i="28"/>
  <c r="P98" i="28" s="1"/>
  <c r="M14" i="28"/>
  <c r="P14" i="28" s="1"/>
  <c r="M27" i="28"/>
  <c r="P27" i="28" s="1"/>
  <c r="K132" i="28"/>
  <c r="O132" i="28" s="1"/>
  <c r="K10" i="28"/>
  <c r="O10" i="28" s="1"/>
  <c r="M59" i="28"/>
  <c r="P59" i="28" s="1"/>
  <c r="M182" i="28"/>
  <c r="P182" i="28" s="1"/>
  <c r="M62" i="28"/>
  <c r="P62" i="28" s="1"/>
  <c r="K13" i="28"/>
  <c r="O13" i="28" s="1"/>
  <c r="M25" i="28"/>
  <c r="P25" i="28" s="1"/>
  <c r="K124" i="28"/>
  <c r="O124" i="28" s="1"/>
  <c r="K18" i="28"/>
  <c r="O18" i="28" s="1"/>
  <c r="M7" i="28"/>
  <c r="P7" i="28" s="1"/>
  <c r="M130" i="28"/>
  <c r="P130" i="28" s="1"/>
  <c r="K36" i="28"/>
  <c r="O36" i="28" s="1"/>
  <c r="K183" i="28"/>
  <c r="O183" i="28" s="1"/>
  <c r="M17" i="28"/>
  <c r="P17" i="28" s="1"/>
  <c r="M96" i="28"/>
  <c r="P96" i="28" s="1"/>
  <c r="M93" i="28"/>
  <c r="P93" i="28" s="1"/>
  <c r="K121" i="28"/>
  <c r="O121" i="28" s="1"/>
  <c r="K86" i="28"/>
  <c r="O86" i="28" s="1"/>
  <c r="K169" i="28"/>
  <c r="O169" i="28" s="1"/>
  <c r="K9" i="28"/>
  <c r="O9" i="28" s="1"/>
  <c r="K5" i="28"/>
  <c r="O5" i="28" s="1"/>
  <c r="M109" i="28"/>
  <c r="P109" i="28" s="1"/>
  <c r="K173" i="28"/>
  <c r="O173" i="28" s="1"/>
  <c r="K130" i="28"/>
  <c r="O130" i="28" s="1"/>
  <c r="K101" i="28"/>
  <c r="O101" i="28" s="1"/>
  <c r="K140" i="28"/>
  <c r="O140" i="28" s="1"/>
  <c r="K116" i="28"/>
  <c r="O116" i="28" s="1"/>
  <c r="M112" i="28"/>
  <c r="P112" i="28" s="1"/>
  <c r="K69" i="28"/>
  <c r="O69" i="28" s="1"/>
  <c r="M170" i="28"/>
  <c r="P170" i="28" s="1"/>
  <c r="M122" i="28"/>
  <c r="P122" i="28" s="1"/>
  <c r="K71" i="28"/>
  <c r="O71" i="28" s="1"/>
  <c r="K182" i="28"/>
  <c r="O182" i="28" s="1"/>
  <c r="M119" i="28"/>
  <c r="P119" i="28" s="1"/>
  <c r="M76" i="28"/>
  <c r="P76" i="28" s="1"/>
  <c r="K80" i="28"/>
  <c r="O80" i="28" s="1"/>
  <c r="M53" i="28"/>
  <c r="P53" i="28" s="1"/>
  <c r="M32" i="28"/>
  <c r="P32" i="28" s="1"/>
  <c r="K6" i="28"/>
  <c r="O6" i="28" s="1"/>
  <c r="K100" i="28"/>
  <c r="O100" i="28" s="1"/>
  <c r="M88" i="28"/>
  <c r="P88" i="28" s="1"/>
  <c r="K46" i="28"/>
  <c r="O46" i="28" s="1"/>
  <c r="M10" i="28"/>
  <c r="P10" i="28" s="1"/>
  <c r="K88" i="28"/>
  <c r="O88" i="28" s="1"/>
  <c r="K186" i="28"/>
  <c r="O186" i="28" s="1"/>
  <c r="M86" i="28"/>
  <c r="P86" i="28" s="1"/>
  <c r="K145" i="28"/>
  <c r="O145" i="28" s="1"/>
  <c r="M91" i="28"/>
  <c r="P91" i="28" s="1"/>
  <c r="K49" i="28"/>
  <c r="O49" i="28" s="1"/>
  <c r="K11" i="28"/>
  <c r="O11" i="28" s="1"/>
  <c r="K17" i="28"/>
  <c r="O17" i="28" s="1"/>
  <c r="K64" i="28"/>
  <c r="O64" i="28" s="1"/>
  <c r="K67" i="28"/>
  <c r="O67" i="28" s="1"/>
  <c r="K45" i="28"/>
  <c r="O45" i="28" s="1"/>
  <c r="K142" i="28"/>
  <c r="O142" i="28" s="1"/>
  <c r="M40" i="28"/>
  <c r="P40" i="28" s="1"/>
  <c r="M152" i="28"/>
  <c r="P152" i="28" s="1"/>
  <c r="M38" i="28"/>
  <c r="P38" i="28" s="1"/>
  <c r="K122" i="28"/>
  <c r="O122" i="28" s="1"/>
  <c r="K203" i="28"/>
  <c r="O203" i="28" s="1"/>
  <c r="K171" i="28"/>
  <c r="O171" i="28" s="1"/>
  <c r="K139" i="28"/>
  <c r="O139" i="28" s="1"/>
  <c r="M195" i="28"/>
  <c r="P195" i="28" s="1"/>
  <c r="M161" i="28"/>
  <c r="P161" i="28" s="1"/>
  <c r="M127" i="28"/>
  <c r="P127" i="28" s="1"/>
  <c r="M95" i="28"/>
  <c r="P95" i="28" s="1"/>
  <c r="K174" i="28"/>
  <c r="O174" i="28" s="1"/>
  <c r="M132" i="28"/>
  <c r="P132" i="28" s="1"/>
  <c r="K104" i="28"/>
  <c r="O104" i="28" s="1"/>
  <c r="K184" i="28"/>
  <c r="O184" i="28" s="1"/>
  <c r="K150" i="28"/>
  <c r="O150" i="28" s="1"/>
  <c r="M108" i="28"/>
  <c r="P108" i="28" s="1"/>
  <c r="K175" i="28"/>
  <c r="O175" i="28" s="1"/>
  <c r="K108" i="28"/>
  <c r="O108" i="28" s="1"/>
  <c r="M63" i="28"/>
  <c r="P63" i="28" s="1"/>
  <c r="K166" i="28"/>
  <c r="O166" i="28" s="1"/>
  <c r="K118" i="28"/>
  <c r="O118" i="28" s="1"/>
  <c r="M65" i="28"/>
  <c r="P65" i="28" s="1"/>
  <c r="K111" i="28"/>
  <c r="O111" i="28" s="1"/>
  <c r="K74" i="28"/>
  <c r="O74" i="28" s="1"/>
  <c r="K168" i="28"/>
  <c r="O168" i="28" s="1"/>
  <c r="M78" i="28"/>
  <c r="P78" i="28" s="1"/>
  <c r="K117" i="28"/>
  <c r="O117" i="28" s="1"/>
  <c r="K52" i="28"/>
  <c r="O52" i="28" s="1"/>
  <c r="M200" i="28"/>
  <c r="P200" i="28" s="1"/>
  <c r="K97" i="28"/>
  <c r="O97" i="28" s="1"/>
  <c r="M166" i="28"/>
  <c r="P166" i="28" s="1"/>
  <c r="K81" i="28"/>
  <c r="O81" i="28" s="1"/>
  <c r="K39" i="28"/>
  <c r="O39" i="28" s="1"/>
  <c r="K8" i="28"/>
  <c r="O8" i="28" s="1"/>
  <c r="K160" i="28"/>
  <c r="O160" i="28" s="1"/>
  <c r="K107" i="28"/>
  <c r="O107" i="28" s="1"/>
  <c r="K105" i="28"/>
  <c r="O105" i="28" s="1"/>
  <c r="M94" i="28"/>
  <c r="P94" i="28" s="1"/>
  <c r="K68" i="28"/>
  <c r="O68" i="28" s="1"/>
  <c r="M5" i="28"/>
  <c r="P5" i="28" s="1"/>
  <c r="M15" i="28"/>
  <c r="P15" i="28" s="1"/>
  <c r="K112" i="28"/>
  <c r="O112" i="28" s="1"/>
  <c r="M56" i="28"/>
  <c r="P56" i="28" s="1"/>
  <c r="K61" i="28"/>
  <c r="O61" i="28" s="1"/>
  <c r="M33" i="28"/>
  <c r="P33" i="28" s="1"/>
  <c r="K125" i="28"/>
  <c r="O125" i="28" s="1"/>
  <c r="M52" i="28"/>
  <c r="P52" i="28" s="1"/>
  <c r="K23" i="28"/>
  <c r="O23" i="28" s="1"/>
  <c r="K12" i="28"/>
  <c r="O12" i="28" s="1"/>
  <c r="M197" i="28"/>
  <c r="P197" i="28" s="1"/>
  <c r="K164" i="28"/>
  <c r="O164" i="28" s="1"/>
  <c r="M83" i="28"/>
  <c r="P83" i="28" s="1"/>
  <c r="K84" i="28"/>
  <c r="O84" i="28" s="1"/>
  <c r="K7" i="28"/>
  <c r="O7" i="28" s="1"/>
  <c r="K33" i="28"/>
  <c r="O33" i="28" s="1"/>
  <c r="K194" i="28"/>
  <c r="O194" i="28" s="1"/>
  <c r="M42" i="28"/>
  <c r="P42" i="28" s="1"/>
  <c r="K29" i="28"/>
  <c r="O29" i="28" s="1"/>
  <c r="K126" i="28"/>
  <c r="O126" i="28" s="1"/>
  <c r="M160" i="28"/>
  <c r="P160" i="28" s="1"/>
  <c r="M68" i="28"/>
  <c r="P68" i="28" s="1"/>
  <c r="K153" i="28"/>
  <c r="O153" i="28" s="1"/>
  <c r="M64" i="28"/>
  <c r="P64" i="28" s="1"/>
  <c r="K3" i="28"/>
  <c r="O3" i="28" s="1"/>
  <c r="K2" i="28"/>
  <c r="O2" i="28" s="1"/>
  <c r="M4" i="28"/>
  <c r="P4" i="28" s="1"/>
  <c r="M162" i="28"/>
  <c r="P162" i="28" s="1"/>
  <c r="M128" i="28"/>
  <c r="P128" i="28" s="1"/>
  <c r="K89" i="28"/>
  <c r="O89" i="28" s="1"/>
  <c r="K75" i="28"/>
  <c r="O75" i="28" s="1"/>
  <c r="K204" i="28"/>
  <c r="O204" i="28" s="1"/>
  <c r="K96" i="28"/>
  <c r="O96" i="28" s="1"/>
  <c r="K158" i="28"/>
  <c r="O158" i="28" s="1"/>
  <c r="M77" i="28"/>
  <c r="P77" i="28" s="1"/>
  <c r="K135" i="28"/>
  <c r="O135" i="28" s="1"/>
  <c r="M74" i="28"/>
  <c r="P74" i="28" s="1"/>
  <c r="I30" i="28"/>
  <c r="K15" i="28"/>
  <c r="O15" i="28" s="1"/>
  <c r="M67" i="28"/>
  <c r="P67" i="28" s="1"/>
  <c r="M2" i="28"/>
  <c r="P2" i="28" s="1"/>
  <c r="M180" i="28"/>
  <c r="P180" i="28" s="1"/>
  <c r="M165" i="28"/>
  <c r="P165" i="28" s="1"/>
  <c r="M97" i="28"/>
  <c r="P97" i="28" s="1"/>
  <c r="M99" i="28"/>
  <c r="P99" i="28" s="1"/>
  <c r="M46" i="28"/>
  <c r="P46" i="28" s="1"/>
  <c r="K57" i="28"/>
  <c r="O57" i="28" s="1"/>
  <c r="M80" i="28"/>
  <c r="P80" i="28" s="1"/>
  <c r="K4" i="28"/>
  <c r="O4" i="28" s="1"/>
  <c r="M133" i="28"/>
  <c r="P133" i="28" s="1"/>
  <c r="K180" i="28"/>
  <c r="O180" i="28" s="1"/>
  <c r="K63" i="28"/>
  <c r="O63" i="28" s="1"/>
  <c r="K27" i="28"/>
  <c r="O27" i="28" s="1"/>
  <c r="K176" i="28"/>
  <c r="O176" i="28" s="1"/>
  <c r="M43" i="28"/>
  <c r="P43" i="28" s="1"/>
  <c r="M45" i="28"/>
  <c r="P45" i="28" s="1"/>
  <c r="M36" i="28"/>
  <c r="P36" i="28" s="1"/>
  <c r="M28" i="28"/>
  <c r="P28" i="28" s="1"/>
  <c r="K43" i="28"/>
  <c r="O43" i="28" s="1"/>
  <c r="I28" i="28"/>
  <c r="E30" i="3"/>
  <c r="E24" i="3"/>
  <c r="I11" i="14"/>
  <c r="J174" i="14"/>
  <c r="N174" i="14" s="1"/>
  <c r="J110" i="14"/>
  <c r="N110" i="14" s="1"/>
  <c r="J152" i="14"/>
  <c r="N152" i="14" s="1"/>
  <c r="J178" i="14"/>
  <c r="N178" i="14" s="1"/>
  <c r="J102" i="14"/>
  <c r="N102" i="14" s="1"/>
  <c r="J199" i="14"/>
  <c r="N199" i="14" s="1"/>
  <c r="J124" i="14"/>
  <c r="N124" i="14" s="1"/>
  <c r="J159" i="14"/>
  <c r="N159" i="14" s="1"/>
  <c r="J125" i="14"/>
  <c r="N125" i="14" s="1"/>
  <c r="J81" i="14"/>
  <c r="N81" i="14" s="1"/>
  <c r="J95" i="14"/>
  <c r="N95" i="14" s="1"/>
  <c r="J164" i="14"/>
  <c r="N164" i="14" s="1"/>
  <c r="J67" i="14"/>
  <c r="N67" i="14" s="1"/>
  <c r="J116" i="14"/>
  <c r="N116" i="14" s="1"/>
  <c r="J200" i="14"/>
  <c r="N200" i="14" s="1"/>
  <c r="J69" i="14"/>
  <c r="N69" i="14" s="1"/>
  <c r="J106" i="14"/>
  <c r="N106" i="14" s="1"/>
  <c r="J71" i="14"/>
  <c r="N71" i="14" s="1"/>
  <c r="J13" i="14"/>
  <c r="N13" i="14" s="1"/>
  <c r="J26" i="14"/>
  <c r="N26" i="14" s="1"/>
  <c r="J29" i="14"/>
  <c r="N29" i="14" s="1"/>
  <c r="J31" i="14"/>
  <c r="N31" i="14" s="1"/>
  <c r="J33" i="14"/>
  <c r="N33" i="14" s="1"/>
  <c r="J25" i="14"/>
  <c r="N25" i="14" s="1"/>
  <c r="J2" i="14"/>
  <c r="N2" i="14" s="1"/>
  <c r="J166" i="14"/>
  <c r="N166" i="14" s="1"/>
  <c r="J204" i="14"/>
  <c r="N204" i="14" s="1"/>
  <c r="J139" i="14"/>
  <c r="N139" i="14" s="1"/>
  <c r="J94" i="14"/>
  <c r="N94" i="14" s="1"/>
  <c r="J188" i="14"/>
  <c r="N188" i="14" s="1"/>
  <c r="J120" i="14"/>
  <c r="N120" i="14" s="1"/>
  <c r="J181" i="14"/>
  <c r="N181" i="14" s="1"/>
  <c r="J73" i="14"/>
  <c r="N73" i="14" s="1"/>
  <c r="J90" i="14"/>
  <c r="N90" i="14" s="1"/>
  <c r="J128" i="14"/>
  <c r="N128" i="14" s="1"/>
  <c r="J108" i="14"/>
  <c r="N108" i="14" s="1"/>
  <c r="J194" i="14"/>
  <c r="N194" i="14" s="1"/>
  <c r="J61" i="14"/>
  <c r="N61" i="14" s="1"/>
  <c r="J99" i="14"/>
  <c r="N99" i="14" s="1"/>
  <c r="J5" i="14"/>
  <c r="N5" i="14" s="1"/>
  <c r="J20" i="14"/>
  <c r="N20" i="14" s="1"/>
  <c r="J28" i="14"/>
  <c r="N28" i="14" s="1"/>
  <c r="J119" i="14"/>
  <c r="N119" i="14" s="1"/>
  <c r="J115" i="14"/>
  <c r="N115" i="14" s="1"/>
  <c r="J72" i="14"/>
  <c r="N72" i="14" s="1"/>
  <c r="J32" i="14"/>
  <c r="N32" i="14" s="1"/>
  <c r="J165" i="14"/>
  <c r="N165" i="14" s="1"/>
  <c r="J189" i="14"/>
  <c r="N189" i="14" s="1"/>
  <c r="J59" i="14"/>
  <c r="N59" i="14" s="1"/>
  <c r="J63" i="14"/>
  <c r="N63" i="14" s="1"/>
  <c r="J12" i="14"/>
  <c r="N12" i="14" s="1"/>
  <c r="J158" i="14"/>
  <c r="N158" i="14" s="1"/>
  <c r="J197" i="14"/>
  <c r="N197" i="14" s="1"/>
  <c r="J135" i="14"/>
  <c r="N135" i="14" s="1"/>
  <c r="J161" i="14"/>
  <c r="N161" i="14" s="1"/>
  <c r="J192" i="14"/>
  <c r="N192" i="14" s="1"/>
  <c r="J184" i="14"/>
  <c r="N184" i="14" s="1"/>
  <c r="J202" i="14"/>
  <c r="N202" i="14" s="1"/>
  <c r="J185" i="14"/>
  <c r="N185" i="14" s="1"/>
  <c r="J160" i="14"/>
  <c r="N160" i="14" s="1"/>
  <c r="J65" i="14"/>
  <c r="N65" i="14" s="1"/>
  <c r="J82" i="14"/>
  <c r="N82" i="14" s="1"/>
  <c r="J112" i="14"/>
  <c r="N112" i="14" s="1"/>
  <c r="J51" i="14"/>
  <c r="N51" i="14" s="1"/>
  <c r="J92" i="14"/>
  <c r="N92" i="14" s="1"/>
  <c r="J143" i="14"/>
  <c r="N143" i="14" s="1"/>
  <c r="J53" i="14"/>
  <c r="N53" i="14" s="1"/>
  <c r="J86" i="14"/>
  <c r="N86" i="14" s="1"/>
  <c r="J55" i="14"/>
  <c r="N55" i="14" s="1"/>
  <c r="J80" i="14"/>
  <c r="N80" i="14" s="1"/>
  <c r="J14" i="14"/>
  <c r="N14" i="14" s="1"/>
  <c r="J21" i="14"/>
  <c r="N21" i="14" s="1"/>
  <c r="J104" i="14"/>
  <c r="N104" i="14" s="1"/>
  <c r="J54" i="14"/>
  <c r="N54" i="14" s="1"/>
  <c r="J113" i="14"/>
  <c r="N113" i="14" s="1"/>
  <c r="J3" i="14"/>
  <c r="N3" i="14" s="1"/>
  <c r="J150" i="14"/>
  <c r="N150" i="14" s="1"/>
  <c r="J122" i="14"/>
  <c r="N122" i="14" s="1"/>
  <c r="J148" i="14"/>
  <c r="N148" i="14" s="1"/>
  <c r="J171" i="14"/>
  <c r="N171" i="14" s="1"/>
  <c r="J196" i="14"/>
  <c r="N196" i="14" s="1"/>
  <c r="J172" i="14"/>
  <c r="N172" i="14" s="1"/>
  <c r="J57" i="14"/>
  <c r="N57" i="14" s="1"/>
  <c r="J74" i="14"/>
  <c r="N74" i="14" s="1"/>
  <c r="J105" i="14"/>
  <c r="N105" i="14" s="1"/>
  <c r="J84" i="14"/>
  <c r="N84" i="14" s="1"/>
  <c r="J136" i="14"/>
  <c r="N136" i="14" s="1"/>
  <c r="J45" i="14"/>
  <c r="N45" i="14" s="1"/>
  <c r="J177" i="14"/>
  <c r="N177" i="14" s="1"/>
  <c r="J48" i="14"/>
  <c r="N48" i="14" s="1"/>
  <c r="J6" i="14"/>
  <c r="N6" i="14" s="1"/>
  <c r="J15" i="14"/>
  <c r="N15" i="14" s="1"/>
  <c r="J78" i="14"/>
  <c r="N78" i="14" s="1"/>
  <c r="J35" i="14"/>
  <c r="N35" i="14" s="1"/>
  <c r="J22" i="14"/>
  <c r="N22" i="14" s="1"/>
  <c r="J18" i="14"/>
  <c r="N18" i="14" s="1"/>
  <c r="J203" i="14"/>
  <c r="N203" i="14" s="1"/>
  <c r="J179" i="14"/>
  <c r="N179" i="14" s="1"/>
  <c r="J121" i="14"/>
  <c r="N121" i="14" s="1"/>
  <c r="J201" i="14"/>
  <c r="N201" i="14" s="1"/>
  <c r="J47" i="14"/>
  <c r="N47" i="14" s="1"/>
  <c r="J34" i="14"/>
  <c r="N34" i="14" s="1"/>
  <c r="J142" i="14"/>
  <c r="N142" i="14" s="1"/>
  <c r="J186" i="14"/>
  <c r="N186" i="14" s="1"/>
  <c r="J109" i="14"/>
  <c r="N109" i="14" s="1"/>
  <c r="J144" i="14"/>
  <c r="N144" i="14" s="1"/>
  <c r="J175" i="14"/>
  <c r="N175" i="14" s="1"/>
  <c r="J167" i="14"/>
  <c r="N167" i="14" s="1"/>
  <c r="J193" i="14"/>
  <c r="N193" i="14" s="1"/>
  <c r="J168" i="14"/>
  <c r="N168" i="14" s="1"/>
  <c r="J117" i="14"/>
  <c r="N117" i="14" s="1"/>
  <c r="J49" i="14"/>
  <c r="N49" i="14" s="1"/>
  <c r="J66" i="14"/>
  <c r="N66" i="14" s="1"/>
  <c r="J98" i="14"/>
  <c r="N98" i="14" s="1"/>
  <c r="J195" i="14"/>
  <c r="N195" i="14" s="1"/>
  <c r="J76" i="14"/>
  <c r="N76" i="14" s="1"/>
  <c r="J130" i="14"/>
  <c r="N130" i="14" s="1"/>
  <c r="J183" i="14"/>
  <c r="N183" i="14" s="1"/>
  <c r="J132" i="14"/>
  <c r="N132" i="14" s="1"/>
  <c r="J129" i="14"/>
  <c r="N129" i="14" s="1"/>
  <c r="J38" i="14"/>
  <c r="N38" i="14" s="1"/>
  <c r="J187" i="14"/>
  <c r="N187" i="14" s="1"/>
  <c r="J7" i="14"/>
  <c r="N7" i="14" s="1"/>
  <c r="J41" i="14"/>
  <c r="N41" i="14" s="1"/>
  <c r="J24" i="14"/>
  <c r="N24" i="14" s="1"/>
  <c r="J16" i="14"/>
  <c r="N16" i="14" s="1"/>
  <c r="J9" i="14"/>
  <c r="N9" i="14" s="1"/>
  <c r="J118" i="14"/>
  <c r="N118" i="14" s="1"/>
  <c r="J114" i="14"/>
  <c r="N114" i="14" s="1"/>
  <c r="J163" i="14"/>
  <c r="N163" i="14" s="1"/>
  <c r="J123" i="14"/>
  <c r="N123" i="14" s="1"/>
  <c r="J133" i="14"/>
  <c r="N133" i="14" s="1"/>
  <c r="J146" i="14"/>
  <c r="N146" i="14" s="1"/>
  <c r="J27" i="14"/>
  <c r="N27" i="14" s="1"/>
  <c r="J10" i="14"/>
  <c r="N10" i="14" s="1"/>
  <c r="J198" i="14"/>
  <c r="N198" i="14" s="1"/>
  <c r="J134" i="14"/>
  <c r="N134" i="14" s="1"/>
  <c r="J173" i="14"/>
  <c r="N173" i="14" s="1"/>
  <c r="J101" i="14"/>
  <c r="N101" i="14" s="1"/>
  <c r="J131" i="14"/>
  <c r="N131" i="14" s="1"/>
  <c r="J162" i="14"/>
  <c r="N162" i="14" s="1"/>
  <c r="J154" i="14"/>
  <c r="N154" i="14" s="1"/>
  <c r="J180" i="14"/>
  <c r="N180" i="14" s="1"/>
  <c r="J155" i="14"/>
  <c r="N155" i="14" s="1"/>
  <c r="J107" i="14"/>
  <c r="N107" i="14" s="1"/>
  <c r="J42" i="14"/>
  <c r="N42" i="14" s="1"/>
  <c r="J58" i="14"/>
  <c r="N58" i="14" s="1"/>
  <c r="J91" i="14"/>
  <c r="N91" i="14" s="1"/>
  <c r="J147" i="14"/>
  <c r="N147" i="14" s="1"/>
  <c r="J68" i="14"/>
  <c r="N68" i="14" s="1"/>
  <c r="J96" i="14"/>
  <c r="N96" i="14" s="1"/>
  <c r="J157" i="14"/>
  <c r="N157" i="14" s="1"/>
  <c r="J111" i="14"/>
  <c r="N111" i="14" s="1"/>
  <c r="J97" i="14"/>
  <c r="N97" i="14" s="1"/>
  <c r="J37" i="14"/>
  <c r="N37" i="14" s="1"/>
  <c r="J70" i="14"/>
  <c r="N70" i="14" s="1"/>
  <c r="J56" i="14"/>
  <c r="N56" i="14" s="1"/>
  <c r="J64" i="14"/>
  <c r="N64" i="14" s="1"/>
  <c r="J11" i="14"/>
  <c r="N11" i="14" s="1"/>
  <c r="J88" i="14"/>
  <c r="N88" i="14" s="1"/>
  <c r="J8" i="14"/>
  <c r="N8" i="14" s="1"/>
  <c r="J156" i="14"/>
  <c r="N156" i="14" s="1"/>
  <c r="J145" i="14"/>
  <c r="N145" i="14" s="1"/>
  <c r="J138" i="14"/>
  <c r="N138" i="14" s="1"/>
  <c r="J43" i="14"/>
  <c r="N43" i="14" s="1"/>
  <c r="J52" i="14"/>
  <c r="N52" i="14" s="1"/>
  <c r="J79" i="14"/>
  <c r="N79" i="14" s="1"/>
  <c r="J30" i="14"/>
  <c r="N30" i="14" s="1"/>
  <c r="J190" i="14"/>
  <c r="N190" i="14" s="1"/>
  <c r="J126" i="14"/>
  <c r="N126" i="14" s="1"/>
  <c r="J169" i="14"/>
  <c r="N169" i="14" s="1"/>
  <c r="J93" i="14"/>
  <c r="N93" i="14" s="1"/>
  <c r="J127" i="14"/>
  <c r="N127" i="14" s="1"/>
  <c r="J149" i="14"/>
  <c r="N149" i="14" s="1"/>
  <c r="J141" i="14"/>
  <c r="N141" i="14" s="1"/>
  <c r="J176" i="14"/>
  <c r="N176" i="14" s="1"/>
  <c r="J151" i="14"/>
  <c r="N151" i="14" s="1"/>
  <c r="J100" i="14"/>
  <c r="N100" i="14" s="1"/>
  <c r="J170" i="14"/>
  <c r="N170" i="14" s="1"/>
  <c r="J50" i="14"/>
  <c r="N50" i="14" s="1"/>
  <c r="J83" i="14"/>
  <c r="N83" i="14" s="1"/>
  <c r="J140" i="14"/>
  <c r="N140" i="14" s="1"/>
  <c r="J60" i="14"/>
  <c r="N60" i="14" s="1"/>
  <c r="J85" i="14"/>
  <c r="N85" i="14" s="1"/>
  <c r="J153" i="14"/>
  <c r="N153" i="14" s="1"/>
  <c r="J87" i="14"/>
  <c r="N87" i="14" s="1"/>
  <c r="J62" i="14"/>
  <c r="N62" i="14" s="1"/>
  <c r="J36" i="14"/>
  <c r="N36" i="14" s="1"/>
  <c r="J44" i="14"/>
  <c r="N44" i="14" s="1"/>
  <c r="J39" i="14"/>
  <c r="J46" i="14"/>
  <c r="N46" i="14" s="1"/>
  <c r="J23" i="14"/>
  <c r="N23" i="14" s="1"/>
  <c r="J17" i="14"/>
  <c r="N17" i="14" s="1"/>
  <c r="J4" i="14"/>
  <c r="N4" i="14" s="1"/>
  <c r="J182" i="14"/>
  <c r="N182" i="14" s="1"/>
  <c r="J191" i="14"/>
  <c r="N191" i="14" s="1"/>
  <c r="J137" i="14"/>
  <c r="N137" i="14" s="1"/>
  <c r="J89" i="14"/>
  <c r="N89" i="14" s="1"/>
  <c r="J75" i="14"/>
  <c r="N75" i="14" s="1"/>
  <c r="J77" i="14"/>
  <c r="N77" i="14" s="1"/>
  <c r="J19" i="14"/>
  <c r="N19" i="14" s="1"/>
  <c r="J40" i="14"/>
  <c r="N40" i="14" s="1"/>
  <c r="I10" i="14"/>
  <c r="I9" i="14"/>
  <c r="I19" i="14"/>
  <c r="I20" i="14"/>
  <c r="I12" i="14"/>
  <c r="I8" i="14"/>
  <c r="H35" i="17"/>
  <c r="H34" i="17"/>
  <c r="I27" i="17"/>
  <c r="I29" i="17"/>
  <c r="I37" i="17"/>
  <c r="H34" i="16"/>
  <c r="H35" i="16"/>
  <c r="I29" i="16"/>
  <c r="H38" i="16" s="1"/>
  <c r="I32" i="17"/>
  <c r="I38" i="17" s="1"/>
  <c r="I30" i="16"/>
  <c r="I37" i="16" s="1"/>
  <c r="I32" i="16"/>
  <c r="I38" i="16" s="1"/>
  <c r="L123" i="13"/>
  <c r="M123" i="13" s="1"/>
  <c r="P123" i="13" s="1"/>
  <c r="L97" i="13"/>
  <c r="M97" i="13" s="1"/>
  <c r="P97" i="13" s="1"/>
  <c r="L107" i="13"/>
  <c r="M107" i="13" s="1"/>
  <c r="P107" i="13" s="1"/>
  <c r="L106" i="13"/>
  <c r="M106" i="13" s="1"/>
  <c r="P106" i="13" s="1"/>
  <c r="L177" i="13"/>
  <c r="M177" i="13" s="1"/>
  <c r="P177" i="13" s="1"/>
  <c r="L19" i="13"/>
  <c r="M19" i="13" s="1"/>
  <c r="P19" i="13" s="1"/>
  <c r="L200" i="13"/>
  <c r="M200" i="13" s="1"/>
  <c r="P200" i="13" s="1"/>
  <c r="L4" i="13"/>
  <c r="M4" i="13" s="1"/>
  <c r="P4" i="13" s="1"/>
  <c r="L71" i="13"/>
  <c r="M71" i="13" s="1"/>
  <c r="P71" i="13" s="1"/>
  <c r="L70" i="13"/>
  <c r="M70" i="13" s="1"/>
  <c r="P70" i="13" s="1"/>
  <c r="L137" i="13"/>
  <c r="M137" i="13" s="1"/>
  <c r="P137" i="13" s="1"/>
  <c r="L101" i="13"/>
  <c r="M101" i="13" s="1"/>
  <c r="P101" i="13" s="1"/>
  <c r="L156" i="13"/>
  <c r="M156" i="13" s="1"/>
  <c r="P156" i="13" s="1"/>
  <c r="L7" i="13"/>
  <c r="M7" i="13" s="1"/>
  <c r="P7" i="13" s="1"/>
  <c r="L151" i="13"/>
  <c r="M151" i="13" s="1"/>
  <c r="P151" i="13" s="1"/>
  <c r="L198" i="13"/>
  <c r="M198" i="13" s="1"/>
  <c r="P198" i="13" s="1"/>
  <c r="L65" i="13"/>
  <c r="M65" i="13" s="1"/>
  <c r="P65" i="13" s="1"/>
  <c r="L193" i="13"/>
  <c r="M193" i="13" s="1"/>
  <c r="P193" i="13" s="1"/>
  <c r="L93" i="13"/>
  <c r="M93" i="13" s="1"/>
  <c r="P93" i="13" s="1"/>
  <c r="L148" i="13"/>
  <c r="M148" i="13" s="1"/>
  <c r="P148" i="13" s="1"/>
  <c r="L22" i="13"/>
  <c r="M22" i="13" s="1"/>
  <c r="P22" i="13" s="1"/>
  <c r="L20" i="13"/>
  <c r="M20" i="13" s="1"/>
  <c r="P20" i="13" s="1"/>
  <c r="L41" i="13"/>
  <c r="M41" i="13" s="1"/>
  <c r="P41" i="13" s="1"/>
  <c r="L147" i="13"/>
  <c r="M147" i="13" s="1"/>
  <c r="P147" i="13" s="1"/>
  <c r="L175" i="13"/>
  <c r="M175" i="13" s="1"/>
  <c r="P175" i="13" s="1"/>
  <c r="L195" i="13"/>
  <c r="M195" i="13" s="1"/>
  <c r="P195" i="13" s="1"/>
  <c r="L50" i="13"/>
  <c r="M50" i="13" s="1"/>
  <c r="P50" i="13" s="1"/>
  <c r="L63" i="13"/>
  <c r="M63" i="13" s="1"/>
  <c r="P63" i="13" s="1"/>
  <c r="L58" i="13"/>
  <c r="M58" i="13" s="1"/>
  <c r="P58" i="13" s="1"/>
  <c r="L33" i="13"/>
  <c r="M33" i="13" s="1"/>
  <c r="P33" i="13" s="1"/>
  <c r="L112" i="13"/>
  <c r="M112" i="13" s="1"/>
  <c r="P112" i="13" s="1"/>
  <c r="L100" i="13"/>
  <c r="M100" i="13" s="1"/>
  <c r="P100" i="13" s="1"/>
  <c r="L194" i="13"/>
  <c r="M194" i="13" s="1"/>
  <c r="P194" i="13" s="1"/>
  <c r="L82" i="13"/>
  <c r="M82" i="13" s="1"/>
  <c r="P82" i="13" s="1"/>
  <c r="L47" i="13"/>
  <c r="M47" i="13" s="1"/>
  <c r="P47" i="13" s="1"/>
  <c r="L104" i="13"/>
  <c r="M104" i="13" s="1"/>
  <c r="P104" i="13" s="1"/>
  <c r="L191" i="13"/>
  <c r="M191" i="13" s="1"/>
  <c r="P191" i="13" s="1"/>
  <c r="L203" i="13"/>
  <c r="M203" i="13" s="1"/>
  <c r="P203" i="13" s="1"/>
  <c r="L139" i="13"/>
  <c r="M139" i="13" s="1"/>
  <c r="P139" i="13" s="1"/>
  <c r="L13" i="13"/>
  <c r="M13" i="13" s="1"/>
  <c r="P13" i="13" s="1"/>
  <c r="L46" i="13"/>
  <c r="M46" i="13" s="1"/>
  <c r="P46" i="13" s="1"/>
  <c r="L171" i="13"/>
  <c r="M171" i="13" s="1"/>
  <c r="P171" i="13" s="1"/>
  <c r="L109" i="13"/>
  <c r="M109" i="13" s="1"/>
  <c r="P109" i="13" s="1"/>
  <c r="L80" i="13"/>
  <c r="M80" i="13" s="1"/>
  <c r="P80" i="13" s="1"/>
  <c r="L14" i="13"/>
  <c r="M14" i="13" s="1"/>
  <c r="P14" i="13" s="1"/>
  <c r="L64" i="13"/>
  <c r="M64" i="13" s="1"/>
  <c r="P64" i="13" s="1"/>
  <c r="L183" i="13"/>
  <c r="M183" i="13" s="1"/>
  <c r="P183" i="13" s="1"/>
  <c r="L135" i="13"/>
  <c r="M135" i="13" s="1"/>
  <c r="P135" i="13" s="1"/>
  <c r="L187" i="13"/>
  <c r="M187" i="13" s="1"/>
  <c r="P187" i="13" s="1"/>
  <c r="L202" i="13"/>
  <c r="M202" i="13" s="1"/>
  <c r="P202" i="13" s="1"/>
  <c r="L149" i="13"/>
  <c r="M149" i="13" s="1"/>
  <c r="P149" i="13" s="1"/>
  <c r="L108" i="13"/>
  <c r="M108" i="13" s="1"/>
  <c r="P108" i="13" s="1"/>
  <c r="L9" i="13"/>
  <c r="M9" i="13" s="1"/>
  <c r="P9" i="13" s="1"/>
  <c r="L59" i="13"/>
  <c r="M59" i="13" s="1"/>
  <c r="P59" i="13" s="1"/>
  <c r="L15" i="13"/>
  <c r="M15" i="13" s="1"/>
  <c r="P15" i="13" s="1"/>
  <c r="L78" i="13"/>
  <c r="M78" i="13" s="1"/>
  <c r="P78" i="13" s="1"/>
  <c r="L26" i="13"/>
  <c r="M26" i="13" s="1"/>
  <c r="P26" i="13" s="1"/>
  <c r="L62" i="13"/>
  <c r="M62" i="13" s="1"/>
  <c r="P62" i="13" s="1"/>
  <c r="L42" i="13"/>
  <c r="M42" i="13" s="1"/>
  <c r="P42" i="13" s="1"/>
  <c r="L12" i="13"/>
  <c r="M12" i="13" s="1"/>
  <c r="P12" i="13" s="1"/>
  <c r="L75" i="13"/>
  <c r="M75" i="13" s="1"/>
  <c r="P75" i="13" s="1"/>
  <c r="L55" i="13"/>
  <c r="M55" i="13" s="1"/>
  <c r="P55" i="13" s="1"/>
  <c r="L54" i="13"/>
  <c r="M54" i="13" s="1"/>
  <c r="P54" i="13" s="1"/>
  <c r="L114" i="13"/>
  <c r="M114" i="13" s="1"/>
  <c r="P114" i="13" s="1"/>
  <c r="L88" i="13"/>
  <c r="M88" i="13" s="1"/>
  <c r="P88" i="13" s="1"/>
  <c r="L167" i="13"/>
  <c r="M167" i="13" s="1"/>
  <c r="P167" i="13" s="1"/>
  <c r="L120" i="13"/>
  <c r="M120" i="13" s="1"/>
  <c r="P120" i="13" s="1"/>
  <c r="L86" i="13"/>
  <c r="M86" i="13" s="1"/>
  <c r="P86" i="13" s="1"/>
  <c r="L153" i="13"/>
  <c r="M153" i="13" s="1"/>
  <c r="P153" i="13" s="1"/>
  <c r="L110" i="13"/>
  <c r="M110" i="13" s="1"/>
  <c r="P110" i="13" s="1"/>
  <c r="L199" i="13"/>
  <c r="M199" i="13" s="1"/>
  <c r="P199" i="13" s="1"/>
  <c r="L117" i="13"/>
  <c r="M117" i="13" s="1"/>
  <c r="P117" i="13" s="1"/>
  <c r="L159" i="13"/>
  <c r="M159" i="13" s="1"/>
  <c r="P159" i="13" s="1"/>
  <c r="L157" i="13"/>
  <c r="M157" i="13" s="1"/>
  <c r="P157" i="13" s="1"/>
  <c r="L164" i="13"/>
  <c r="M164" i="13" s="1"/>
  <c r="P164" i="13" s="1"/>
  <c r="L146" i="13"/>
  <c r="M146" i="13" s="1"/>
  <c r="P146" i="13" s="1"/>
  <c r="L201" i="13"/>
  <c r="M201" i="13" s="1"/>
  <c r="P201" i="13" s="1"/>
  <c r="L145" i="13"/>
  <c r="M145" i="13" s="1"/>
  <c r="P145" i="13" s="1"/>
  <c r="L39" i="13"/>
  <c r="M39" i="13" s="1"/>
  <c r="P39" i="13" s="1"/>
  <c r="L44" i="13"/>
  <c r="M44" i="13" s="1"/>
  <c r="P44" i="13" s="1"/>
  <c r="L21" i="13"/>
  <c r="M21" i="13" s="1"/>
  <c r="P21" i="13" s="1"/>
  <c r="L98" i="13"/>
  <c r="M98" i="13" s="1"/>
  <c r="P98" i="13" s="1"/>
  <c r="L27" i="13"/>
  <c r="M27" i="13" s="1"/>
  <c r="P27" i="13" s="1"/>
  <c r="L83" i="13"/>
  <c r="M83" i="13" s="1"/>
  <c r="P83" i="13" s="1"/>
  <c r="L49" i="13"/>
  <c r="M49" i="13" s="1"/>
  <c r="P49" i="13" s="1"/>
  <c r="L18" i="13"/>
  <c r="M18" i="13" s="1"/>
  <c r="P18" i="13" s="1"/>
  <c r="L91" i="13"/>
  <c r="M91" i="13" s="1"/>
  <c r="P91" i="13" s="1"/>
  <c r="L115" i="13"/>
  <c r="M115" i="13" s="1"/>
  <c r="P115" i="13" s="1"/>
  <c r="L66" i="13"/>
  <c r="M66" i="13" s="1"/>
  <c r="P66" i="13" s="1"/>
  <c r="L122" i="13"/>
  <c r="M122" i="13" s="1"/>
  <c r="P122" i="13" s="1"/>
  <c r="L96" i="13"/>
  <c r="M96" i="13" s="1"/>
  <c r="P96" i="13" s="1"/>
  <c r="L169" i="13"/>
  <c r="M169" i="13" s="1"/>
  <c r="P169" i="13" s="1"/>
  <c r="L128" i="13"/>
  <c r="M128" i="13" s="1"/>
  <c r="P128" i="13" s="1"/>
  <c r="L94" i="13"/>
  <c r="M94" i="13" s="1"/>
  <c r="P94" i="13" s="1"/>
  <c r="L184" i="13"/>
  <c r="M184" i="13" s="1"/>
  <c r="P184" i="13" s="1"/>
  <c r="L118" i="13"/>
  <c r="M118" i="13" s="1"/>
  <c r="P118" i="13" s="1"/>
  <c r="L60" i="13"/>
  <c r="M60" i="13" s="1"/>
  <c r="P60" i="13" s="1"/>
  <c r="L125" i="13"/>
  <c r="M125" i="13" s="1"/>
  <c r="P125" i="13" s="1"/>
  <c r="L161" i="13"/>
  <c r="M161" i="13" s="1"/>
  <c r="P161" i="13" s="1"/>
  <c r="L165" i="13"/>
  <c r="M165" i="13" s="1"/>
  <c r="P165" i="13" s="1"/>
  <c r="L172" i="13"/>
  <c r="M172" i="13" s="1"/>
  <c r="P172" i="13" s="1"/>
  <c r="L154" i="13"/>
  <c r="M154" i="13" s="1"/>
  <c r="P154" i="13" s="1"/>
  <c r="L16" i="13"/>
  <c r="M16" i="13" s="1"/>
  <c r="P16" i="13" s="1"/>
  <c r="L52" i="13"/>
  <c r="M52" i="13" s="1"/>
  <c r="P52" i="13" s="1"/>
  <c r="L140" i="13"/>
  <c r="M140" i="13" s="1"/>
  <c r="P140" i="13" s="1"/>
  <c r="L28" i="13"/>
  <c r="M28" i="13" s="1"/>
  <c r="P28" i="13" s="1"/>
  <c r="L131" i="13"/>
  <c r="M131" i="13" s="1"/>
  <c r="P131" i="13" s="1"/>
  <c r="L36" i="13"/>
  <c r="M36" i="13" s="1"/>
  <c r="P36" i="13" s="1"/>
  <c r="L99" i="13"/>
  <c r="M99" i="13" s="1"/>
  <c r="P99" i="13" s="1"/>
  <c r="L57" i="13"/>
  <c r="M57" i="13" s="1"/>
  <c r="P57" i="13" s="1"/>
  <c r="L25" i="13"/>
  <c r="M25" i="13" s="1"/>
  <c r="P25" i="13" s="1"/>
  <c r="L124" i="13"/>
  <c r="M124" i="13" s="1"/>
  <c r="P124" i="13" s="1"/>
  <c r="L2" i="13"/>
  <c r="M2" i="13" s="1"/>
  <c r="P2" i="13" s="1"/>
  <c r="L72" i="13"/>
  <c r="M72" i="13" s="1"/>
  <c r="P72" i="13" s="1"/>
  <c r="L130" i="13"/>
  <c r="M130" i="13" s="1"/>
  <c r="P130" i="13" s="1"/>
  <c r="L105" i="13"/>
  <c r="M105" i="13" s="1"/>
  <c r="P105" i="13" s="1"/>
  <c r="L179" i="13"/>
  <c r="M179" i="13" s="1"/>
  <c r="P179" i="13" s="1"/>
  <c r="L136" i="13"/>
  <c r="M136" i="13" s="1"/>
  <c r="P136" i="13" s="1"/>
  <c r="L102" i="13"/>
  <c r="M102" i="13" s="1"/>
  <c r="P102" i="13" s="1"/>
  <c r="L61" i="13"/>
  <c r="M61" i="13" s="1"/>
  <c r="P61" i="13" s="1"/>
  <c r="L126" i="13"/>
  <c r="M126" i="13" s="1"/>
  <c r="P126" i="13" s="1"/>
  <c r="L68" i="13"/>
  <c r="M68" i="13" s="1"/>
  <c r="P68" i="13" s="1"/>
  <c r="L133" i="13"/>
  <c r="M133" i="13" s="1"/>
  <c r="P133" i="13" s="1"/>
  <c r="L185" i="13"/>
  <c r="M185" i="13" s="1"/>
  <c r="P185" i="13" s="1"/>
  <c r="L173" i="13"/>
  <c r="M173" i="13" s="1"/>
  <c r="P173" i="13" s="1"/>
  <c r="L180" i="13"/>
  <c r="M180" i="13" s="1"/>
  <c r="P180" i="13" s="1"/>
  <c r="L162" i="13"/>
  <c r="M162" i="13" s="1"/>
  <c r="P162" i="13" s="1"/>
  <c r="L150" i="13"/>
  <c r="M150" i="13" s="1"/>
  <c r="P150" i="13" s="1"/>
  <c r="L74" i="13"/>
  <c r="M74" i="13" s="1"/>
  <c r="P74" i="13" s="1"/>
  <c r="L8" i="13"/>
  <c r="M8" i="13" s="1"/>
  <c r="P8" i="13" s="1"/>
  <c r="L29" i="13"/>
  <c r="M29" i="13" s="1"/>
  <c r="P29" i="13" s="1"/>
  <c r="L152" i="13"/>
  <c r="M152" i="13" s="1"/>
  <c r="P152" i="13" s="1"/>
  <c r="L37" i="13"/>
  <c r="M37" i="13" s="1"/>
  <c r="P37" i="13" s="1"/>
  <c r="L132" i="13"/>
  <c r="M132" i="13" s="1"/>
  <c r="P132" i="13" s="1"/>
  <c r="L67" i="13"/>
  <c r="M67" i="13" s="1"/>
  <c r="P67" i="13" s="1"/>
  <c r="L35" i="13"/>
  <c r="M35" i="13" s="1"/>
  <c r="P35" i="13" s="1"/>
  <c r="L11" i="13"/>
  <c r="M11" i="13" s="1"/>
  <c r="P11" i="13" s="1"/>
  <c r="L10" i="13"/>
  <c r="M10" i="13" s="1"/>
  <c r="P10" i="13" s="1"/>
  <c r="L116" i="13"/>
  <c r="M116" i="13" s="1"/>
  <c r="P116" i="13" s="1"/>
  <c r="L138" i="13"/>
  <c r="M138" i="13" s="1"/>
  <c r="P138" i="13" s="1"/>
  <c r="L113" i="13"/>
  <c r="M113" i="13" s="1"/>
  <c r="P113" i="13" s="1"/>
  <c r="L79" i="13"/>
  <c r="M79" i="13" s="1"/>
  <c r="P79" i="13" s="1"/>
  <c r="L143" i="13"/>
  <c r="M143" i="13" s="1"/>
  <c r="P143" i="13" s="1"/>
  <c r="L111" i="13"/>
  <c r="M111" i="13" s="1"/>
  <c r="P111" i="13" s="1"/>
  <c r="L69" i="13"/>
  <c r="M69" i="13" s="1"/>
  <c r="P69" i="13" s="1"/>
  <c r="L134" i="13"/>
  <c r="M134" i="13" s="1"/>
  <c r="P134" i="13" s="1"/>
  <c r="L76" i="13"/>
  <c r="M76" i="13" s="1"/>
  <c r="P76" i="13" s="1"/>
  <c r="L141" i="13"/>
  <c r="M141" i="13" s="1"/>
  <c r="P141" i="13" s="1"/>
  <c r="L192" i="13"/>
  <c r="M192" i="13" s="1"/>
  <c r="P192" i="13" s="1"/>
  <c r="L181" i="13"/>
  <c r="M181" i="13" s="1"/>
  <c r="P181" i="13" s="1"/>
  <c r="L188" i="13"/>
  <c r="M188" i="13" s="1"/>
  <c r="P188" i="13" s="1"/>
  <c r="L170" i="13"/>
  <c r="M170" i="13" s="1"/>
  <c r="P170" i="13" s="1"/>
  <c r="L3" i="13"/>
  <c r="M3" i="13" s="1"/>
  <c r="P3" i="13" s="1"/>
  <c r="L31" i="13"/>
  <c r="M31" i="13" s="1"/>
  <c r="P31" i="13" s="1"/>
  <c r="L40" i="13"/>
  <c r="M40" i="13" s="1"/>
  <c r="P40" i="13" s="1"/>
  <c r="L30" i="13"/>
  <c r="M30" i="13" s="1"/>
  <c r="P30" i="13" s="1"/>
  <c r="L176" i="13"/>
  <c r="M176" i="13" s="1"/>
  <c r="P176" i="13" s="1"/>
  <c r="L38" i="13"/>
  <c r="M38" i="13" s="1"/>
  <c r="P38" i="13" s="1"/>
  <c r="L163" i="13"/>
  <c r="M163" i="13" s="1"/>
  <c r="P163" i="13" s="1"/>
  <c r="L73" i="13"/>
  <c r="M73" i="13" s="1"/>
  <c r="P73" i="13" s="1"/>
  <c r="L48" i="13"/>
  <c r="M48" i="13" s="1"/>
  <c r="P48" i="13" s="1"/>
  <c r="L24" i="13"/>
  <c r="M24" i="13" s="1"/>
  <c r="P24" i="13" s="1"/>
  <c r="L17" i="13"/>
  <c r="M17" i="13" s="1"/>
  <c r="P17" i="13" s="1"/>
  <c r="L81" i="13"/>
  <c r="M81" i="13" s="1"/>
  <c r="P81" i="13" s="1"/>
  <c r="L144" i="13"/>
  <c r="M144" i="13" s="1"/>
  <c r="P144" i="13" s="1"/>
  <c r="L121" i="13"/>
  <c r="M121" i="13" s="1"/>
  <c r="P121" i="13" s="1"/>
  <c r="L87" i="13"/>
  <c r="M87" i="13" s="1"/>
  <c r="P87" i="13" s="1"/>
  <c r="L158" i="13"/>
  <c r="M158" i="13" s="1"/>
  <c r="P158" i="13" s="1"/>
  <c r="L119" i="13"/>
  <c r="M119" i="13" s="1"/>
  <c r="P119" i="13" s="1"/>
  <c r="L77" i="13"/>
  <c r="M77" i="13" s="1"/>
  <c r="P77" i="13" s="1"/>
  <c r="L142" i="13"/>
  <c r="M142" i="13" s="1"/>
  <c r="P142" i="13" s="1"/>
  <c r="L84" i="13"/>
  <c r="M84" i="13" s="1"/>
  <c r="P84" i="13" s="1"/>
  <c r="L166" i="13"/>
  <c r="M166" i="13" s="1"/>
  <c r="P166" i="13" s="1"/>
  <c r="L182" i="13"/>
  <c r="M182" i="13" s="1"/>
  <c r="P182" i="13" s="1"/>
  <c r="L189" i="13"/>
  <c r="M189" i="13" s="1"/>
  <c r="P189" i="13" s="1"/>
  <c r="L196" i="13"/>
  <c r="M196" i="13" s="1"/>
  <c r="P196" i="13" s="1"/>
  <c r="L178" i="13"/>
  <c r="M178" i="13" s="1"/>
  <c r="P178" i="13" s="1"/>
  <c r="I22" i="13"/>
  <c r="I32" i="13" s="1"/>
  <c r="L32" i="13"/>
  <c r="M32" i="13" s="1"/>
  <c r="P32" i="13" s="1"/>
  <c r="L53" i="13"/>
  <c r="M53" i="13" s="1"/>
  <c r="P53" i="13" s="1"/>
  <c r="L45" i="13"/>
  <c r="M45" i="13" s="1"/>
  <c r="P45" i="13" s="1"/>
  <c r="L51" i="13"/>
  <c r="M51" i="13" s="1"/>
  <c r="P51" i="13" s="1"/>
  <c r="L6" i="13"/>
  <c r="M6" i="13" s="1"/>
  <c r="P6" i="13" s="1"/>
  <c r="L43" i="13"/>
  <c r="M43" i="13" s="1"/>
  <c r="P43" i="13" s="1"/>
  <c r="L5" i="13"/>
  <c r="M5" i="13" s="1"/>
  <c r="P5" i="13" s="1"/>
  <c r="L90" i="13"/>
  <c r="M90" i="13" s="1"/>
  <c r="P90" i="13" s="1"/>
  <c r="L56" i="13"/>
  <c r="M56" i="13" s="1"/>
  <c r="P56" i="13" s="1"/>
  <c r="L34" i="13"/>
  <c r="M34" i="13" s="1"/>
  <c r="P34" i="13" s="1"/>
  <c r="L23" i="13"/>
  <c r="M23" i="13" s="1"/>
  <c r="P23" i="13" s="1"/>
  <c r="L89" i="13"/>
  <c r="M89" i="13" s="1"/>
  <c r="P89" i="13" s="1"/>
  <c r="L174" i="13"/>
  <c r="M174" i="13" s="1"/>
  <c r="P174" i="13" s="1"/>
  <c r="L129" i="13"/>
  <c r="M129" i="13" s="1"/>
  <c r="P129" i="13" s="1"/>
  <c r="L95" i="13"/>
  <c r="M95" i="13" s="1"/>
  <c r="P95" i="13" s="1"/>
  <c r="L160" i="13"/>
  <c r="M160" i="13" s="1"/>
  <c r="P160" i="13" s="1"/>
  <c r="L127" i="13"/>
  <c r="M127" i="13" s="1"/>
  <c r="P127" i="13" s="1"/>
  <c r="L85" i="13"/>
  <c r="M85" i="13" s="1"/>
  <c r="P85" i="13" s="1"/>
  <c r="L155" i="13"/>
  <c r="M155" i="13" s="1"/>
  <c r="P155" i="13" s="1"/>
  <c r="L92" i="13"/>
  <c r="M92" i="13" s="1"/>
  <c r="P92" i="13" s="1"/>
  <c r="L168" i="13"/>
  <c r="M168" i="13" s="1"/>
  <c r="P168" i="13" s="1"/>
  <c r="L190" i="13"/>
  <c r="M190" i="13" s="1"/>
  <c r="P190" i="13" s="1"/>
  <c r="L197" i="13"/>
  <c r="M197" i="13" s="1"/>
  <c r="P197" i="13" s="1"/>
  <c r="L204" i="13"/>
  <c r="M204" i="13" s="1"/>
  <c r="P204" i="13" s="1"/>
  <c r="L186" i="13"/>
  <c r="M186" i="13" s="1"/>
  <c r="P186" i="13" s="1"/>
  <c r="I29" i="13"/>
  <c r="I28" i="13"/>
  <c r="I27" i="13"/>
  <c r="K200" i="13"/>
  <c r="O200" i="13" s="1"/>
  <c r="K201" i="13"/>
  <c r="O201" i="13" s="1"/>
  <c r="K193" i="13"/>
  <c r="O193" i="13" s="1"/>
  <c r="K185" i="13"/>
  <c r="O185" i="13" s="1"/>
  <c r="K177" i="13"/>
  <c r="O177" i="13" s="1"/>
  <c r="K169" i="13"/>
  <c r="O169" i="13" s="1"/>
  <c r="K161" i="13"/>
  <c r="O161" i="13" s="1"/>
  <c r="K153" i="13"/>
  <c r="O153" i="13" s="1"/>
  <c r="K145" i="13"/>
  <c r="O145" i="13" s="1"/>
  <c r="K202" i="13"/>
  <c r="O202" i="13" s="1"/>
  <c r="K194" i="13"/>
  <c r="O194" i="13" s="1"/>
  <c r="K203" i="13"/>
  <c r="O203" i="13" s="1"/>
  <c r="K195" i="13"/>
  <c r="O195" i="13" s="1"/>
  <c r="K187" i="13"/>
  <c r="O187" i="13" s="1"/>
  <c r="K179" i="13"/>
  <c r="O179" i="13" s="1"/>
  <c r="K171" i="13"/>
  <c r="O171" i="13" s="1"/>
  <c r="K163" i="13"/>
  <c r="O163" i="13" s="1"/>
  <c r="K155" i="13"/>
  <c r="O155" i="13" s="1"/>
  <c r="K147" i="13"/>
  <c r="O147" i="13" s="1"/>
  <c r="K204" i="13"/>
  <c r="O204" i="13" s="1"/>
  <c r="K196" i="13"/>
  <c r="O196" i="13" s="1"/>
  <c r="K188" i="13"/>
  <c r="O188" i="13" s="1"/>
  <c r="K180" i="13"/>
  <c r="O180" i="13" s="1"/>
  <c r="K172" i="13"/>
  <c r="O172" i="13" s="1"/>
  <c r="K164" i="13"/>
  <c r="O164" i="13" s="1"/>
  <c r="K156" i="13"/>
  <c r="O156" i="13" s="1"/>
  <c r="K148" i="13"/>
  <c r="O148" i="13" s="1"/>
  <c r="K197" i="13"/>
  <c r="O197" i="13" s="1"/>
  <c r="K189" i="13"/>
  <c r="O189" i="13" s="1"/>
  <c r="K181" i="13"/>
  <c r="O181" i="13" s="1"/>
  <c r="K176" i="13"/>
  <c r="O176" i="13" s="1"/>
  <c r="K192" i="13"/>
  <c r="O192" i="13" s="1"/>
  <c r="K178" i="13"/>
  <c r="O178" i="13" s="1"/>
  <c r="K170" i="13"/>
  <c r="O170" i="13" s="1"/>
  <c r="K159" i="13"/>
  <c r="O159" i="13" s="1"/>
  <c r="K157" i="13"/>
  <c r="O157" i="13" s="1"/>
  <c r="K140" i="13"/>
  <c r="O140" i="13" s="1"/>
  <c r="K132" i="13"/>
  <c r="O132" i="13" s="1"/>
  <c r="K124" i="13"/>
  <c r="O124" i="13" s="1"/>
  <c r="K116" i="13"/>
  <c r="O116" i="13" s="1"/>
  <c r="K108" i="13"/>
  <c r="O108" i="13" s="1"/>
  <c r="K99" i="13"/>
  <c r="O99" i="13" s="1"/>
  <c r="K91" i="13"/>
  <c r="O91" i="13" s="1"/>
  <c r="K83" i="13"/>
  <c r="O83" i="13" s="1"/>
  <c r="K75" i="13"/>
  <c r="O75" i="13" s="1"/>
  <c r="K67" i="13"/>
  <c r="O67" i="13" s="1"/>
  <c r="K59" i="13"/>
  <c r="O59" i="13" s="1"/>
  <c r="K182" i="13"/>
  <c r="O182" i="13" s="1"/>
  <c r="K168" i="13"/>
  <c r="O168" i="13" s="1"/>
  <c r="K166" i="13"/>
  <c r="O166" i="13" s="1"/>
  <c r="K146" i="13"/>
  <c r="O146" i="13" s="1"/>
  <c r="K141" i="13"/>
  <c r="O141" i="13" s="1"/>
  <c r="K133" i="13"/>
  <c r="O133" i="13" s="1"/>
  <c r="K125" i="13"/>
  <c r="O125" i="13" s="1"/>
  <c r="K117" i="13"/>
  <c r="O117" i="13" s="1"/>
  <c r="K109" i="13"/>
  <c r="O109" i="13" s="1"/>
  <c r="K100" i="13"/>
  <c r="O100" i="13" s="1"/>
  <c r="K92" i="13"/>
  <c r="O92" i="13" s="1"/>
  <c r="K84" i="13"/>
  <c r="O84" i="13" s="1"/>
  <c r="K76" i="13"/>
  <c r="O76" i="13" s="1"/>
  <c r="K68" i="13"/>
  <c r="O68" i="13" s="1"/>
  <c r="K199" i="13"/>
  <c r="O199" i="13" s="1"/>
  <c r="K191" i="13"/>
  <c r="O191" i="13" s="1"/>
  <c r="K175" i="13"/>
  <c r="O175" i="13" s="1"/>
  <c r="K173" i="13"/>
  <c r="O173" i="13" s="1"/>
  <c r="K142" i="13"/>
  <c r="O142" i="13" s="1"/>
  <c r="K134" i="13"/>
  <c r="O134" i="13" s="1"/>
  <c r="K126" i="13"/>
  <c r="O126" i="13" s="1"/>
  <c r="K118" i="13"/>
  <c r="O118" i="13" s="1"/>
  <c r="K110" i="13"/>
  <c r="O110" i="13" s="1"/>
  <c r="K101" i="13"/>
  <c r="O101" i="13" s="1"/>
  <c r="K93" i="13"/>
  <c r="O93" i="13" s="1"/>
  <c r="K85" i="13"/>
  <c r="O85" i="13" s="1"/>
  <c r="K198" i="13"/>
  <c r="O198" i="13" s="1"/>
  <c r="K184" i="13"/>
  <c r="O184" i="13" s="1"/>
  <c r="K162" i="13"/>
  <c r="O162" i="13" s="1"/>
  <c r="K151" i="13"/>
  <c r="O151" i="13" s="1"/>
  <c r="K149" i="13"/>
  <c r="O149" i="13" s="1"/>
  <c r="K135" i="13"/>
  <c r="O135" i="13" s="1"/>
  <c r="K127" i="13"/>
  <c r="O127" i="13" s="1"/>
  <c r="K119" i="13"/>
  <c r="O119" i="13" s="1"/>
  <c r="K111" i="13"/>
  <c r="O111" i="13" s="1"/>
  <c r="K102" i="13"/>
  <c r="O102" i="13" s="1"/>
  <c r="K94" i="13"/>
  <c r="O94" i="13" s="1"/>
  <c r="K86" i="13"/>
  <c r="O86" i="13" s="1"/>
  <c r="K78" i="13"/>
  <c r="O78" i="13" s="1"/>
  <c r="K186" i="13"/>
  <c r="O186" i="13" s="1"/>
  <c r="K160" i="13"/>
  <c r="O160" i="13" s="1"/>
  <c r="K158" i="13"/>
  <c r="O158" i="13" s="1"/>
  <c r="K143" i="13"/>
  <c r="O143" i="13" s="1"/>
  <c r="K136" i="13"/>
  <c r="O136" i="13" s="1"/>
  <c r="K128" i="13"/>
  <c r="O128" i="13" s="1"/>
  <c r="K120" i="13"/>
  <c r="O120" i="13" s="1"/>
  <c r="K112" i="13"/>
  <c r="O112" i="13" s="1"/>
  <c r="K104" i="13"/>
  <c r="O104" i="13" s="1"/>
  <c r="K95" i="13"/>
  <c r="O95" i="13" s="1"/>
  <c r="K87" i="13"/>
  <c r="O87" i="13" s="1"/>
  <c r="K190" i="13"/>
  <c r="O190" i="13" s="1"/>
  <c r="K167" i="13"/>
  <c r="O167" i="13" s="1"/>
  <c r="K165" i="13"/>
  <c r="O165" i="13" s="1"/>
  <c r="K137" i="13"/>
  <c r="O137" i="13" s="1"/>
  <c r="K129" i="13"/>
  <c r="O129" i="13" s="1"/>
  <c r="K121" i="13"/>
  <c r="O121" i="13" s="1"/>
  <c r="K113" i="13"/>
  <c r="O113" i="13" s="1"/>
  <c r="K105" i="13"/>
  <c r="O105" i="13" s="1"/>
  <c r="K96" i="13"/>
  <c r="O96" i="13" s="1"/>
  <c r="K88" i="13"/>
  <c r="O88" i="13" s="1"/>
  <c r="K80" i="13"/>
  <c r="O80" i="13" s="1"/>
  <c r="K150" i="13"/>
  <c r="O150" i="13" s="1"/>
  <c r="K139" i="13"/>
  <c r="O139" i="13" s="1"/>
  <c r="K107" i="13"/>
  <c r="O107" i="13" s="1"/>
  <c r="K82" i="13"/>
  <c r="O82" i="13" s="1"/>
  <c r="K69" i="13"/>
  <c r="O69" i="13" s="1"/>
  <c r="K63" i="13"/>
  <c r="O63" i="13" s="1"/>
  <c r="K60" i="13"/>
  <c r="O60" i="13" s="1"/>
  <c r="K53" i="13"/>
  <c r="O53" i="13" s="1"/>
  <c r="K45" i="13"/>
  <c r="O45" i="13" s="1"/>
  <c r="K40" i="13"/>
  <c r="O40" i="13" s="1"/>
  <c r="K16" i="13"/>
  <c r="O16" i="13" s="1"/>
  <c r="K9" i="13"/>
  <c r="O9" i="13" s="1"/>
  <c r="K138" i="13"/>
  <c r="O138" i="13" s="1"/>
  <c r="K106" i="13"/>
  <c r="O106" i="13" s="1"/>
  <c r="K77" i="13"/>
  <c r="O77" i="13" s="1"/>
  <c r="K72" i="13"/>
  <c r="O72" i="13" s="1"/>
  <c r="K66" i="13"/>
  <c r="O66" i="13" s="1"/>
  <c r="K54" i="13"/>
  <c r="O54" i="13" s="1"/>
  <c r="K46" i="13"/>
  <c r="O46" i="13" s="1"/>
  <c r="K33" i="13"/>
  <c r="O33" i="13" s="1"/>
  <c r="I31" i="13"/>
  <c r="K23" i="13"/>
  <c r="O23" i="13" s="1"/>
  <c r="K17" i="13"/>
  <c r="O17" i="13" s="1"/>
  <c r="K183" i="13"/>
  <c r="O183" i="13" s="1"/>
  <c r="K115" i="13"/>
  <c r="O115" i="13" s="1"/>
  <c r="K79" i="13"/>
  <c r="O79" i="13" s="1"/>
  <c r="K61" i="13"/>
  <c r="O61" i="13" s="1"/>
  <c r="K55" i="13"/>
  <c r="O55" i="13" s="1"/>
  <c r="K47" i="13"/>
  <c r="O47" i="13" s="1"/>
  <c r="K41" i="13"/>
  <c r="O41" i="13" s="1"/>
  <c r="K34" i="13"/>
  <c r="O34" i="13" s="1"/>
  <c r="K24" i="13"/>
  <c r="O24" i="13" s="1"/>
  <c r="K11" i="13"/>
  <c r="O11" i="13" s="1"/>
  <c r="K3" i="13"/>
  <c r="O3" i="13" s="1"/>
  <c r="K154" i="13"/>
  <c r="O154" i="13" s="1"/>
  <c r="K114" i="13"/>
  <c r="O114" i="13" s="1"/>
  <c r="K81" i="13"/>
  <c r="O81" i="13" s="1"/>
  <c r="K70" i="13"/>
  <c r="O70" i="13" s="1"/>
  <c r="K64" i="13"/>
  <c r="O64" i="13" s="1"/>
  <c r="K56" i="13"/>
  <c r="O56" i="13" s="1"/>
  <c r="K48" i="13"/>
  <c r="O48" i="13" s="1"/>
  <c r="K35" i="13"/>
  <c r="O35" i="13" s="1"/>
  <c r="K25" i="13"/>
  <c r="O25" i="13" s="1"/>
  <c r="K18" i="13"/>
  <c r="O18" i="13" s="1"/>
  <c r="K12" i="13"/>
  <c r="O12" i="13" s="1"/>
  <c r="K4" i="13"/>
  <c r="O4" i="13" s="1"/>
  <c r="K123" i="13"/>
  <c r="O123" i="13" s="1"/>
  <c r="K90" i="13"/>
  <c r="O90" i="13" s="1"/>
  <c r="K73" i="13"/>
  <c r="O73" i="13" s="1"/>
  <c r="K57" i="13"/>
  <c r="O57" i="13" s="1"/>
  <c r="K49" i="13"/>
  <c r="O49" i="13" s="1"/>
  <c r="K42" i="13"/>
  <c r="O42" i="13" s="1"/>
  <c r="K19" i="13"/>
  <c r="O19" i="13" s="1"/>
  <c r="K13" i="13"/>
  <c r="O13" i="13" s="1"/>
  <c r="K5" i="13"/>
  <c r="O5" i="13" s="1"/>
  <c r="K122" i="13"/>
  <c r="O122" i="13" s="1"/>
  <c r="K89" i="13"/>
  <c r="O89" i="13" s="1"/>
  <c r="K62" i="13"/>
  <c r="O62" i="13" s="1"/>
  <c r="K58" i="13"/>
  <c r="O58" i="13" s="1"/>
  <c r="K50" i="13"/>
  <c r="O50" i="13" s="1"/>
  <c r="K43" i="13"/>
  <c r="O43" i="13" s="1"/>
  <c r="K38" i="13"/>
  <c r="O38" i="13" s="1"/>
  <c r="K37" i="13"/>
  <c r="O37" i="13" s="1"/>
  <c r="K36" i="13"/>
  <c r="O36" i="13" s="1"/>
  <c r="K27" i="13"/>
  <c r="O27" i="13" s="1"/>
  <c r="K26" i="13"/>
  <c r="O26" i="13" s="1"/>
  <c r="K20" i="13"/>
  <c r="O20" i="13" s="1"/>
  <c r="K14" i="13"/>
  <c r="O14" i="13" s="1"/>
  <c r="K6" i="13"/>
  <c r="O6" i="13" s="1"/>
  <c r="K144" i="13"/>
  <c r="O144" i="13" s="1"/>
  <c r="K28" i="13"/>
  <c r="O28" i="13" s="1"/>
  <c r="K22" i="13"/>
  <c r="O22" i="13" s="1"/>
  <c r="K174" i="13"/>
  <c r="O174" i="13" s="1"/>
  <c r="K15" i="13"/>
  <c r="O15" i="13" s="1"/>
  <c r="K8" i="13"/>
  <c r="O8" i="13" s="1"/>
  <c r="K44" i="13"/>
  <c r="O44" i="13" s="1"/>
  <c r="K98" i="13"/>
  <c r="O98" i="13" s="1"/>
  <c r="K31" i="13"/>
  <c r="O31" i="13" s="1"/>
  <c r="K29" i="13"/>
  <c r="O29" i="13" s="1"/>
  <c r="K21" i="13"/>
  <c r="O21" i="13" s="1"/>
  <c r="K2" i="13"/>
  <c r="O2" i="13" s="1"/>
  <c r="K71" i="13"/>
  <c r="O71" i="13" s="1"/>
  <c r="K97" i="13"/>
  <c r="O97" i="13" s="1"/>
  <c r="K74" i="13"/>
  <c r="O74" i="13" s="1"/>
  <c r="K52" i="13"/>
  <c r="O52" i="13" s="1"/>
  <c r="K39" i="13"/>
  <c r="O39" i="13" s="1"/>
  <c r="K152" i="13"/>
  <c r="O152" i="13" s="1"/>
  <c r="K131" i="13"/>
  <c r="O131" i="13" s="1"/>
  <c r="K51" i="13"/>
  <c r="O51" i="13" s="1"/>
  <c r="K130" i="13"/>
  <c r="O130" i="13" s="1"/>
  <c r="K32" i="13"/>
  <c r="O32" i="13" s="1"/>
  <c r="K30" i="13"/>
  <c r="O30" i="13" s="1"/>
  <c r="K10" i="13"/>
  <c r="O10" i="13" s="1"/>
  <c r="K7" i="13"/>
  <c r="O7" i="13" s="1"/>
  <c r="K65" i="13"/>
  <c r="O65" i="13" s="1"/>
  <c r="I38" i="28" l="1"/>
  <c r="H37" i="28"/>
  <c r="I46" i="28"/>
  <c r="H40" i="16"/>
  <c r="F30" i="3"/>
  <c r="L29" i="36"/>
  <c r="L33" i="36"/>
  <c r="L32" i="36"/>
  <c r="L28" i="36"/>
  <c r="L27" i="36"/>
  <c r="L26" i="36"/>
  <c r="L25" i="36"/>
  <c r="L34" i="36"/>
  <c r="L23" i="36"/>
  <c r="L22" i="36"/>
  <c r="L19" i="36"/>
  <c r="L20" i="36"/>
  <c r="L39" i="36"/>
  <c r="L36" i="36"/>
  <c r="L43" i="36"/>
  <c r="L24" i="36"/>
  <c r="L18" i="36"/>
  <c r="I3" i="36"/>
  <c r="L30" i="36"/>
  <c r="L21" i="36"/>
  <c r="L40" i="36"/>
  <c r="L41" i="36"/>
  <c r="L38" i="36"/>
  <c r="L37" i="36"/>
  <c r="L35" i="36"/>
  <c r="L31" i="36"/>
  <c r="L42" i="36"/>
  <c r="H35" i="28"/>
  <c r="I45" i="28"/>
  <c r="H41" i="28"/>
  <c r="I37" i="29"/>
  <c r="H37" i="13"/>
  <c r="I45" i="13"/>
  <c r="E2" i="36" s="1"/>
  <c r="I44" i="13"/>
  <c r="D2" i="36" s="1"/>
  <c r="I27" i="28"/>
  <c r="I38" i="29"/>
  <c r="H34" i="29"/>
  <c r="H35" i="29"/>
  <c r="H38" i="29"/>
  <c r="H40" i="29" s="1"/>
  <c r="I37" i="28"/>
  <c r="H34" i="28"/>
  <c r="E29" i="3"/>
  <c r="E23" i="3"/>
  <c r="I43" i="14"/>
  <c r="N39" i="14"/>
  <c r="I17" i="14"/>
  <c r="L89" i="14" s="1"/>
  <c r="I13" i="14"/>
  <c r="I15" i="14"/>
  <c r="H38" i="17"/>
  <c r="H40" i="17" s="1"/>
  <c r="I38" i="13"/>
  <c r="I30" i="13"/>
  <c r="I37" i="13" s="1"/>
  <c r="H38" i="13"/>
  <c r="H34" i="13"/>
  <c r="H35" i="13"/>
  <c r="H38" i="28" l="1"/>
  <c r="H40" i="28" s="1"/>
  <c r="H40" i="13"/>
  <c r="F29" i="3"/>
  <c r="I2" i="36"/>
  <c r="K18" i="36"/>
  <c r="K23" i="36"/>
  <c r="K43" i="36"/>
  <c r="K19" i="36"/>
  <c r="K40" i="36"/>
  <c r="K37" i="36"/>
  <c r="K42" i="36"/>
  <c r="K34" i="36"/>
  <c r="K39" i="36"/>
  <c r="K29" i="36"/>
  <c r="K20" i="36"/>
  <c r="K33" i="36"/>
  <c r="K36" i="36"/>
  <c r="K31" i="36"/>
  <c r="K27" i="36"/>
  <c r="K35" i="36"/>
  <c r="K25" i="36"/>
  <c r="K21" i="36"/>
  <c r="K41" i="36"/>
  <c r="K30" i="36"/>
  <c r="K28" i="36"/>
  <c r="K24" i="36"/>
  <c r="K26" i="36"/>
  <c r="K32" i="36"/>
  <c r="K38" i="36"/>
  <c r="L64" i="14"/>
  <c r="I21" i="14"/>
  <c r="I27" i="14" s="1"/>
  <c r="L9" i="14"/>
  <c r="L49" i="14"/>
  <c r="L30" i="14"/>
  <c r="L85" i="14"/>
  <c r="L94" i="14"/>
  <c r="L13" i="14"/>
  <c r="L3" i="14"/>
  <c r="L149" i="14"/>
  <c r="L5" i="14"/>
  <c r="L10" i="14"/>
  <c r="L183" i="14"/>
  <c r="L81" i="14"/>
  <c r="L130" i="14"/>
  <c r="L42" i="14"/>
  <c r="L96" i="14"/>
  <c r="L117" i="14"/>
  <c r="L191" i="14"/>
  <c r="L88" i="14"/>
  <c r="L46" i="14"/>
  <c r="L200" i="14"/>
  <c r="L122" i="14"/>
  <c r="L71" i="14"/>
  <c r="L74" i="14"/>
  <c r="L198" i="14"/>
  <c r="L18" i="14"/>
  <c r="L98" i="14"/>
  <c r="L31" i="14"/>
  <c r="L26" i="14"/>
  <c r="L190" i="14"/>
  <c r="L135" i="14"/>
  <c r="L129" i="14"/>
  <c r="L69" i="14"/>
  <c r="L111" i="14"/>
  <c r="L197" i="14"/>
  <c r="L133" i="14"/>
  <c r="L181" i="14"/>
  <c r="L165" i="14"/>
  <c r="L134" i="14"/>
  <c r="L114" i="14"/>
  <c r="L153" i="14"/>
  <c r="L116" i="14"/>
  <c r="L106" i="14"/>
  <c r="L174" i="14"/>
  <c r="L41" i="14"/>
  <c r="L161" i="14"/>
  <c r="L22" i="14"/>
  <c r="L172" i="14"/>
  <c r="L14" i="14"/>
  <c r="L43" i="14"/>
  <c r="L192" i="14"/>
  <c r="L104" i="14"/>
  <c r="L82" i="14"/>
  <c r="L59" i="14"/>
  <c r="L178" i="14"/>
  <c r="L144" i="14"/>
  <c r="L8" i="14"/>
  <c r="L16" i="14"/>
  <c r="L66" i="14"/>
  <c r="L92" i="14"/>
  <c r="L70" i="14"/>
  <c r="L176" i="14"/>
  <c r="L146" i="14"/>
  <c r="L87" i="14"/>
  <c r="L173" i="14"/>
  <c r="L25" i="14"/>
  <c r="L196" i="14"/>
  <c r="L159" i="14"/>
  <c r="L160" i="14"/>
  <c r="L156" i="14"/>
  <c r="L184" i="14"/>
  <c r="L45" i="14"/>
  <c r="L163" i="14"/>
  <c r="L91" i="14"/>
  <c r="L202" i="14"/>
  <c r="L34" i="14"/>
  <c r="L124" i="14"/>
  <c r="L53" i="14"/>
  <c r="L47" i="14"/>
  <c r="L40" i="14"/>
  <c r="L99" i="14"/>
  <c r="L177" i="14"/>
  <c r="L54" i="14"/>
  <c r="L152" i="14"/>
  <c r="I22" i="14"/>
  <c r="L142" i="14"/>
  <c r="L11" i="14"/>
  <c r="L175" i="14"/>
  <c r="L109" i="14"/>
  <c r="L15" i="14"/>
  <c r="L147" i="14"/>
  <c r="L131" i="14"/>
  <c r="L127" i="14"/>
  <c r="L37" i="14"/>
  <c r="L145" i="14"/>
  <c r="L63" i="14"/>
  <c r="L39" i="14"/>
  <c r="L68" i="14"/>
  <c r="L194" i="14"/>
  <c r="L141" i="14"/>
  <c r="L23" i="14"/>
  <c r="L102" i="14"/>
  <c r="L139" i="14"/>
  <c r="L185" i="14"/>
  <c r="L170" i="14"/>
  <c r="L171" i="14"/>
  <c r="L193" i="14"/>
  <c r="L20" i="14"/>
  <c r="L72" i="14"/>
  <c r="L151" i="14"/>
  <c r="L128" i="14"/>
  <c r="L84" i="14"/>
  <c r="L166" i="14"/>
  <c r="L148" i="14"/>
  <c r="L24" i="14"/>
  <c r="L77" i="14"/>
  <c r="L199" i="14"/>
  <c r="L2" i="14"/>
  <c r="L187" i="14"/>
  <c r="L50" i="14"/>
  <c r="L115" i="14"/>
  <c r="L168" i="14"/>
  <c r="L195" i="14"/>
  <c r="I14" i="14"/>
  <c r="I28" i="14"/>
  <c r="H37" i="14" s="1"/>
  <c r="L180" i="14"/>
  <c r="L38" i="14"/>
  <c r="L57" i="14"/>
  <c r="L44" i="14"/>
  <c r="L7" i="14"/>
  <c r="L182" i="14"/>
  <c r="L36" i="14"/>
  <c r="L28" i="14"/>
  <c r="L169" i="14"/>
  <c r="L48" i="14"/>
  <c r="L118" i="14"/>
  <c r="L58" i="14"/>
  <c r="L162" i="14"/>
  <c r="L119" i="14"/>
  <c r="L76" i="14"/>
  <c r="L204" i="14"/>
  <c r="L113" i="14"/>
  <c r="L143" i="14"/>
  <c r="L73" i="14"/>
  <c r="L110" i="14"/>
  <c r="L107" i="14"/>
  <c r="L158" i="14"/>
  <c r="L186" i="14"/>
  <c r="L79" i="14"/>
  <c r="L86" i="14"/>
  <c r="L65" i="14"/>
  <c r="L120" i="14"/>
  <c r="L90" i="14"/>
  <c r="L12" i="14"/>
  <c r="L55" i="14"/>
  <c r="L155" i="14"/>
  <c r="L188" i="14"/>
  <c r="L51" i="14"/>
  <c r="L105" i="14"/>
  <c r="L154" i="14"/>
  <c r="L164" i="14"/>
  <c r="L179" i="14"/>
  <c r="L80" i="14"/>
  <c r="L33" i="14"/>
  <c r="L123" i="14"/>
  <c r="L140" i="14"/>
  <c r="L75" i="14"/>
  <c r="L32" i="14"/>
  <c r="L112" i="14"/>
  <c r="L17" i="14"/>
  <c r="L83" i="14"/>
  <c r="L201" i="14"/>
  <c r="M201" i="14" s="1"/>
  <c r="P201" i="14" s="1"/>
  <c r="L60" i="14"/>
  <c r="L189" i="14"/>
  <c r="L108" i="14"/>
  <c r="L95" i="14"/>
  <c r="L4" i="14"/>
  <c r="L126" i="14"/>
  <c r="L61" i="14"/>
  <c r="L138" i="14"/>
  <c r="L125" i="14"/>
  <c r="L6" i="14"/>
  <c r="L203" i="14"/>
  <c r="L93" i="14"/>
  <c r="L21" i="14"/>
  <c r="L157" i="14"/>
  <c r="L56" i="14"/>
  <c r="L97" i="14"/>
  <c r="L101" i="14"/>
  <c r="L121" i="14"/>
  <c r="L137" i="14"/>
  <c r="L27" i="14"/>
  <c r="L19" i="14"/>
  <c r="L136" i="14"/>
  <c r="L78" i="14"/>
  <c r="L67" i="14"/>
  <c r="L132" i="14"/>
  <c r="L62" i="14"/>
  <c r="L52" i="14"/>
  <c r="L150" i="14"/>
  <c r="L29" i="14"/>
  <c r="L100" i="14"/>
  <c r="L167" i="14"/>
  <c r="L35" i="14"/>
  <c r="H32" i="10"/>
  <c r="H30" i="10"/>
  <c r="H29" i="10"/>
  <c r="H27" i="10"/>
  <c r="P1" i="10"/>
  <c r="H32" i="8"/>
  <c r="H30" i="8"/>
  <c r="H29" i="8"/>
  <c r="H27" i="8"/>
  <c r="P1" i="8"/>
  <c r="H32" i="6"/>
  <c r="H30" i="6"/>
  <c r="H29" i="6"/>
  <c r="H27" i="6"/>
  <c r="P1" i="6"/>
  <c r="Q49" i="4"/>
  <c r="L49" i="4"/>
  <c r="K49" i="4"/>
  <c r="J49" i="4"/>
  <c r="H49" i="4"/>
  <c r="G49" i="4"/>
  <c r="Q48" i="4"/>
  <c r="L48" i="4"/>
  <c r="K48" i="4"/>
  <c r="J48" i="4"/>
  <c r="H48" i="4"/>
  <c r="G48" i="4"/>
  <c r="Q47" i="4"/>
  <c r="L47" i="4"/>
  <c r="K47" i="4"/>
  <c r="J47" i="4"/>
  <c r="H47" i="4"/>
  <c r="G47" i="4"/>
  <c r="Q46" i="4"/>
  <c r="L46" i="4"/>
  <c r="K46" i="4"/>
  <c r="J46" i="4"/>
  <c r="H46" i="4"/>
  <c r="I46" i="4" s="1"/>
  <c r="G46" i="4"/>
  <c r="Q45" i="4"/>
  <c r="L45" i="4"/>
  <c r="K45" i="4"/>
  <c r="J45" i="4"/>
  <c r="H45" i="4"/>
  <c r="G45" i="4"/>
  <c r="Q44" i="4"/>
  <c r="L44" i="4"/>
  <c r="K44" i="4"/>
  <c r="J44" i="4"/>
  <c r="H44" i="4"/>
  <c r="G44" i="4"/>
  <c r="Q43" i="4"/>
  <c r="L43" i="4"/>
  <c r="K43" i="4"/>
  <c r="J43" i="4"/>
  <c r="H43" i="4"/>
  <c r="G43" i="4"/>
  <c r="Q42" i="4"/>
  <c r="L42" i="4"/>
  <c r="K42" i="4"/>
  <c r="J42" i="4"/>
  <c r="H42" i="4"/>
  <c r="G42" i="4"/>
  <c r="Q41" i="4"/>
  <c r="L41" i="4"/>
  <c r="K41" i="4"/>
  <c r="J41" i="4"/>
  <c r="H41" i="4"/>
  <c r="G41" i="4"/>
  <c r="R41" i="4" s="1"/>
  <c r="Q40" i="4"/>
  <c r="L40" i="4"/>
  <c r="K40" i="4"/>
  <c r="J40" i="4"/>
  <c r="H40" i="4"/>
  <c r="G40" i="4"/>
  <c r="Q39" i="4"/>
  <c r="L39" i="4"/>
  <c r="K39" i="4"/>
  <c r="J39" i="4"/>
  <c r="H39" i="4"/>
  <c r="G39" i="4"/>
  <c r="Q38" i="4"/>
  <c r="L38" i="4"/>
  <c r="K38" i="4"/>
  <c r="J38" i="4"/>
  <c r="H38" i="4"/>
  <c r="G38" i="4"/>
  <c r="Q37" i="4"/>
  <c r="L37" i="4"/>
  <c r="K37" i="4"/>
  <c r="J37" i="4"/>
  <c r="H37" i="4"/>
  <c r="G37" i="4"/>
  <c r="R37" i="4" s="1"/>
  <c r="Q36" i="4"/>
  <c r="L36" i="4"/>
  <c r="K36" i="4"/>
  <c r="J36" i="4"/>
  <c r="H36" i="4"/>
  <c r="G36" i="4"/>
  <c r="Q35" i="4"/>
  <c r="K35" i="4"/>
  <c r="H35" i="4"/>
  <c r="G35" i="4"/>
  <c r="Q34" i="4"/>
  <c r="K34" i="4"/>
  <c r="H34" i="4"/>
  <c r="G34" i="4"/>
  <c r="Q33" i="4"/>
  <c r="K33" i="4"/>
  <c r="H33" i="4"/>
  <c r="G33" i="4"/>
  <c r="Q32" i="4"/>
  <c r="K32" i="4"/>
  <c r="H32" i="4"/>
  <c r="G32" i="4"/>
  <c r="Q31" i="4"/>
  <c r="K31" i="4"/>
  <c r="H31" i="4"/>
  <c r="G31" i="4"/>
  <c r="Q30" i="4"/>
  <c r="K30" i="4"/>
  <c r="H30" i="4"/>
  <c r="G30" i="4"/>
  <c r="Q29" i="4"/>
  <c r="K29" i="4"/>
  <c r="H29" i="4"/>
  <c r="G29" i="4"/>
  <c r="Q28" i="4"/>
  <c r="K28" i="4"/>
  <c r="H28" i="4"/>
  <c r="G28" i="4"/>
  <c r="Q27" i="4"/>
  <c r="K27" i="4"/>
  <c r="H27" i="4"/>
  <c r="G27" i="4"/>
  <c r="Q26" i="4"/>
  <c r="K26" i="4"/>
  <c r="H26" i="4"/>
  <c r="G26" i="4"/>
  <c r="Q25" i="4"/>
  <c r="K25" i="4"/>
  <c r="H25" i="4"/>
  <c r="G25" i="4"/>
  <c r="Q24" i="4"/>
  <c r="K24" i="4"/>
  <c r="H24" i="4"/>
  <c r="G24" i="4"/>
  <c r="Q23" i="4"/>
  <c r="K23" i="4"/>
  <c r="H23" i="4"/>
  <c r="G23" i="4"/>
  <c r="Q22" i="4"/>
  <c r="K22" i="4"/>
  <c r="H22" i="4"/>
  <c r="G22" i="4"/>
  <c r="Q21" i="4"/>
  <c r="K21" i="4"/>
  <c r="H21" i="4"/>
  <c r="G21" i="4"/>
  <c r="Q20" i="4"/>
  <c r="K20" i="4"/>
  <c r="H20" i="4"/>
  <c r="G20" i="4"/>
  <c r="Q19" i="4"/>
  <c r="K19" i="4"/>
  <c r="H19" i="4"/>
  <c r="G19" i="4"/>
  <c r="Q18" i="4"/>
  <c r="K18" i="4"/>
  <c r="H18" i="4"/>
  <c r="G18" i="4"/>
  <c r="Q17" i="4"/>
  <c r="K17" i="4"/>
  <c r="H17" i="4"/>
  <c r="G17" i="4"/>
  <c r="Q16" i="4"/>
  <c r="K16" i="4"/>
  <c r="H16" i="4"/>
  <c r="G16" i="4"/>
  <c r="Q15" i="4"/>
  <c r="K15" i="4"/>
  <c r="H15" i="4"/>
  <c r="G15" i="4"/>
  <c r="Q14" i="4"/>
  <c r="K14" i="4"/>
  <c r="H14" i="4"/>
  <c r="G14" i="4"/>
  <c r="Q13" i="4"/>
  <c r="K13" i="4"/>
  <c r="H13" i="4"/>
  <c r="G13" i="4"/>
  <c r="Q12" i="4"/>
  <c r="K12" i="4"/>
  <c r="H12" i="4"/>
  <c r="G12" i="4"/>
  <c r="Q11" i="4"/>
  <c r="K11" i="4"/>
  <c r="H11" i="4"/>
  <c r="G11" i="4"/>
  <c r="Q10" i="4"/>
  <c r="K10" i="4"/>
  <c r="H10" i="4"/>
  <c r="G10" i="4"/>
  <c r="G9" i="4"/>
  <c r="H9" i="4"/>
  <c r="K9" i="4"/>
  <c r="Q9" i="4"/>
  <c r="Z13" i="4" l="1"/>
  <c r="Z21" i="4"/>
  <c r="I36" i="4"/>
  <c r="I44" i="4"/>
  <c r="Z11" i="4"/>
  <c r="Z15" i="4"/>
  <c r="Z19" i="4"/>
  <c r="Z23" i="4"/>
  <c r="Z25" i="4"/>
  <c r="Z27" i="4"/>
  <c r="Z29" i="4"/>
  <c r="Z31" i="4"/>
  <c r="Z33" i="4"/>
  <c r="Z35" i="4"/>
  <c r="Z17" i="4"/>
  <c r="Z43" i="4"/>
  <c r="Z14" i="4"/>
  <c r="Z22" i="4"/>
  <c r="Z39" i="4"/>
  <c r="I42" i="4"/>
  <c r="Z42" i="4"/>
  <c r="Z44" i="4"/>
  <c r="I45" i="4"/>
  <c r="Z45" i="4"/>
  <c r="R46" i="4"/>
  <c r="Z46" i="4"/>
  <c r="Z47" i="4"/>
  <c r="I48" i="4"/>
  <c r="R36" i="4"/>
  <c r="Z9" i="4"/>
  <c r="R40" i="4"/>
  <c r="P40" i="4" s="1"/>
  <c r="Z48" i="4"/>
  <c r="Z10" i="4"/>
  <c r="Z16" i="4"/>
  <c r="Z20" i="4"/>
  <c r="Z24" i="4"/>
  <c r="Z26" i="4"/>
  <c r="Z28" i="4"/>
  <c r="Z30" i="4"/>
  <c r="Z32" i="4"/>
  <c r="Z34" i="4"/>
  <c r="Z36" i="4"/>
  <c r="I37" i="4"/>
  <c r="Z37" i="4"/>
  <c r="R44" i="4"/>
  <c r="P44" i="4" s="1"/>
  <c r="R45" i="4"/>
  <c r="P45" i="4" s="1"/>
  <c r="I49" i="4"/>
  <c r="Z49" i="4"/>
  <c r="R49" i="4"/>
  <c r="Z12" i="4"/>
  <c r="Z18" i="4"/>
  <c r="I38" i="4"/>
  <c r="Z38" i="4"/>
  <c r="I40" i="4"/>
  <c r="Z40" i="4"/>
  <c r="I41" i="4"/>
  <c r="Z41" i="4"/>
  <c r="R48" i="4"/>
  <c r="P48" i="4" s="1"/>
  <c r="P41" i="4"/>
  <c r="A36" i="6" s="1"/>
  <c r="C36" i="6" s="1"/>
  <c r="A36" i="33"/>
  <c r="C36" i="33" s="1"/>
  <c r="A43" i="33"/>
  <c r="C43" i="33" s="1"/>
  <c r="P36" i="4"/>
  <c r="A31" i="33"/>
  <c r="C31" i="33" s="1"/>
  <c r="P46" i="4"/>
  <c r="A41" i="33"/>
  <c r="C41" i="33" s="1"/>
  <c r="P37" i="4"/>
  <c r="A32" i="33"/>
  <c r="C32" i="33" s="1"/>
  <c r="M98" i="14"/>
  <c r="P98" i="14" s="1"/>
  <c r="M150" i="14"/>
  <c r="P150" i="14" s="1"/>
  <c r="M27" i="14"/>
  <c r="P27" i="14" s="1"/>
  <c r="M50" i="14"/>
  <c r="P50" i="14" s="1"/>
  <c r="M84" i="14"/>
  <c r="P84" i="14" s="1"/>
  <c r="M63" i="14"/>
  <c r="P63" i="14" s="1"/>
  <c r="M185" i="14"/>
  <c r="P185" i="14" s="1"/>
  <c r="M108" i="14"/>
  <c r="P108" i="14" s="1"/>
  <c r="M75" i="14"/>
  <c r="P75" i="14" s="1"/>
  <c r="M105" i="14"/>
  <c r="P105" i="14" s="1"/>
  <c r="M65" i="14"/>
  <c r="P65" i="14" s="1"/>
  <c r="M143" i="14"/>
  <c r="P143" i="14" s="1"/>
  <c r="M48" i="14"/>
  <c r="P48" i="14" s="1"/>
  <c r="M38" i="14"/>
  <c r="P38" i="14" s="1"/>
  <c r="M62" i="14"/>
  <c r="P62" i="14" s="1"/>
  <c r="M121" i="14"/>
  <c r="P121" i="14" s="1"/>
  <c r="M6" i="14"/>
  <c r="P6" i="14" s="1"/>
  <c r="M167" i="14"/>
  <c r="P167" i="14" s="1"/>
  <c r="M29" i="14"/>
  <c r="P29" i="14" s="1"/>
  <c r="M19" i="14"/>
  <c r="P19" i="14" s="1"/>
  <c r="M21" i="14"/>
  <c r="P21" i="14" s="1"/>
  <c r="M100" i="14"/>
  <c r="P100" i="14" s="1"/>
  <c r="M136" i="14"/>
  <c r="P136" i="14" s="1"/>
  <c r="M126" i="14"/>
  <c r="P126" i="14" s="1"/>
  <c r="M17" i="14"/>
  <c r="P17" i="14" s="1"/>
  <c r="M78" i="14"/>
  <c r="P78" i="14" s="1"/>
  <c r="M56" i="14"/>
  <c r="P56" i="14" s="1"/>
  <c r="M61" i="14"/>
  <c r="P61" i="14" s="1"/>
  <c r="I29" i="14"/>
  <c r="H38" i="14" s="1"/>
  <c r="H40" i="14" s="1"/>
  <c r="M192" i="14"/>
  <c r="P192" i="14" s="1"/>
  <c r="M159" i="14"/>
  <c r="P159" i="14" s="1"/>
  <c r="M132" i="14"/>
  <c r="P132" i="14" s="1"/>
  <c r="M101" i="14"/>
  <c r="P101" i="14" s="1"/>
  <c r="M125" i="14"/>
  <c r="P125" i="14" s="1"/>
  <c r="M189" i="14"/>
  <c r="P189" i="14" s="1"/>
  <c r="M140" i="14"/>
  <c r="P140" i="14" s="1"/>
  <c r="M51" i="14"/>
  <c r="P51" i="14" s="1"/>
  <c r="M86" i="14"/>
  <c r="P86" i="14" s="1"/>
  <c r="M113" i="14"/>
  <c r="P113" i="14" s="1"/>
  <c r="M169" i="14"/>
  <c r="P169" i="14" s="1"/>
  <c r="M180" i="14"/>
  <c r="P180" i="14" s="1"/>
  <c r="M41" i="14"/>
  <c r="P41" i="14" s="1"/>
  <c r="M176" i="14"/>
  <c r="P176" i="14" s="1"/>
  <c r="M66" i="14"/>
  <c r="P66" i="14" s="1"/>
  <c r="M96" i="14"/>
  <c r="P96" i="14" s="1"/>
  <c r="M45" i="14"/>
  <c r="P45" i="14" s="1"/>
  <c r="M198" i="14"/>
  <c r="P198" i="14" s="1"/>
  <c r="M69" i="14"/>
  <c r="P69" i="14" s="1"/>
  <c r="M53" i="14"/>
  <c r="P53" i="14" s="1"/>
  <c r="M35" i="14"/>
  <c r="P35" i="14" s="1"/>
  <c r="M67" i="14"/>
  <c r="P67" i="14" s="1"/>
  <c r="M97" i="14"/>
  <c r="P97" i="14" s="1"/>
  <c r="M138" i="14"/>
  <c r="P138" i="14" s="1"/>
  <c r="M60" i="14"/>
  <c r="P60" i="14" s="1"/>
  <c r="M123" i="14"/>
  <c r="P123" i="14" s="1"/>
  <c r="M188" i="14"/>
  <c r="P188" i="14" s="1"/>
  <c r="M79" i="14"/>
  <c r="P79" i="14" s="1"/>
  <c r="M204" i="14"/>
  <c r="P204" i="14" s="1"/>
  <c r="M28" i="14"/>
  <c r="P28" i="14" s="1"/>
  <c r="M174" i="14"/>
  <c r="P174" i="14" s="1"/>
  <c r="M115" i="14"/>
  <c r="P115" i="14" s="1"/>
  <c r="M166" i="14"/>
  <c r="P166" i="14" s="1"/>
  <c r="M170" i="14"/>
  <c r="P170" i="14" s="1"/>
  <c r="M39" i="14"/>
  <c r="P39" i="14" s="1"/>
  <c r="M109" i="14"/>
  <c r="P109" i="14" s="1"/>
  <c r="M26" i="14"/>
  <c r="P26" i="14" s="1"/>
  <c r="M175" i="14"/>
  <c r="P175" i="14" s="1"/>
  <c r="M71" i="14"/>
  <c r="P71" i="14" s="1"/>
  <c r="M64" i="14"/>
  <c r="P64" i="14" s="1"/>
  <c r="M196" i="14"/>
  <c r="P196" i="14" s="1"/>
  <c r="M124" i="14"/>
  <c r="P124" i="14" s="1"/>
  <c r="M9" i="14"/>
  <c r="P9" i="14" s="1"/>
  <c r="M88" i="14"/>
  <c r="P88" i="14" s="1"/>
  <c r="M116" i="14"/>
  <c r="P116" i="14" s="1"/>
  <c r="K167" i="14"/>
  <c r="O167" i="14" s="1"/>
  <c r="K198" i="14"/>
  <c r="O198" i="14" s="1"/>
  <c r="K118" i="14"/>
  <c r="O118" i="14" s="1"/>
  <c r="K170" i="14"/>
  <c r="O170" i="14" s="1"/>
  <c r="K95" i="14"/>
  <c r="O95" i="14" s="1"/>
  <c r="K137" i="14"/>
  <c r="O137" i="14" s="1"/>
  <c r="K146" i="14"/>
  <c r="O146" i="14" s="1"/>
  <c r="K168" i="14"/>
  <c r="O168" i="14" s="1"/>
  <c r="K147" i="14"/>
  <c r="O147" i="14" s="1"/>
  <c r="K90" i="14"/>
  <c r="O90" i="14" s="1"/>
  <c r="K105" i="14"/>
  <c r="O105" i="14" s="1"/>
  <c r="K190" i="14"/>
  <c r="O190" i="14" s="1"/>
  <c r="K60" i="14"/>
  <c r="O60" i="14" s="1"/>
  <c r="K77" i="14"/>
  <c r="O77" i="14" s="1"/>
  <c r="K93" i="14"/>
  <c r="O93" i="14" s="1"/>
  <c r="K139" i="14"/>
  <c r="O139" i="14" s="1"/>
  <c r="K113" i="14"/>
  <c r="O113" i="14" s="1"/>
  <c r="K48" i="14"/>
  <c r="O48" i="14" s="1"/>
  <c r="K14" i="14"/>
  <c r="O14" i="14" s="1"/>
  <c r="K21" i="14"/>
  <c r="O21" i="14" s="1"/>
  <c r="K31" i="14"/>
  <c r="O31" i="14" s="1"/>
  <c r="K40" i="14"/>
  <c r="O40" i="14" s="1"/>
  <c r="K166" i="14"/>
  <c r="O166" i="14" s="1"/>
  <c r="K4" i="14"/>
  <c r="O4" i="14" s="1"/>
  <c r="K81" i="14"/>
  <c r="O81" i="14" s="1"/>
  <c r="K134" i="14"/>
  <c r="O134" i="14" s="1"/>
  <c r="K169" i="14"/>
  <c r="O169" i="14" s="1"/>
  <c r="K69" i="14"/>
  <c r="O69" i="14" s="1"/>
  <c r="K86" i="14"/>
  <c r="O86" i="14" s="1"/>
  <c r="K109" i="14"/>
  <c r="O109" i="14" s="1"/>
  <c r="K71" i="14"/>
  <c r="O71" i="14" s="1"/>
  <c r="K6" i="14"/>
  <c r="O6" i="14" s="1"/>
  <c r="K22" i="14"/>
  <c r="O22" i="14" s="1"/>
  <c r="K33" i="14"/>
  <c r="O33" i="14" s="1"/>
  <c r="K100" i="14"/>
  <c r="O100" i="14" s="1"/>
  <c r="K45" i="14"/>
  <c r="O45" i="14" s="1"/>
  <c r="K159" i="14"/>
  <c r="O159" i="14" s="1"/>
  <c r="K182" i="14"/>
  <c r="O182" i="14" s="1"/>
  <c r="K114" i="14"/>
  <c r="O114" i="14" s="1"/>
  <c r="K157" i="14"/>
  <c r="O157" i="14" s="1"/>
  <c r="K204" i="14"/>
  <c r="O204" i="14" s="1"/>
  <c r="K202" i="14"/>
  <c r="O202" i="14" s="1"/>
  <c r="K133" i="14"/>
  <c r="O133" i="14" s="1"/>
  <c r="K200" i="14"/>
  <c r="O200" i="14" s="1"/>
  <c r="K82" i="14"/>
  <c r="O82" i="14" s="1"/>
  <c r="K98" i="14"/>
  <c r="O98" i="14" s="1"/>
  <c r="K52" i="14"/>
  <c r="O52" i="14" s="1"/>
  <c r="K132" i="14"/>
  <c r="O132" i="14" s="1"/>
  <c r="K15" i="14"/>
  <c r="O15" i="14" s="1"/>
  <c r="K24" i="14"/>
  <c r="O24" i="14" s="1"/>
  <c r="K151" i="14"/>
  <c r="O151" i="14" s="1"/>
  <c r="K178" i="14"/>
  <c r="O178" i="14" s="1"/>
  <c r="K102" i="14"/>
  <c r="O102" i="14" s="1"/>
  <c r="K153" i="14"/>
  <c r="O153" i="14" s="1"/>
  <c r="K188" i="14"/>
  <c r="O188" i="14" s="1"/>
  <c r="K196" i="14"/>
  <c r="O196" i="14" s="1"/>
  <c r="K129" i="14"/>
  <c r="O129" i="14" s="1"/>
  <c r="K194" i="14"/>
  <c r="O194" i="14" s="1"/>
  <c r="K130" i="14"/>
  <c r="O130" i="14" s="1"/>
  <c r="K74" i="14"/>
  <c r="O74" i="14" s="1"/>
  <c r="K91" i="14"/>
  <c r="O91" i="14" s="1"/>
  <c r="K108" i="14"/>
  <c r="O108" i="14" s="1"/>
  <c r="K44" i="14"/>
  <c r="O44" i="14" s="1"/>
  <c r="K61" i="14"/>
  <c r="O61" i="14" s="1"/>
  <c r="K78" i="14"/>
  <c r="O78" i="14" s="1"/>
  <c r="K87" i="14"/>
  <c r="O87" i="14" s="1"/>
  <c r="K97" i="14"/>
  <c r="O97" i="14" s="1"/>
  <c r="K38" i="14"/>
  <c r="O38" i="14" s="1"/>
  <c r="K192" i="14"/>
  <c r="O192" i="14" s="1"/>
  <c r="K7" i="14"/>
  <c r="O7" i="14" s="1"/>
  <c r="K8" i="14"/>
  <c r="O8" i="14" s="1"/>
  <c r="I31" i="14"/>
  <c r="K89" i="14"/>
  <c r="O89" i="14" s="1"/>
  <c r="K11" i="14"/>
  <c r="O11" i="14" s="1"/>
  <c r="K19" i="14"/>
  <c r="O19" i="14" s="1"/>
  <c r="K143" i="14"/>
  <c r="O143" i="14" s="1"/>
  <c r="K165" i="14"/>
  <c r="O165" i="14" s="1"/>
  <c r="K94" i="14"/>
  <c r="O94" i="14" s="1"/>
  <c r="K140" i="14"/>
  <c r="O140" i="14" s="1"/>
  <c r="K184" i="14"/>
  <c r="O184" i="14" s="1"/>
  <c r="K193" i="14"/>
  <c r="O193" i="14" s="1"/>
  <c r="K116" i="14"/>
  <c r="O116" i="14" s="1"/>
  <c r="K181" i="14"/>
  <c r="O181" i="14" s="1"/>
  <c r="K203" i="14"/>
  <c r="O203" i="14" s="1"/>
  <c r="K66" i="14"/>
  <c r="O66" i="14" s="1"/>
  <c r="K83" i="14"/>
  <c r="O83" i="14" s="1"/>
  <c r="K101" i="14"/>
  <c r="O101" i="14" s="1"/>
  <c r="K179" i="14"/>
  <c r="O179" i="14" s="1"/>
  <c r="K53" i="14"/>
  <c r="O53" i="14" s="1"/>
  <c r="K70" i="14"/>
  <c r="O70" i="14" s="1"/>
  <c r="K156" i="14"/>
  <c r="O156" i="14" s="1"/>
  <c r="K88" i="14"/>
  <c r="O88" i="14" s="1"/>
  <c r="K37" i="14"/>
  <c r="O37" i="14" s="1"/>
  <c r="K152" i="14"/>
  <c r="O152" i="14" s="1"/>
  <c r="K107" i="14"/>
  <c r="O107" i="14" s="1"/>
  <c r="K145" i="14"/>
  <c r="O145" i="14" s="1"/>
  <c r="K138" i="14"/>
  <c r="O138" i="14" s="1"/>
  <c r="K63" i="14"/>
  <c r="O63" i="14" s="1"/>
  <c r="K13" i="14"/>
  <c r="O13" i="14" s="1"/>
  <c r="K5" i="14"/>
  <c r="O5" i="14" s="1"/>
  <c r="K199" i="14"/>
  <c r="O199" i="14" s="1"/>
  <c r="K135" i="14"/>
  <c r="O135" i="14" s="1"/>
  <c r="K161" i="14"/>
  <c r="O161" i="14" s="1"/>
  <c r="K201" i="14"/>
  <c r="O201" i="14" s="1"/>
  <c r="K136" i="14"/>
  <c r="O136" i="14" s="1"/>
  <c r="K171" i="14"/>
  <c r="O171" i="14" s="1"/>
  <c r="K180" i="14"/>
  <c r="O180" i="14" s="1"/>
  <c r="K112" i="14"/>
  <c r="O112" i="14" s="1"/>
  <c r="K177" i="14"/>
  <c r="O177" i="14" s="1"/>
  <c r="K197" i="14"/>
  <c r="O197" i="14" s="1"/>
  <c r="K58" i="14"/>
  <c r="O58" i="14" s="1"/>
  <c r="K75" i="14"/>
  <c r="O75" i="14" s="1"/>
  <c r="K92" i="14"/>
  <c r="O92" i="14" s="1"/>
  <c r="K125" i="14"/>
  <c r="O125" i="14" s="1"/>
  <c r="K173" i="14"/>
  <c r="O173" i="14" s="1"/>
  <c r="K80" i="14"/>
  <c r="O80" i="14" s="1"/>
  <c r="K36" i="14"/>
  <c r="O36" i="14" s="1"/>
  <c r="K183" i="14"/>
  <c r="O183" i="14" s="1"/>
  <c r="K119" i="14"/>
  <c r="O119" i="14" s="1"/>
  <c r="K144" i="14"/>
  <c r="O144" i="14" s="1"/>
  <c r="K187" i="14"/>
  <c r="O187" i="14" s="1"/>
  <c r="K110" i="14"/>
  <c r="O110" i="14" s="1"/>
  <c r="K154" i="14"/>
  <c r="O154" i="14" s="1"/>
  <c r="K163" i="14"/>
  <c r="O163" i="14" s="1"/>
  <c r="K185" i="14"/>
  <c r="O185" i="14" s="1"/>
  <c r="K160" i="14"/>
  <c r="O160" i="14" s="1"/>
  <c r="K155" i="14"/>
  <c r="O155" i="14" s="1"/>
  <c r="K43" i="14"/>
  <c r="O43" i="14" s="1"/>
  <c r="K59" i="14"/>
  <c r="O59" i="14" s="1"/>
  <c r="K76" i="14"/>
  <c r="O76" i="14" s="1"/>
  <c r="K96" i="14"/>
  <c r="O96" i="14" s="1"/>
  <c r="K106" i="14"/>
  <c r="O106" i="14" s="1"/>
  <c r="K46" i="14"/>
  <c r="O46" i="14" s="1"/>
  <c r="K124" i="14"/>
  <c r="O124" i="14" s="1"/>
  <c r="K64" i="14"/>
  <c r="O64" i="14" s="1"/>
  <c r="K26" i="14"/>
  <c r="O26" i="14" s="1"/>
  <c r="K29" i="14"/>
  <c r="O29" i="14" s="1"/>
  <c r="K39" i="14"/>
  <c r="O39" i="14" s="1"/>
  <c r="K41" i="14"/>
  <c r="O41" i="14" s="1"/>
  <c r="K42" i="14"/>
  <c r="O42" i="14" s="1"/>
  <c r="K175" i="14"/>
  <c r="O175" i="14" s="1"/>
  <c r="K111" i="14"/>
  <c r="O111" i="14" s="1"/>
  <c r="K131" i="14"/>
  <c r="O131" i="14" s="1"/>
  <c r="K174" i="14"/>
  <c r="O174" i="14" s="1"/>
  <c r="K104" i="14"/>
  <c r="O104" i="14" s="1"/>
  <c r="K141" i="14"/>
  <c r="O141" i="14" s="1"/>
  <c r="K150" i="14"/>
  <c r="O150" i="14" s="1"/>
  <c r="K172" i="14"/>
  <c r="O172" i="14" s="1"/>
  <c r="K148" i="14"/>
  <c r="O148" i="14" s="1"/>
  <c r="K186" i="14"/>
  <c r="O186" i="14" s="1"/>
  <c r="K120" i="14"/>
  <c r="O120" i="14" s="1"/>
  <c r="K142" i="14"/>
  <c r="O142" i="14" s="1"/>
  <c r="K28" i="14"/>
  <c r="O28" i="14" s="1"/>
  <c r="K73" i="14"/>
  <c r="O73" i="14" s="1"/>
  <c r="K49" i="14"/>
  <c r="O49" i="14" s="1"/>
  <c r="K195" i="14"/>
  <c r="O195" i="14" s="1"/>
  <c r="K126" i="14"/>
  <c r="O126" i="14" s="1"/>
  <c r="K85" i="14"/>
  <c r="O85" i="14" s="1"/>
  <c r="K115" i="14"/>
  <c r="O115" i="14" s="1"/>
  <c r="K79" i="14"/>
  <c r="O79" i="14" s="1"/>
  <c r="K34" i="14"/>
  <c r="O34" i="14" s="1"/>
  <c r="K2" i="14"/>
  <c r="O2" i="14" s="1"/>
  <c r="K54" i="14"/>
  <c r="O54" i="14" s="1"/>
  <c r="K149" i="14"/>
  <c r="O149" i="14" s="1"/>
  <c r="K9" i="14"/>
  <c r="O9" i="14" s="1"/>
  <c r="K127" i="14"/>
  <c r="O127" i="14" s="1"/>
  <c r="K123" i="14"/>
  <c r="O123" i="14" s="1"/>
  <c r="K50" i="14"/>
  <c r="O50" i="14" s="1"/>
  <c r="K122" i="14"/>
  <c r="O122" i="14" s="1"/>
  <c r="K72" i="14"/>
  <c r="O72" i="14" s="1"/>
  <c r="K47" i="14"/>
  <c r="O47" i="14" s="1"/>
  <c r="K35" i="14"/>
  <c r="O35" i="14" s="1"/>
  <c r="K3" i="14"/>
  <c r="O3" i="14" s="1"/>
  <c r="K51" i="14"/>
  <c r="O51" i="14" s="1"/>
  <c r="K65" i="14"/>
  <c r="O65" i="14" s="1"/>
  <c r="K30" i="14"/>
  <c r="O30" i="14" s="1"/>
  <c r="K158" i="14"/>
  <c r="O158" i="14" s="1"/>
  <c r="K128" i="14"/>
  <c r="O128" i="14" s="1"/>
  <c r="K99" i="14"/>
  <c r="O99" i="14" s="1"/>
  <c r="K56" i="14"/>
  <c r="O56" i="14" s="1"/>
  <c r="K32" i="14"/>
  <c r="O32" i="14" s="1"/>
  <c r="K25" i="14"/>
  <c r="O25" i="14" s="1"/>
  <c r="K23" i="14"/>
  <c r="O23" i="14" s="1"/>
  <c r="K176" i="14"/>
  <c r="O176" i="14" s="1"/>
  <c r="K67" i="14"/>
  <c r="O67" i="14" s="1"/>
  <c r="K27" i="14"/>
  <c r="O27" i="14" s="1"/>
  <c r="K121" i="14"/>
  <c r="O121" i="14" s="1"/>
  <c r="K18" i="14"/>
  <c r="O18" i="14" s="1"/>
  <c r="K189" i="14"/>
  <c r="O189" i="14" s="1"/>
  <c r="K12" i="14"/>
  <c r="O12" i="14" s="1"/>
  <c r="K68" i="14"/>
  <c r="O68" i="14" s="1"/>
  <c r="K17" i="14"/>
  <c r="O17" i="14" s="1"/>
  <c r="K62" i="14"/>
  <c r="O62" i="14" s="1"/>
  <c r="K10" i="14"/>
  <c r="O10" i="14" s="1"/>
  <c r="K20" i="14"/>
  <c r="O20" i="14" s="1"/>
  <c r="K191" i="14"/>
  <c r="O191" i="14" s="1"/>
  <c r="K164" i="14"/>
  <c r="O164" i="14" s="1"/>
  <c r="K84" i="14"/>
  <c r="O84" i="14" s="1"/>
  <c r="K162" i="14"/>
  <c r="O162" i="14" s="1"/>
  <c r="K57" i="14"/>
  <c r="O57" i="14" s="1"/>
  <c r="K55" i="14"/>
  <c r="O55" i="14" s="1"/>
  <c r="K16" i="14"/>
  <c r="O16" i="14" s="1"/>
  <c r="M152" i="14"/>
  <c r="P152" i="14" s="1"/>
  <c r="K117" i="14"/>
  <c r="O117" i="14" s="1"/>
  <c r="I30" i="14"/>
  <c r="M114" i="14"/>
  <c r="P114" i="14" s="1"/>
  <c r="M187" i="14"/>
  <c r="P187" i="14" s="1"/>
  <c r="M128" i="14"/>
  <c r="P128" i="14" s="1"/>
  <c r="M139" i="14"/>
  <c r="P139" i="14" s="1"/>
  <c r="M145" i="14"/>
  <c r="P145" i="14" s="1"/>
  <c r="M11" i="14"/>
  <c r="P11" i="14" s="1"/>
  <c r="M184" i="14"/>
  <c r="P184" i="14" s="1"/>
  <c r="M130" i="14"/>
  <c r="P130" i="14" s="1"/>
  <c r="M133" i="14"/>
  <c r="P133" i="14" s="1"/>
  <c r="M34" i="14"/>
  <c r="P34" i="14" s="1"/>
  <c r="M149" i="14"/>
  <c r="P149" i="14" s="1"/>
  <c r="M81" i="14"/>
  <c r="P81" i="14" s="1"/>
  <c r="M3" i="14"/>
  <c r="P3" i="14" s="1"/>
  <c r="M13" i="14"/>
  <c r="P13" i="14" s="1"/>
  <c r="M33" i="14"/>
  <c r="P33" i="14" s="1"/>
  <c r="M155" i="14"/>
  <c r="P155" i="14" s="1"/>
  <c r="M186" i="14"/>
  <c r="P186" i="14" s="1"/>
  <c r="M76" i="14"/>
  <c r="P76" i="14" s="1"/>
  <c r="M36" i="14"/>
  <c r="P36" i="14" s="1"/>
  <c r="M104" i="14"/>
  <c r="P104" i="14" s="1"/>
  <c r="M135" i="14"/>
  <c r="P135" i="14" s="1"/>
  <c r="M5" i="14"/>
  <c r="P5" i="14" s="1"/>
  <c r="M2" i="14"/>
  <c r="P2" i="14" s="1"/>
  <c r="M151" i="14"/>
  <c r="P151" i="14" s="1"/>
  <c r="M102" i="14"/>
  <c r="P102" i="14" s="1"/>
  <c r="M37" i="14"/>
  <c r="P37" i="14" s="1"/>
  <c r="M142" i="14"/>
  <c r="P142" i="14" s="1"/>
  <c r="M92" i="14"/>
  <c r="P92" i="14" s="1"/>
  <c r="M22" i="14"/>
  <c r="P22" i="14" s="1"/>
  <c r="M54" i="14"/>
  <c r="P54" i="14" s="1"/>
  <c r="M202" i="14"/>
  <c r="P202" i="14" s="1"/>
  <c r="M200" i="14"/>
  <c r="P200" i="14" s="1"/>
  <c r="M87" i="14"/>
  <c r="P87" i="14" s="1"/>
  <c r="M70" i="14"/>
  <c r="P70" i="14" s="1"/>
  <c r="M30" i="14"/>
  <c r="P30" i="14" s="1"/>
  <c r="M157" i="14"/>
  <c r="P157" i="14" s="1"/>
  <c r="M83" i="14"/>
  <c r="P83" i="14" s="1"/>
  <c r="M80" i="14"/>
  <c r="P80" i="14" s="1"/>
  <c r="M55" i="14"/>
  <c r="P55" i="14" s="1"/>
  <c r="M158" i="14"/>
  <c r="P158" i="14" s="1"/>
  <c r="M119" i="14"/>
  <c r="P119" i="14" s="1"/>
  <c r="M182" i="14"/>
  <c r="P182" i="14" s="1"/>
  <c r="M85" i="14"/>
  <c r="P85" i="14" s="1"/>
  <c r="M134" i="14"/>
  <c r="P134" i="14" s="1"/>
  <c r="M181" i="14"/>
  <c r="P181" i="14" s="1"/>
  <c r="M199" i="14"/>
  <c r="P199" i="14" s="1"/>
  <c r="M72" i="14"/>
  <c r="P72" i="14" s="1"/>
  <c r="M23" i="14"/>
  <c r="P23" i="14" s="1"/>
  <c r="M127" i="14"/>
  <c r="P127" i="14" s="1"/>
  <c r="I32" i="14"/>
  <c r="M14" i="14"/>
  <c r="P14" i="14" s="1"/>
  <c r="M173" i="14"/>
  <c r="P173" i="14" s="1"/>
  <c r="M177" i="14"/>
  <c r="P177" i="14" s="1"/>
  <c r="M117" i="14"/>
  <c r="P117" i="14" s="1"/>
  <c r="M16" i="14"/>
  <c r="P16" i="14" s="1"/>
  <c r="M111" i="14"/>
  <c r="P111" i="14" s="1"/>
  <c r="M43" i="14"/>
  <c r="P43" i="14" s="1"/>
  <c r="M172" i="14"/>
  <c r="P172" i="14" s="1"/>
  <c r="M179" i="14"/>
  <c r="P179" i="14" s="1"/>
  <c r="M12" i="14"/>
  <c r="P12" i="14" s="1"/>
  <c r="M107" i="14"/>
  <c r="P107" i="14" s="1"/>
  <c r="M162" i="14"/>
  <c r="P162" i="14" s="1"/>
  <c r="M7" i="14"/>
  <c r="P7" i="14" s="1"/>
  <c r="M190" i="14"/>
  <c r="P190" i="14" s="1"/>
  <c r="M94" i="14"/>
  <c r="P94" i="14" s="1"/>
  <c r="M178" i="14"/>
  <c r="P178" i="14" s="1"/>
  <c r="M77" i="14"/>
  <c r="P77" i="14" s="1"/>
  <c r="M20" i="14"/>
  <c r="P20" i="14" s="1"/>
  <c r="M141" i="14"/>
  <c r="P141" i="14" s="1"/>
  <c r="M131" i="14"/>
  <c r="P131" i="14" s="1"/>
  <c r="M165" i="14"/>
  <c r="P165" i="14" s="1"/>
  <c r="M59" i="14"/>
  <c r="P59" i="14" s="1"/>
  <c r="M99" i="14"/>
  <c r="P99" i="14" s="1"/>
  <c r="M10" i="14"/>
  <c r="P10" i="14" s="1"/>
  <c r="M197" i="14"/>
  <c r="P197" i="14" s="1"/>
  <c r="M42" i="14"/>
  <c r="P42" i="14" s="1"/>
  <c r="M160" i="14"/>
  <c r="P160" i="14" s="1"/>
  <c r="M25" i="14"/>
  <c r="P25" i="14" s="1"/>
  <c r="M93" i="14"/>
  <c r="P93" i="14" s="1"/>
  <c r="M4" i="14"/>
  <c r="P4" i="14" s="1"/>
  <c r="M112" i="14"/>
  <c r="P112" i="14" s="1"/>
  <c r="M164" i="14"/>
  <c r="P164" i="14" s="1"/>
  <c r="M90" i="14"/>
  <c r="P90" i="14" s="1"/>
  <c r="M110" i="14"/>
  <c r="P110" i="14" s="1"/>
  <c r="M58" i="14"/>
  <c r="P58" i="14" s="1"/>
  <c r="M44" i="14"/>
  <c r="P44" i="14" s="1"/>
  <c r="M46" i="14"/>
  <c r="P46" i="14" s="1"/>
  <c r="M191" i="14"/>
  <c r="P191" i="14" s="1"/>
  <c r="M195" i="14"/>
  <c r="P195" i="14" s="1"/>
  <c r="M24" i="14"/>
  <c r="P24" i="14" s="1"/>
  <c r="M193" i="14"/>
  <c r="P193" i="14" s="1"/>
  <c r="M194" i="14"/>
  <c r="P194" i="14" s="1"/>
  <c r="M147" i="14"/>
  <c r="P147" i="14" s="1"/>
  <c r="M91" i="14"/>
  <c r="P91" i="14" s="1"/>
  <c r="M8" i="14"/>
  <c r="P8" i="14" s="1"/>
  <c r="M129" i="14"/>
  <c r="P129" i="14" s="1"/>
  <c r="M40" i="14"/>
  <c r="P40" i="14" s="1"/>
  <c r="M153" i="14"/>
  <c r="P153" i="14" s="1"/>
  <c r="M106" i="14"/>
  <c r="P106" i="14" s="1"/>
  <c r="M82" i="14"/>
  <c r="P82" i="14" s="1"/>
  <c r="M31" i="14"/>
  <c r="P31" i="14" s="1"/>
  <c r="M18" i="14"/>
  <c r="P18" i="14" s="1"/>
  <c r="M52" i="14"/>
  <c r="P52" i="14" s="1"/>
  <c r="M137" i="14"/>
  <c r="P137" i="14" s="1"/>
  <c r="M203" i="14"/>
  <c r="P203" i="14" s="1"/>
  <c r="M95" i="14"/>
  <c r="P95" i="14" s="1"/>
  <c r="M32" i="14"/>
  <c r="P32" i="14" s="1"/>
  <c r="M154" i="14"/>
  <c r="P154" i="14" s="1"/>
  <c r="M120" i="14"/>
  <c r="P120" i="14" s="1"/>
  <c r="M73" i="14"/>
  <c r="P73" i="14" s="1"/>
  <c r="M118" i="14"/>
  <c r="P118" i="14" s="1"/>
  <c r="M57" i="14"/>
  <c r="P57" i="14" s="1"/>
  <c r="M183" i="14"/>
  <c r="P183" i="14" s="1"/>
  <c r="M163" i="14"/>
  <c r="P163" i="14" s="1"/>
  <c r="M168" i="14"/>
  <c r="P168" i="14" s="1"/>
  <c r="M148" i="14"/>
  <c r="P148" i="14" s="1"/>
  <c r="M171" i="14"/>
  <c r="P171" i="14" s="1"/>
  <c r="M68" i="14"/>
  <c r="P68" i="14" s="1"/>
  <c r="M15" i="14"/>
  <c r="P15" i="14" s="1"/>
  <c r="M146" i="14"/>
  <c r="P146" i="14" s="1"/>
  <c r="M144" i="14"/>
  <c r="P144" i="14" s="1"/>
  <c r="M156" i="14"/>
  <c r="P156" i="14" s="1"/>
  <c r="M47" i="14"/>
  <c r="P47" i="14" s="1"/>
  <c r="M49" i="14"/>
  <c r="P49" i="14" s="1"/>
  <c r="M122" i="14"/>
  <c r="P122" i="14" s="1"/>
  <c r="M74" i="14"/>
  <c r="P74" i="14" s="1"/>
  <c r="M161" i="14"/>
  <c r="P161" i="14" s="1"/>
  <c r="M89" i="14"/>
  <c r="P89" i="14" s="1"/>
  <c r="A44" i="10"/>
  <c r="C44" i="10" s="1"/>
  <c r="E44" i="10" s="1"/>
  <c r="A41" i="10"/>
  <c r="C41" i="10" s="1"/>
  <c r="E41" i="10" s="1"/>
  <c r="A32" i="10"/>
  <c r="C32" i="10" s="1"/>
  <c r="E32" i="10" s="1"/>
  <c r="A39" i="10"/>
  <c r="C39" i="10" s="1"/>
  <c r="A31" i="10"/>
  <c r="C31" i="10" s="1"/>
  <c r="E31" i="10" s="1"/>
  <c r="A36" i="10"/>
  <c r="C36" i="10" s="1"/>
  <c r="A43" i="10"/>
  <c r="C43" i="10" s="1"/>
  <c r="E43" i="10" s="1"/>
  <c r="I39" i="4"/>
  <c r="I43" i="4"/>
  <c r="I47" i="4"/>
  <c r="R39" i="4"/>
  <c r="A34" i="33" s="1"/>
  <c r="C34" i="33" s="1"/>
  <c r="R43" i="4"/>
  <c r="A38" i="33" s="1"/>
  <c r="C38" i="33" s="1"/>
  <c r="R47" i="4"/>
  <c r="A42" i="33" s="1"/>
  <c r="C42" i="33" s="1"/>
  <c r="R38" i="4"/>
  <c r="A33" i="33" s="1"/>
  <c r="C33" i="33" s="1"/>
  <c r="R42" i="4"/>
  <c r="A37" i="33" s="1"/>
  <c r="C37" i="33" s="1"/>
  <c r="I33" i="4"/>
  <c r="I35" i="4"/>
  <c r="I18" i="4"/>
  <c r="I30" i="4"/>
  <c r="I34" i="4"/>
  <c r="I11" i="4"/>
  <c r="I15" i="4"/>
  <c r="I19" i="4"/>
  <c r="I23" i="4"/>
  <c r="I29" i="4"/>
  <c r="I32" i="4"/>
  <c r="I27" i="4"/>
  <c r="I31" i="4"/>
  <c r="I28" i="4"/>
  <c r="I26" i="4"/>
  <c r="I22" i="4"/>
  <c r="I25" i="4"/>
  <c r="I21" i="4"/>
  <c r="I20" i="4"/>
  <c r="I24" i="4"/>
  <c r="I9" i="4"/>
  <c r="I10" i="4"/>
  <c r="I17" i="4"/>
  <c r="I14" i="4"/>
  <c r="I13" i="4"/>
  <c r="I12" i="4"/>
  <c r="I16" i="4"/>
  <c r="G8" i="4"/>
  <c r="H8" i="4"/>
  <c r="K8" i="4"/>
  <c r="A40" i="10" l="1"/>
  <c r="C40" i="10" s="1"/>
  <c r="E40" i="10" s="1"/>
  <c r="A35" i="10"/>
  <c r="C35" i="10" s="1"/>
  <c r="E35" i="10" s="1"/>
  <c r="A31" i="6"/>
  <c r="C31" i="6" s="1"/>
  <c r="A41" i="6"/>
  <c r="C41" i="6" s="1"/>
  <c r="A35" i="33"/>
  <c r="C35" i="33" s="1"/>
  <c r="A39" i="39"/>
  <c r="C39" i="39" s="1"/>
  <c r="A39" i="6"/>
  <c r="C39" i="6" s="1"/>
  <c r="E39" i="6" s="1"/>
  <c r="A40" i="26"/>
  <c r="C40" i="26" s="1"/>
  <c r="E40" i="26" s="1"/>
  <c r="A40" i="6"/>
  <c r="C40" i="6" s="1"/>
  <c r="E40" i="6" s="1"/>
  <c r="A40" i="33"/>
  <c r="C40" i="33" s="1"/>
  <c r="E40" i="33" s="1"/>
  <c r="A44" i="33"/>
  <c r="C44" i="33" s="1"/>
  <c r="P49" i="4"/>
  <c r="A32" i="6"/>
  <c r="C32" i="6" s="1"/>
  <c r="A39" i="33"/>
  <c r="C39" i="33" s="1"/>
  <c r="A40" i="39"/>
  <c r="C40" i="39" s="1"/>
  <c r="A35" i="26"/>
  <c r="C35" i="26" s="1"/>
  <c r="E35" i="26" s="1"/>
  <c r="A35" i="39"/>
  <c r="C35" i="39" s="1"/>
  <c r="A41" i="26"/>
  <c r="C41" i="26" s="1"/>
  <c r="A41" i="39"/>
  <c r="C41" i="39" s="1"/>
  <c r="A43" i="26"/>
  <c r="C43" i="26" s="1"/>
  <c r="A43" i="39"/>
  <c r="C43" i="39" s="1"/>
  <c r="E34" i="33"/>
  <c r="A35" i="6"/>
  <c r="C35" i="6" s="1"/>
  <c r="E35" i="6" s="1"/>
  <c r="E35" i="33"/>
  <c r="E43" i="33"/>
  <c r="E37" i="33"/>
  <c r="A36" i="26"/>
  <c r="C36" i="26" s="1"/>
  <c r="E36" i="26" s="1"/>
  <c r="A36" i="39"/>
  <c r="C36" i="39" s="1"/>
  <c r="A32" i="26"/>
  <c r="C32" i="26" s="1"/>
  <c r="E32" i="26" s="1"/>
  <c r="A32" i="39"/>
  <c r="C32" i="39" s="1"/>
  <c r="E41" i="33"/>
  <c r="E32" i="33"/>
  <c r="E33" i="33"/>
  <c r="A31" i="26"/>
  <c r="C31" i="26" s="1"/>
  <c r="A31" i="39"/>
  <c r="C31" i="39" s="1"/>
  <c r="E42" i="33"/>
  <c r="A43" i="6"/>
  <c r="C43" i="6" s="1"/>
  <c r="E43" i="6" s="1"/>
  <c r="E31" i="33"/>
  <c r="E36" i="33"/>
  <c r="E38" i="33"/>
  <c r="E36" i="6"/>
  <c r="E32" i="6"/>
  <c r="E41" i="6"/>
  <c r="E31" i="6"/>
  <c r="I38" i="14"/>
  <c r="I37" i="14"/>
  <c r="H35" i="14"/>
  <c r="H34" i="14"/>
  <c r="E36" i="10"/>
  <c r="E39" i="10"/>
  <c r="P38" i="4"/>
  <c r="A33" i="10"/>
  <c r="C33" i="10" s="1"/>
  <c r="P47" i="4"/>
  <c r="A42" i="10"/>
  <c r="C42" i="10" s="1"/>
  <c r="P43" i="4"/>
  <c r="A38" i="10"/>
  <c r="C38" i="10" s="1"/>
  <c r="P42" i="4"/>
  <c r="A37" i="10"/>
  <c r="C37" i="10" s="1"/>
  <c r="P39" i="4"/>
  <c r="A34" i="10"/>
  <c r="C34" i="10" s="1"/>
  <c r="L35" i="4"/>
  <c r="L34" i="4"/>
  <c r="L33" i="4"/>
  <c r="J35" i="4"/>
  <c r="J34" i="4"/>
  <c r="J33" i="4"/>
  <c r="J32" i="4"/>
  <c r="J31" i="4"/>
  <c r="J28" i="4"/>
  <c r="J30" i="4"/>
  <c r="J29" i="4"/>
  <c r="J27" i="4"/>
  <c r="J26" i="4"/>
  <c r="J25" i="4"/>
  <c r="J24" i="4"/>
  <c r="J23" i="4"/>
  <c r="J22" i="4"/>
  <c r="J21" i="4"/>
  <c r="J20" i="4"/>
  <c r="J19" i="4"/>
  <c r="J18" i="4"/>
  <c r="L32" i="4"/>
  <c r="L31" i="4"/>
  <c r="L28" i="4"/>
  <c r="L30" i="4"/>
  <c r="L29" i="4"/>
  <c r="L27" i="4"/>
  <c r="L26" i="4"/>
  <c r="L25" i="4"/>
  <c r="L24" i="4"/>
  <c r="L23" i="4"/>
  <c r="L22" i="4"/>
  <c r="L21" i="4"/>
  <c r="L20" i="4"/>
  <c r="L19" i="4"/>
  <c r="L18" i="4"/>
  <c r="L8" i="4"/>
  <c r="L17" i="4"/>
  <c r="L16" i="4"/>
  <c r="L15" i="4"/>
  <c r="L14" i="4"/>
  <c r="L13" i="4"/>
  <c r="L12" i="4"/>
  <c r="L11" i="4"/>
  <c r="L10" i="4"/>
  <c r="L9" i="4"/>
  <c r="J8" i="4"/>
  <c r="J9" i="4"/>
  <c r="J17" i="4"/>
  <c r="J16" i="4"/>
  <c r="J15" i="4"/>
  <c r="J14" i="4"/>
  <c r="J13" i="4"/>
  <c r="J12" i="4"/>
  <c r="J11" i="4"/>
  <c r="J10" i="4"/>
  <c r="I8" i="4"/>
  <c r="X254" i="4"/>
  <c r="L7" i="4"/>
  <c r="K7" i="4"/>
  <c r="H7" i="4"/>
  <c r="G7" i="4"/>
  <c r="I7" i="4" s="1"/>
  <c r="S6" i="4"/>
  <c r="S2" i="4"/>
  <c r="G37" i="1"/>
  <c r="H37" i="1"/>
  <c r="K37" i="1"/>
  <c r="Q37" i="1"/>
  <c r="Q36" i="1"/>
  <c r="K36" i="1"/>
  <c r="H36" i="1"/>
  <c r="G36" i="1"/>
  <c r="Q35" i="1"/>
  <c r="K35" i="1"/>
  <c r="H35" i="1"/>
  <c r="G35" i="1"/>
  <c r="Q34" i="1"/>
  <c r="K34" i="1"/>
  <c r="H34" i="1"/>
  <c r="G34" i="1"/>
  <c r="Q33" i="1"/>
  <c r="K33" i="1"/>
  <c r="H33" i="1"/>
  <c r="G33" i="1"/>
  <c r="Q32" i="1"/>
  <c r="K32" i="1"/>
  <c r="H32" i="1"/>
  <c r="G32" i="1"/>
  <c r="Q31" i="1"/>
  <c r="K31" i="1"/>
  <c r="H31" i="1"/>
  <c r="G31" i="1"/>
  <c r="Q30" i="1"/>
  <c r="K30" i="1"/>
  <c r="H30" i="1"/>
  <c r="G30" i="1"/>
  <c r="Q29" i="1"/>
  <c r="K29" i="1"/>
  <c r="H29" i="1"/>
  <c r="G29" i="1"/>
  <c r="Q28" i="1"/>
  <c r="K28" i="1"/>
  <c r="H28" i="1"/>
  <c r="G28" i="1"/>
  <c r="Q27" i="1"/>
  <c r="L27" i="1"/>
  <c r="K27" i="1"/>
  <c r="H27" i="1"/>
  <c r="G27" i="1"/>
  <c r="Q26" i="1"/>
  <c r="K26" i="1"/>
  <c r="H26" i="1"/>
  <c r="G26" i="1"/>
  <c r="Q25" i="1"/>
  <c r="K25" i="1"/>
  <c r="H25" i="1"/>
  <c r="G25" i="1"/>
  <c r="Q24" i="1"/>
  <c r="K24" i="1"/>
  <c r="H24" i="1"/>
  <c r="G24" i="1"/>
  <c r="Q23" i="1"/>
  <c r="K23" i="1"/>
  <c r="H23" i="1"/>
  <c r="G23" i="1"/>
  <c r="Q22" i="1"/>
  <c r="K22" i="1"/>
  <c r="H22" i="1"/>
  <c r="G22" i="1"/>
  <c r="Q21" i="1"/>
  <c r="K21" i="1"/>
  <c r="H21" i="1"/>
  <c r="G21" i="1"/>
  <c r="Q20" i="1"/>
  <c r="K20" i="1"/>
  <c r="H20" i="1"/>
  <c r="G20" i="1"/>
  <c r="Q19" i="1"/>
  <c r="K19" i="1"/>
  <c r="H19" i="1"/>
  <c r="G19" i="1"/>
  <c r="Q18" i="1"/>
  <c r="K18" i="1"/>
  <c r="H18" i="1"/>
  <c r="G18" i="1"/>
  <c r="Q17" i="1"/>
  <c r="K17" i="1"/>
  <c r="H17" i="1"/>
  <c r="G17" i="1"/>
  <c r="Q16" i="1"/>
  <c r="K16" i="1"/>
  <c r="H16" i="1"/>
  <c r="G16" i="1"/>
  <c r="Q15" i="1"/>
  <c r="K15" i="1"/>
  <c r="H15" i="1"/>
  <c r="G15" i="1"/>
  <c r="Q14" i="1"/>
  <c r="K14" i="1"/>
  <c r="H14" i="1"/>
  <c r="G14" i="1"/>
  <c r="J2" i="1"/>
  <c r="G11" i="1"/>
  <c r="H11" i="1"/>
  <c r="K11" i="1"/>
  <c r="Q11" i="1"/>
  <c r="G12" i="1"/>
  <c r="H12" i="1"/>
  <c r="K12" i="1"/>
  <c r="Q12" i="1"/>
  <c r="G13" i="1"/>
  <c r="H13" i="1"/>
  <c r="K13" i="1"/>
  <c r="Q13" i="1"/>
  <c r="Q10" i="1"/>
  <c r="K10" i="1"/>
  <c r="H10" i="1"/>
  <c r="G10" i="1"/>
  <c r="I10" i="1" s="1"/>
  <c r="Q9" i="1"/>
  <c r="K9" i="1"/>
  <c r="H9" i="1"/>
  <c r="G9" i="1"/>
  <c r="Q8" i="1"/>
  <c r="K8" i="1"/>
  <c r="H8" i="1"/>
  <c r="G8" i="1"/>
  <c r="I8" i="1" s="1"/>
  <c r="L9" i="1"/>
  <c r="Q7" i="1"/>
  <c r="K7" i="1"/>
  <c r="H7" i="1"/>
  <c r="G7" i="1"/>
  <c r="S6" i="1"/>
  <c r="S7" i="1" s="1"/>
  <c r="S2" i="1"/>
  <c r="R2" i="1"/>
  <c r="M34" i="1" s="1"/>
  <c r="A39" i="26" l="1"/>
  <c r="C39" i="26" s="1"/>
  <c r="E39" i="26" s="1"/>
  <c r="I26" i="1"/>
  <c r="S35" i="1"/>
  <c r="I33" i="1"/>
  <c r="Y9" i="1"/>
  <c r="Y17" i="1"/>
  <c r="Y25" i="1"/>
  <c r="Y33" i="1"/>
  <c r="Y13" i="1"/>
  <c r="Y30" i="1"/>
  <c r="Y15" i="1"/>
  <c r="Y10" i="1"/>
  <c r="Y18" i="1"/>
  <c r="Y26" i="1"/>
  <c r="Y34" i="1"/>
  <c r="Y29" i="1"/>
  <c r="Y23" i="1"/>
  <c r="Y8" i="1"/>
  <c r="Y11" i="1"/>
  <c r="Y19" i="1"/>
  <c r="Y27" i="1"/>
  <c r="Y35" i="1"/>
  <c r="Y37" i="1"/>
  <c r="Y7" i="1"/>
  <c r="Y24" i="1"/>
  <c r="Y12" i="1"/>
  <c r="Y20" i="1"/>
  <c r="Y28" i="1"/>
  <c r="Y36" i="1"/>
  <c r="Y21" i="1"/>
  <c r="Y22" i="1"/>
  <c r="Y31" i="1"/>
  <c r="Y16" i="1"/>
  <c r="Y14" i="1"/>
  <c r="Y32" i="1"/>
  <c r="I28" i="1"/>
  <c r="I30" i="1"/>
  <c r="S31" i="1"/>
  <c r="T31" i="1" s="1"/>
  <c r="I37" i="1"/>
  <c r="S34" i="1"/>
  <c r="T34" i="1" s="1"/>
  <c r="T35" i="1"/>
  <c r="I17" i="1"/>
  <c r="S33" i="1"/>
  <c r="T33" i="1" s="1"/>
  <c r="S36" i="1"/>
  <c r="T36" i="1" s="1"/>
  <c r="S37" i="1"/>
  <c r="S32" i="1"/>
  <c r="I34" i="1"/>
  <c r="E39" i="33"/>
  <c r="A44" i="6"/>
  <c r="C44" i="6" s="1"/>
  <c r="E44" i="33"/>
  <c r="E41" i="26"/>
  <c r="M7" i="4"/>
  <c r="M52" i="4"/>
  <c r="N52" i="4" s="1"/>
  <c r="M51" i="4"/>
  <c r="M53" i="4"/>
  <c r="N53" i="4" s="1"/>
  <c r="M60" i="4"/>
  <c r="N60" i="4" s="1"/>
  <c r="M36" i="4"/>
  <c r="N36" i="4" s="1"/>
  <c r="M38" i="4"/>
  <c r="N38" i="4" s="1"/>
  <c r="M49" i="4"/>
  <c r="N49" i="4" s="1"/>
  <c r="M40" i="4"/>
  <c r="N40" i="4" s="1"/>
  <c r="M47" i="4"/>
  <c r="N47" i="4" s="1"/>
  <c r="M42" i="4"/>
  <c r="N42" i="4" s="1"/>
  <c r="M43" i="4"/>
  <c r="N43" i="4" s="1"/>
  <c r="M44" i="4"/>
  <c r="N44" i="4" s="1"/>
  <c r="M39" i="4"/>
  <c r="N39" i="4" s="1"/>
  <c r="M45" i="4"/>
  <c r="N45" i="4" s="1"/>
  <c r="M41" i="4"/>
  <c r="N41" i="4" s="1"/>
  <c r="M37" i="4"/>
  <c r="N37" i="4" s="1"/>
  <c r="M46" i="4"/>
  <c r="N46" i="4" s="1"/>
  <c r="M48" i="4"/>
  <c r="N48" i="4" s="1"/>
  <c r="S45" i="4"/>
  <c r="T45" i="4" s="1"/>
  <c r="S44" i="4"/>
  <c r="T44" i="4" s="1"/>
  <c r="S43" i="4"/>
  <c r="T43" i="4" s="1"/>
  <c r="S42" i="4"/>
  <c r="T42" i="4" s="1"/>
  <c r="S41" i="4"/>
  <c r="T41" i="4" s="1"/>
  <c r="S40" i="4"/>
  <c r="T40" i="4" s="1"/>
  <c r="S39" i="4"/>
  <c r="T39" i="4" s="1"/>
  <c r="S38" i="4"/>
  <c r="T38" i="4" s="1"/>
  <c r="S37" i="4"/>
  <c r="T37" i="4" s="1"/>
  <c r="S36" i="4"/>
  <c r="T36" i="4" s="1"/>
  <c r="S49" i="4"/>
  <c r="T49" i="4" s="1"/>
  <c r="S48" i="4"/>
  <c r="T48" i="4" s="1"/>
  <c r="S47" i="4"/>
  <c r="T47" i="4" s="1"/>
  <c r="S46" i="4"/>
  <c r="T46" i="4" s="1"/>
  <c r="J17" i="1"/>
  <c r="P2" i="1"/>
  <c r="E31" i="26"/>
  <c r="E43" i="39"/>
  <c r="E41" i="39"/>
  <c r="E43" i="26"/>
  <c r="E35" i="39"/>
  <c r="E31" i="39"/>
  <c r="E40" i="39"/>
  <c r="E36" i="39"/>
  <c r="E32" i="39"/>
  <c r="E39" i="39"/>
  <c r="A33" i="6"/>
  <c r="C33" i="6" s="1"/>
  <c r="A37" i="6"/>
  <c r="C37" i="6" s="1"/>
  <c r="A34" i="6"/>
  <c r="C34" i="6" s="1"/>
  <c r="A38" i="6"/>
  <c r="C38" i="6" s="1"/>
  <c r="A42" i="6"/>
  <c r="C42" i="6" s="1"/>
  <c r="N34" i="1"/>
  <c r="L20" i="1"/>
  <c r="L33" i="1"/>
  <c r="R34" i="1"/>
  <c r="R35" i="1"/>
  <c r="M30" i="1"/>
  <c r="N30" i="1" s="1"/>
  <c r="L29" i="1"/>
  <c r="L32" i="1"/>
  <c r="R37" i="1"/>
  <c r="L26" i="1"/>
  <c r="R25" i="1"/>
  <c r="L19" i="1"/>
  <c r="M27" i="1"/>
  <c r="N27" i="1" s="1"/>
  <c r="L28" i="1"/>
  <c r="M33" i="1"/>
  <c r="N33" i="1" s="1"/>
  <c r="L31" i="1"/>
  <c r="L37" i="1"/>
  <c r="L25" i="1"/>
  <c r="L35" i="1"/>
  <c r="L36" i="1"/>
  <c r="J37" i="1"/>
  <c r="R36" i="1"/>
  <c r="L16" i="1"/>
  <c r="R29" i="1"/>
  <c r="A67" i="33" s="1"/>
  <c r="C67" i="33" s="1"/>
  <c r="L30" i="1"/>
  <c r="M32" i="1"/>
  <c r="N32" i="1" s="1"/>
  <c r="L34" i="1"/>
  <c r="M35" i="1"/>
  <c r="N35" i="1" s="1"/>
  <c r="J34" i="1"/>
  <c r="J35" i="1"/>
  <c r="J32" i="1"/>
  <c r="J33" i="1"/>
  <c r="J36" i="1"/>
  <c r="J31" i="1"/>
  <c r="E38" i="10"/>
  <c r="E42" i="10"/>
  <c r="E37" i="10"/>
  <c r="E34" i="10"/>
  <c r="E33" i="10"/>
  <c r="M35" i="4"/>
  <c r="N35" i="4" s="1"/>
  <c r="M33" i="4"/>
  <c r="N33" i="4" s="1"/>
  <c r="M34" i="4"/>
  <c r="N34" i="4" s="1"/>
  <c r="R35" i="4"/>
  <c r="A30" i="33" s="1"/>
  <c r="C30" i="33" s="1"/>
  <c r="R34" i="4"/>
  <c r="A29" i="33" s="1"/>
  <c r="C29" i="33" s="1"/>
  <c r="R33" i="4"/>
  <c r="A28" i="33" s="1"/>
  <c r="C28" i="33" s="1"/>
  <c r="S35" i="4"/>
  <c r="T35" i="4" s="1"/>
  <c r="S34" i="4"/>
  <c r="T34" i="4" s="1"/>
  <c r="S33" i="4"/>
  <c r="T33" i="4" s="1"/>
  <c r="M25" i="4"/>
  <c r="N25" i="4" s="1"/>
  <c r="M24" i="4"/>
  <c r="N24" i="4" s="1"/>
  <c r="M23" i="4"/>
  <c r="N23" i="4" s="1"/>
  <c r="R18" i="4"/>
  <c r="A13" i="33" s="1"/>
  <c r="C13" i="33" s="1"/>
  <c r="M18" i="4"/>
  <c r="N18" i="4" s="1"/>
  <c r="M29" i="4"/>
  <c r="N29" i="4" s="1"/>
  <c r="M21" i="4"/>
  <c r="N21" i="4" s="1"/>
  <c r="M30" i="4"/>
  <c r="N30" i="4" s="1"/>
  <c r="M27" i="4"/>
  <c r="N27" i="4" s="1"/>
  <c r="M20" i="4"/>
  <c r="N20" i="4" s="1"/>
  <c r="R30" i="4"/>
  <c r="A25" i="33" s="1"/>
  <c r="C25" i="33" s="1"/>
  <c r="M32" i="4"/>
  <c r="N32" i="4" s="1"/>
  <c r="M31" i="4"/>
  <c r="N31" i="4" s="1"/>
  <c r="M26" i="4"/>
  <c r="N26" i="4" s="1"/>
  <c r="M19" i="4"/>
  <c r="N19" i="4" s="1"/>
  <c r="R23" i="4"/>
  <c r="A18" i="33" s="1"/>
  <c r="C18" i="33" s="1"/>
  <c r="M28" i="4"/>
  <c r="N28" i="4" s="1"/>
  <c r="R22" i="4"/>
  <c r="A17" i="33" s="1"/>
  <c r="C17" i="33" s="1"/>
  <c r="R24" i="4"/>
  <c r="A19" i="33" s="1"/>
  <c r="C19" i="33" s="1"/>
  <c r="R31" i="4"/>
  <c r="A26" i="33" s="1"/>
  <c r="C26" i="33" s="1"/>
  <c r="R29" i="4"/>
  <c r="A24" i="33" s="1"/>
  <c r="C24" i="33" s="1"/>
  <c r="M22" i="4"/>
  <c r="N22" i="4" s="1"/>
  <c r="R32" i="4"/>
  <c r="A27" i="33" s="1"/>
  <c r="C27" i="33" s="1"/>
  <c r="R20" i="4"/>
  <c r="A15" i="33" s="1"/>
  <c r="C15" i="33" s="1"/>
  <c r="R28" i="4"/>
  <c r="A23" i="33" s="1"/>
  <c r="C23" i="33" s="1"/>
  <c r="R27" i="4"/>
  <c r="A22" i="33" s="1"/>
  <c r="C22" i="33" s="1"/>
  <c r="R25" i="4"/>
  <c r="A20" i="33" s="1"/>
  <c r="C20" i="33" s="1"/>
  <c r="R21" i="4"/>
  <c r="A16" i="33" s="1"/>
  <c r="C16" i="33" s="1"/>
  <c r="R19" i="4"/>
  <c r="A14" i="33" s="1"/>
  <c r="C14" i="33" s="1"/>
  <c r="R26" i="4"/>
  <c r="A21" i="33" s="1"/>
  <c r="C21" i="33" s="1"/>
  <c r="S32" i="4"/>
  <c r="T32" i="4" s="1"/>
  <c r="S31" i="4"/>
  <c r="T31" i="4" s="1"/>
  <c r="S30" i="4"/>
  <c r="T30" i="4" s="1"/>
  <c r="S29" i="4"/>
  <c r="T29" i="4" s="1"/>
  <c r="S28" i="4"/>
  <c r="T28" i="4" s="1"/>
  <c r="S27" i="4"/>
  <c r="T27" i="4" s="1"/>
  <c r="S26" i="4"/>
  <c r="T26" i="4" s="1"/>
  <c r="S25" i="4"/>
  <c r="T25" i="4" s="1"/>
  <c r="S24" i="4"/>
  <c r="T24" i="4" s="1"/>
  <c r="S23" i="4"/>
  <c r="T23" i="4" s="1"/>
  <c r="S21" i="4"/>
  <c r="T21" i="4" s="1"/>
  <c r="S20" i="4"/>
  <c r="T20" i="4" s="1"/>
  <c r="S19" i="4"/>
  <c r="T19" i="4" s="1"/>
  <c r="S22" i="4"/>
  <c r="T22" i="4" s="1"/>
  <c r="S18" i="4"/>
  <c r="T18" i="4" s="1"/>
  <c r="M17" i="4"/>
  <c r="N17" i="4" s="1"/>
  <c r="M16" i="4"/>
  <c r="N16" i="4" s="1"/>
  <c r="M15" i="4"/>
  <c r="N15" i="4" s="1"/>
  <c r="M13" i="4"/>
  <c r="N13" i="4" s="1"/>
  <c r="M12" i="4"/>
  <c r="N12" i="4" s="1"/>
  <c r="M11" i="4"/>
  <c r="N11" i="4" s="1"/>
  <c r="M9" i="4"/>
  <c r="N9" i="4" s="1"/>
  <c r="R9" i="4"/>
  <c r="R10" i="4"/>
  <c r="A5" i="33" s="1"/>
  <c r="C5" i="33" s="1"/>
  <c r="M10" i="4"/>
  <c r="N10" i="4" s="1"/>
  <c r="R16" i="4"/>
  <c r="A11" i="33" s="1"/>
  <c r="C11" i="33" s="1"/>
  <c r="M14" i="4"/>
  <c r="N14" i="4" s="1"/>
  <c r="R14" i="4"/>
  <c r="A9" i="33" s="1"/>
  <c r="C9" i="33" s="1"/>
  <c r="R15" i="4"/>
  <c r="A10" i="33" s="1"/>
  <c r="C10" i="33" s="1"/>
  <c r="R13" i="4"/>
  <c r="A8" i="33" s="1"/>
  <c r="C8" i="33" s="1"/>
  <c r="R12" i="4"/>
  <c r="A7" i="33" s="1"/>
  <c r="C7" i="33" s="1"/>
  <c r="R11" i="4"/>
  <c r="A6" i="33" s="1"/>
  <c r="C6" i="33" s="1"/>
  <c r="R17" i="4"/>
  <c r="A12" i="33" s="1"/>
  <c r="C12" i="33" s="1"/>
  <c r="S15" i="4"/>
  <c r="T15" i="4" s="1"/>
  <c r="S12" i="4"/>
  <c r="T12" i="4" s="1"/>
  <c r="S10" i="4"/>
  <c r="T10" i="4" s="1"/>
  <c r="S17" i="4"/>
  <c r="T17" i="4" s="1"/>
  <c r="S16" i="4"/>
  <c r="T16" i="4" s="1"/>
  <c r="S13" i="4"/>
  <c r="T13" i="4" s="1"/>
  <c r="S11" i="4"/>
  <c r="T11" i="4" s="1"/>
  <c r="S9" i="4"/>
  <c r="T9" i="4" s="1"/>
  <c r="S14" i="4"/>
  <c r="T14" i="4" s="1"/>
  <c r="T8" i="4"/>
  <c r="M8" i="4"/>
  <c r="N8" i="4" s="1"/>
  <c r="N7" i="4"/>
  <c r="J7" i="4"/>
  <c r="S7" i="4"/>
  <c r="T7" i="4" s="1"/>
  <c r="M37" i="1"/>
  <c r="N37" i="1" s="1"/>
  <c r="T37" i="1"/>
  <c r="M36" i="1"/>
  <c r="N36" i="1" s="1"/>
  <c r="I36" i="1"/>
  <c r="R33" i="1"/>
  <c r="A71" i="33" s="1"/>
  <c r="C71" i="33" s="1"/>
  <c r="I32" i="1"/>
  <c r="R32" i="1"/>
  <c r="A70" i="33" s="1"/>
  <c r="C70" i="33" s="1"/>
  <c r="I35" i="1"/>
  <c r="T32" i="1"/>
  <c r="M31" i="1"/>
  <c r="N31" i="1" s="1"/>
  <c r="I31" i="1"/>
  <c r="R31" i="1"/>
  <c r="A69" i="33" s="1"/>
  <c r="C69" i="33" s="1"/>
  <c r="L17" i="1"/>
  <c r="T24" i="1"/>
  <c r="J14" i="1"/>
  <c r="S20" i="1"/>
  <c r="T20" i="1" s="1"/>
  <c r="J25" i="1"/>
  <c r="J26" i="1"/>
  <c r="J27" i="1"/>
  <c r="J28" i="1"/>
  <c r="J29" i="1"/>
  <c r="J30" i="1"/>
  <c r="J24" i="1"/>
  <c r="S19" i="1"/>
  <c r="T19" i="1" s="1"/>
  <c r="S22" i="1"/>
  <c r="I15" i="1"/>
  <c r="L24" i="1"/>
  <c r="M26" i="1"/>
  <c r="N26" i="1" s="1"/>
  <c r="M28" i="1"/>
  <c r="N28" i="1" s="1"/>
  <c r="S25" i="1"/>
  <c r="T25" i="1" s="1"/>
  <c r="S27" i="1"/>
  <c r="S29" i="1"/>
  <c r="T29" i="1" s="1"/>
  <c r="S21" i="1"/>
  <c r="T21" i="1" s="1"/>
  <c r="S24" i="1"/>
  <c r="R26" i="1"/>
  <c r="A64" i="33" s="1"/>
  <c r="C64" i="33" s="1"/>
  <c r="S26" i="1"/>
  <c r="T26" i="1" s="1"/>
  <c r="S28" i="1"/>
  <c r="T28" i="1" s="1"/>
  <c r="R30" i="1"/>
  <c r="A68" i="33" s="1"/>
  <c r="C68" i="33" s="1"/>
  <c r="S30" i="1"/>
  <c r="T30" i="1" s="1"/>
  <c r="M24" i="1"/>
  <c r="N24" i="1" s="1"/>
  <c r="R28" i="1"/>
  <c r="A66" i="33" s="1"/>
  <c r="C66" i="33" s="1"/>
  <c r="M25" i="1"/>
  <c r="N25" i="1" s="1"/>
  <c r="I27" i="1"/>
  <c r="M29" i="1"/>
  <c r="N29" i="1" s="1"/>
  <c r="R27" i="1"/>
  <c r="A65" i="33" s="1"/>
  <c r="C65" i="33" s="1"/>
  <c r="I24" i="1"/>
  <c r="T27" i="1"/>
  <c r="I25" i="1"/>
  <c r="I29" i="1"/>
  <c r="R24" i="1"/>
  <c r="A62" i="33" s="1"/>
  <c r="C62" i="33" s="1"/>
  <c r="M17" i="1"/>
  <c r="N17" i="1" s="1"/>
  <c r="S18" i="1"/>
  <c r="M20" i="1"/>
  <c r="N20" i="1" s="1"/>
  <c r="R22" i="1"/>
  <c r="A60" i="33" s="1"/>
  <c r="C60" i="33" s="1"/>
  <c r="L14" i="1"/>
  <c r="R18" i="1"/>
  <c r="A56" i="33" s="1"/>
  <c r="C56" i="33" s="1"/>
  <c r="I20" i="1"/>
  <c r="J21" i="1"/>
  <c r="J22" i="1"/>
  <c r="J23" i="1"/>
  <c r="J19" i="1"/>
  <c r="J20" i="1"/>
  <c r="J18" i="1"/>
  <c r="L21" i="1"/>
  <c r="L22" i="1"/>
  <c r="L23" i="1"/>
  <c r="M21" i="1"/>
  <c r="N21" i="1" s="1"/>
  <c r="M22" i="1"/>
  <c r="N22" i="1" s="1"/>
  <c r="L15" i="1"/>
  <c r="L18" i="1"/>
  <c r="R21" i="1"/>
  <c r="A59" i="33" s="1"/>
  <c r="C59" i="33" s="1"/>
  <c r="S23" i="1"/>
  <c r="T23" i="1" s="1"/>
  <c r="I21" i="1"/>
  <c r="I18" i="1"/>
  <c r="M19" i="1"/>
  <c r="N19" i="1" s="1"/>
  <c r="M23" i="1"/>
  <c r="N23" i="1" s="1"/>
  <c r="T18" i="1"/>
  <c r="T22" i="1"/>
  <c r="R20" i="1"/>
  <c r="A58" i="33" s="1"/>
  <c r="C58" i="33" s="1"/>
  <c r="I19" i="1"/>
  <c r="I23" i="1"/>
  <c r="R19" i="1"/>
  <c r="A57" i="33" s="1"/>
  <c r="C57" i="33" s="1"/>
  <c r="R23" i="1"/>
  <c r="A61" i="33" s="1"/>
  <c r="C61" i="33" s="1"/>
  <c r="M18" i="1"/>
  <c r="N18" i="1" s="1"/>
  <c r="I22" i="1"/>
  <c r="J15" i="1"/>
  <c r="J16" i="1"/>
  <c r="R16" i="1"/>
  <c r="A54" i="33" s="1"/>
  <c r="C54" i="33" s="1"/>
  <c r="R14" i="1"/>
  <c r="A52" i="33" s="1"/>
  <c r="C52" i="33" s="1"/>
  <c r="S12" i="1"/>
  <c r="T12" i="1" s="1"/>
  <c r="M15" i="1"/>
  <c r="N15" i="1" s="1"/>
  <c r="S14" i="1"/>
  <c r="T14" i="1" s="1"/>
  <c r="S16" i="1"/>
  <c r="T16" i="1" s="1"/>
  <c r="S15" i="1"/>
  <c r="T15" i="1" s="1"/>
  <c r="S17" i="1"/>
  <c r="T17" i="1" s="1"/>
  <c r="R15" i="1"/>
  <c r="A53" i="33" s="1"/>
  <c r="C53" i="33" s="1"/>
  <c r="M14" i="1"/>
  <c r="N14" i="1" s="1"/>
  <c r="M16" i="1"/>
  <c r="N16" i="1" s="1"/>
  <c r="R17" i="1"/>
  <c r="A55" i="33" s="1"/>
  <c r="C55" i="33" s="1"/>
  <c r="I14" i="1"/>
  <c r="I16" i="1"/>
  <c r="S11" i="1"/>
  <c r="T11" i="1" s="1"/>
  <c r="M12" i="1"/>
  <c r="N12" i="1" s="1"/>
  <c r="S10" i="1"/>
  <c r="T10" i="1" s="1"/>
  <c r="I12" i="1"/>
  <c r="S13" i="1"/>
  <c r="T13" i="1" s="1"/>
  <c r="L11" i="1"/>
  <c r="L7" i="1"/>
  <c r="R13" i="1"/>
  <c r="A51" i="33" s="1"/>
  <c r="C51" i="33" s="1"/>
  <c r="L8" i="1"/>
  <c r="L12" i="1"/>
  <c r="R8" i="1"/>
  <c r="A46" i="33" s="1"/>
  <c r="C46" i="33" s="1"/>
  <c r="L13" i="1"/>
  <c r="I11" i="1"/>
  <c r="L10" i="1"/>
  <c r="M10" i="1"/>
  <c r="N10" i="1" s="1"/>
  <c r="R12" i="1"/>
  <c r="A50" i="33" s="1"/>
  <c r="C50" i="33" s="1"/>
  <c r="J8" i="1"/>
  <c r="J12" i="1"/>
  <c r="J13" i="1"/>
  <c r="J11" i="1"/>
  <c r="J9" i="1"/>
  <c r="J7" i="1"/>
  <c r="J10" i="1"/>
  <c r="I13" i="1"/>
  <c r="M11" i="1"/>
  <c r="N11" i="1" s="1"/>
  <c r="R11" i="1"/>
  <c r="A49" i="33" s="1"/>
  <c r="C49" i="33" s="1"/>
  <c r="M13" i="1"/>
  <c r="N13" i="1" s="1"/>
  <c r="R10" i="1"/>
  <c r="A48" i="33" s="1"/>
  <c r="C48" i="33" s="1"/>
  <c r="M8" i="1"/>
  <c r="N8" i="1" s="1"/>
  <c r="M9" i="1"/>
  <c r="N9" i="1" s="1"/>
  <c r="S8" i="1"/>
  <c r="T8" i="1" s="1"/>
  <c r="S9" i="1"/>
  <c r="T9" i="1" s="1"/>
  <c r="R9" i="1"/>
  <c r="A47" i="33" s="1"/>
  <c r="C47" i="33" s="1"/>
  <c r="I9" i="1"/>
  <c r="T7" i="1"/>
  <c r="I7" i="1"/>
  <c r="R7" i="1"/>
  <c r="A45" i="33" s="1"/>
  <c r="C45" i="33" s="1"/>
  <c r="M7" i="1"/>
  <c r="N7" i="1" s="1"/>
  <c r="B2" i="46" l="1"/>
  <c r="D2" i="46" s="1"/>
  <c r="B2" i="40"/>
  <c r="X7" i="4"/>
  <c r="B2" i="39" s="1"/>
  <c r="B74" i="33"/>
  <c r="D74" i="33" s="1"/>
  <c r="F74" i="33" s="1"/>
  <c r="B31" i="27"/>
  <c r="D31" i="27" s="1"/>
  <c r="F31" i="27" s="1"/>
  <c r="B31" i="11"/>
  <c r="D31" i="11" s="1"/>
  <c r="F31" i="11" s="1"/>
  <c r="B31" i="8"/>
  <c r="D31" i="8" s="1"/>
  <c r="F31" i="8" s="1"/>
  <c r="B72" i="33"/>
  <c r="D72" i="33" s="1"/>
  <c r="F72" i="33" s="1"/>
  <c r="B29" i="27"/>
  <c r="D29" i="27" s="1"/>
  <c r="F29" i="27" s="1"/>
  <c r="B29" i="11"/>
  <c r="D29" i="11" s="1"/>
  <c r="F29" i="11" s="1"/>
  <c r="B29" i="8"/>
  <c r="D29" i="8" s="1"/>
  <c r="F29" i="8" s="1"/>
  <c r="B71" i="33"/>
  <c r="D71" i="33" s="1"/>
  <c r="F71" i="33" s="1"/>
  <c r="B28" i="27"/>
  <c r="D28" i="27" s="1"/>
  <c r="F28" i="27" s="1"/>
  <c r="B28" i="11"/>
  <c r="D28" i="11" s="1"/>
  <c r="F28" i="11" s="1"/>
  <c r="B28" i="8"/>
  <c r="D28" i="8" s="1"/>
  <c r="F28" i="8" s="1"/>
  <c r="B67" i="33"/>
  <c r="D67" i="33" s="1"/>
  <c r="F67" i="33" s="1"/>
  <c r="B24" i="27"/>
  <c r="D24" i="27" s="1"/>
  <c r="F24" i="27" s="1"/>
  <c r="B24" i="11"/>
  <c r="D24" i="11" s="1"/>
  <c r="F24" i="11" s="1"/>
  <c r="B24" i="8"/>
  <c r="D24" i="8" s="1"/>
  <c r="F24" i="8" s="1"/>
  <c r="B69" i="33"/>
  <c r="D69" i="33" s="1"/>
  <c r="F69" i="33" s="1"/>
  <c r="B26" i="27"/>
  <c r="D26" i="27" s="1"/>
  <c r="F26" i="27" s="1"/>
  <c r="B26" i="11"/>
  <c r="D26" i="11" s="1"/>
  <c r="F26" i="11" s="1"/>
  <c r="B26" i="8"/>
  <c r="D26" i="8" s="1"/>
  <c r="F26" i="8" s="1"/>
  <c r="B54" i="33"/>
  <c r="D54" i="33" s="1"/>
  <c r="F54" i="33" s="1"/>
  <c r="B11" i="27"/>
  <c r="D11" i="27" s="1"/>
  <c r="F11" i="27" s="1"/>
  <c r="B11" i="11"/>
  <c r="D11" i="11" s="1"/>
  <c r="F11" i="11" s="1"/>
  <c r="B11" i="8"/>
  <c r="D11" i="8" s="1"/>
  <c r="F11" i="8" s="1"/>
  <c r="B66" i="33"/>
  <c r="D66" i="33" s="1"/>
  <c r="F66" i="33" s="1"/>
  <c r="B23" i="27"/>
  <c r="D23" i="27" s="1"/>
  <c r="F23" i="27" s="1"/>
  <c r="B23" i="11"/>
  <c r="D23" i="11" s="1"/>
  <c r="F23" i="11" s="1"/>
  <c r="B23" i="8"/>
  <c r="D23" i="8" s="1"/>
  <c r="F23" i="8" s="1"/>
  <c r="B63" i="33"/>
  <c r="D63" i="33" s="1"/>
  <c r="F63" i="33" s="1"/>
  <c r="B20" i="27"/>
  <c r="D20" i="27" s="1"/>
  <c r="F20" i="27" s="1"/>
  <c r="B20" i="11"/>
  <c r="D20" i="11" s="1"/>
  <c r="F20" i="11" s="1"/>
  <c r="B20" i="8"/>
  <c r="D20" i="8" s="1"/>
  <c r="F20" i="8" s="1"/>
  <c r="B62" i="33"/>
  <c r="D62" i="33" s="1"/>
  <c r="F62" i="33" s="1"/>
  <c r="B19" i="27"/>
  <c r="D19" i="27" s="1"/>
  <c r="F19" i="27" s="1"/>
  <c r="B19" i="11"/>
  <c r="D19" i="11" s="1"/>
  <c r="F19" i="11" s="1"/>
  <c r="B19" i="8"/>
  <c r="D19" i="8" s="1"/>
  <c r="F19" i="8" s="1"/>
  <c r="B51" i="33"/>
  <c r="D51" i="33" s="1"/>
  <c r="F51" i="33" s="1"/>
  <c r="B8" i="27"/>
  <c r="D8" i="27" s="1"/>
  <c r="F8" i="27" s="1"/>
  <c r="B8" i="11"/>
  <c r="D8" i="11" s="1"/>
  <c r="F8" i="11" s="1"/>
  <c r="B8" i="8"/>
  <c r="D8" i="8" s="1"/>
  <c r="F8" i="8" s="1"/>
  <c r="B52" i="33"/>
  <c r="D52" i="33" s="1"/>
  <c r="F52" i="33" s="1"/>
  <c r="B9" i="27"/>
  <c r="D9" i="27" s="1"/>
  <c r="F9" i="27" s="1"/>
  <c r="B9" i="11"/>
  <c r="D9" i="11" s="1"/>
  <c r="F9" i="11" s="1"/>
  <c r="B9" i="8"/>
  <c r="D9" i="8" s="1"/>
  <c r="F9" i="8" s="1"/>
  <c r="B64" i="33"/>
  <c r="D64" i="33" s="1"/>
  <c r="F64" i="33" s="1"/>
  <c r="B21" i="27"/>
  <c r="D21" i="27" s="1"/>
  <c r="F21" i="27" s="1"/>
  <c r="B21" i="11"/>
  <c r="D21" i="11" s="1"/>
  <c r="F21" i="11" s="1"/>
  <c r="B21" i="8"/>
  <c r="D21" i="8" s="1"/>
  <c r="F21" i="8" s="1"/>
  <c r="B56" i="33"/>
  <c r="D56" i="33" s="1"/>
  <c r="F56" i="33" s="1"/>
  <c r="B13" i="27"/>
  <c r="D13" i="27" s="1"/>
  <c r="F13" i="27" s="1"/>
  <c r="B13" i="11"/>
  <c r="D13" i="11" s="1"/>
  <c r="F13" i="11" s="1"/>
  <c r="B13" i="8"/>
  <c r="D13" i="8" s="1"/>
  <c r="F13" i="8" s="1"/>
  <c r="B73" i="33"/>
  <c r="D73" i="33" s="1"/>
  <c r="F73" i="33" s="1"/>
  <c r="B30" i="27"/>
  <c r="D30" i="27" s="1"/>
  <c r="F30" i="27" s="1"/>
  <c r="B30" i="11"/>
  <c r="D30" i="11" s="1"/>
  <c r="F30" i="11" s="1"/>
  <c r="B30" i="8"/>
  <c r="D30" i="8" s="1"/>
  <c r="F30" i="8" s="1"/>
  <c r="B45" i="33"/>
  <c r="D45" i="33" s="1"/>
  <c r="F45" i="33" s="1"/>
  <c r="B2" i="27"/>
  <c r="D2" i="27" s="1"/>
  <c r="B2" i="11"/>
  <c r="D2" i="11" s="1"/>
  <c r="B2" i="8"/>
  <c r="D2" i="8" s="1"/>
  <c r="B48" i="33"/>
  <c r="D48" i="33" s="1"/>
  <c r="F48" i="33" s="1"/>
  <c r="B5" i="27"/>
  <c r="D5" i="27" s="1"/>
  <c r="F5" i="27" s="1"/>
  <c r="B5" i="11"/>
  <c r="D5" i="11" s="1"/>
  <c r="F5" i="11" s="1"/>
  <c r="B5" i="8"/>
  <c r="D5" i="8" s="1"/>
  <c r="F5" i="8" s="1"/>
  <c r="B61" i="33"/>
  <c r="D61" i="33" s="1"/>
  <c r="F61" i="33" s="1"/>
  <c r="B18" i="27"/>
  <c r="D18" i="27" s="1"/>
  <c r="F18" i="27" s="1"/>
  <c r="B18" i="11"/>
  <c r="D18" i="11" s="1"/>
  <c r="F18" i="11" s="1"/>
  <c r="B18" i="8"/>
  <c r="D18" i="8" s="1"/>
  <c r="F18" i="8" s="1"/>
  <c r="B59" i="33"/>
  <c r="D59" i="33" s="1"/>
  <c r="F59" i="33" s="1"/>
  <c r="B16" i="27"/>
  <c r="D16" i="27" s="1"/>
  <c r="F16" i="27" s="1"/>
  <c r="B16" i="11"/>
  <c r="D16" i="11" s="1"/>
  <c r="F16" i="11" s="1"/>
  <c r="B16" i="8"/>
  <c r="D16" i="8" s="1"/>
  <c r="F16" i="8" s="1"/>
  <c r="B70" i="33"/>
  <c r="D70" i="33" s="1"/>
  <c r="F70" i="33" s="1"/>
  <c r="B27" i="27"/>
  <c r="D27" i="27" s="1"/>
  <c r="F27" i="27" s="1"/>
  <c r="B27" i="11"/>
  <c r="D27" i="11" s="1"/>
  <c r="F27" i="11" s="1"/>
  <c r="B27" i="8"/>
  <c r="D27" i="8" s="1"/>
  <c r="F27" i="8" s="1"/>
  <c r="B46" i="33"/>
  <c r="D46" i="33" s="1"/>
  <c r="F46" i="33" s="1"/>
  <c r="B3" i="27"/>
  <c r="D3" i="27" s="1"/>
  <c r="F3" i="27" s="1"/>
  <c r="B3" i="11"/>
  <c r="D3" i="11" s="1"/>
  <c r="F3" i="11" s="1"/>
  <c r="B3" i="8"/>
  <c r="D3" i="8" s="1"/>
  <c r="F3" i="8" s="1"/>
  <c r="B50" i="33"/>
  <c r="D50" i="33" s="1"/>
  <c r="F50" i="33" s="1"/>
  <c r="B7" i="27"/>
  <c r="D7" i="27" s="1"/>
  <c r="F7" i="27" s="1"/>
  <c r="B7" i="11"/>
  <c r="D7" i="11" s="1"/>
  <c r="F7" i="11" s="1"/>
  <c r="B7" i="8"/>
  <c r="D7" i="8" s="1"/>
  <c r="F7" i="8" s="1"/>
  <c r="B49" i="33"/>
  <c r="D49" i="33" s="1"/>
  <c r="F49" i="33" s="1"/>
  <c r="B6" i="27"/>
  <c r="D6" i="27" s="1"/>
  <c r="F6" i="27" s="1"/>
  <c r="B6" i="11"/>
  <c r="D6" i="11" s="1"/>
  <c r="F6" i="11" s="1"/>
  <c r="B6" i="8"/>
  <c r="D6" i="8" s="1"/>
  <c r="F6" i="8" s="1"/>
  <c r="B65" i="33"/>
  <c r="D65" i="33" s="1"/>
  <c r="F65" i="33" s="1"/>
  <c r="B22" i="27"/>
  <c r="D22" i="27" s="1"/>
  <c r="F22" i="27" s="1"/>
  <c r="B22" i="11"/>
  <c r="D22" i="11" s="1"/>
  <c r="F22" i="11" s="1"/>
  <c r="B22" i="8"/>
  <c r="D22" i="8" s="1"/>
  <c r="F22" i="8" s="1"/>
  <c r="B57" i="33"/>
  <c r="D57" i="33" s="1"/>
  <c r="F57" i="33" s="1"/>
  <c r="B14" i="27"/>
  <c r="D14" i="27" s="1"/>
  <c r="F14" i="27" s="1"/>
  <c r="B14" i="11"/>
  <c r="D14" i="11" s="1"/>
  <c r="F14" i="11" s="1"/>
  <c r="B14" i="8"/>
  <c r="D14" i="8" s="1"/>
  <c r="F14" i="8" s="1"/>
  <c r="B58" i="33"/>
  <c r="D58" i="33" s="1"/>
  <c r="F58" i="33" s="1"/>
  <c r="B15" i="27"/>
  <c r="D15" i="27" s="1"/>
  <c r="F15" i="27" s="1"/>
  <c r="B15" i="11"/>
  <c r="D15" i="11" s="1"/>
  <c r="F15" i="11" s="1"/>
  <c r="B15" i="8"/>
  <c r="D15" i="8" s="1"/>
  <c r="F15" i="8" s="1"/>
  <c r="B75" i="33"/>
  <c r="D75" i="33" s="1"/>
  <c r="F75" i="33" s="1"/>
  <c r="B32" i="27"/>
  <c r="D32" i="27" s="1"/>
  <c r="F32" i="27" s="1"/>
  <c r="B32" i="11"/>
  <c r="D32" i="11" s="1"/>
  <c r="F32" i="11" s="1"/>
  <c r="B32" i="8"/>
  <c r="D32" i="8" s="1"/>
  <c r="F32" i="8" s="1"/>
  <c r="B55" i="33"/>
  <c r="D55" i="33" s="1"/>
  <c r="F55" i="33" s="1"/>
  <c r="B12" i="27"/>
  <c r="D12" i="27" s="1"/>
  <c r="F12" i="27" s="1"/>
  <c r="B12" i="11"/>
  <c r="D12" i="11" s="1"/>
  <c r="F12" i="11" s="1"/>
  <c r="B12" i="8"/>
  <c r="D12" i="8" s="1"/>
  <c r="F12" i="8" s="1"/>
  <c r="B47" i="33"/>
  <c r="D47" i="33" s="1"/>
  <c r="F47" i="33" s="1"/>
  <c r="B4" i="27"/>
  <c r="D4" i="27" s="1"/>
  <c r="F4" i="27" s="1"/>
  <c r="B4" i="11"/>
  <c r="D4" i="11" s="1"/>
  <c r="F4" i="11" s="1"/>
  <c r="B4" i="8"/>
  <c r="D4" i="8" s="1"/>
  <c r="F4" i="8" s="1"/>
  <c r="B53" i="33"/>
  <c r="D53" i="33" s="1"/>
  <c r="F53" i="33" s="1"/>
  <c r="B10" i="27"/>
  <c r="D10" i="27" s="1"/>
  <c r="F10" i="27" s="1"/>
  <c r="B10" i="11"/>
  <c r="D10" i="11" s="1"/>
  <c r="F10" i="11" s="1"/>
  <c r="B10" i="8"/>
  <c r="D10" i="8" s="1"/>
  <c r="F10" i="8" s="1"/>
  <c r="B60" i="33"/>
  <c r="D60" i="33" s="1"/>
  <c r="F60" i="33" s="1"/>
  <c r="B17" i="27"/>
  <c r="D17" i="27" s="1"/>
  <c r="F17" i="27" s="1"/>
  <c r="B17" i="11"/>
  <c r="D17" i="11" s="1"/>
  <c r="F17" i="11" s="1"/>
  <c r="B17" i="8"/>
  <c r="D17" i="8" s="1"/>
  <c r="F17" i="8" s="1"/>
  <c r="B68" i="33"/>
  <c r="D68" i="33" s="1"/>
  <c r="F68" i="33" s="1"/>
  <c r="B25" i="27"/>
  <c r="D25" i="27" s="1"/>
  <c r="F25" i="27" s="1"/>
  <c r="B25" i="11"/>
  <c r="D25" i="11" s="1"/>
  <c r="F25" i="11" s="1"/>
  <c r="B25" i="8"/>
  <c r="D25" i="8" s="1"/>
  <c r="F25" i="8" s="1"/>
  <c r="B6" i="33"/>
  <c r="D6" i="33" s="1"/>
  <c r="F6" i="33" s="1"/>
  <c r="B6" i="26"/>
  <c r="D6" i="26" s="1"/>
  <c r="F6" i="26" s="1"/>
  <c r="X11" i="4"/>
  <c r="B6" i="39" s="1"/>
  <c r="D6" i="39" s="1"/>
  <c r="F6" i="39" s="1"/>
  <c r="B6" i="6"/>
  <c r="D6" i="6" s="1"/>
  <c r="F6" i="6" s="1"/>
  <c r="B6" i="10"/>
  <c r="D6" i="10" s="1"/>
  <c r="F6" i="10" s="1"/>
  <c r="B37" i="33"/>
  <c r="D37" i="33" s="1"/>
  <c r="B37" i="26"/>
  <c r="D37" i="26" s="1"/>
  <c r="F37" i="26" s="1"/>
  <c r="X42" i="4"/>
  <c r="B37" i="39" s="1"/>
  <c r="D37" i="39" s="1"/>
  <c r="F37" i="39" s="1"/>
  <c r="B37" i="10"/>
  <c r="D37" i="10" s="1"/>
  <c r="B37" i="6"/>
  <c r="D37" i="6" s="1"/>
  <c r="F37" i="6" s="1"/>
  <c r="B13" i="33"/>
  <c r="D13" i="33" s="1"/>
  <c r="F13" i="33" s="1"/>
  <c r="B13" i="26"/>
  <c r="D13" i="26" s="1"/>
  <c r="F13" i="26" s="1"/>
  <c r="X18" i="4"/>
  <c r="B13" i="39" s="1"/>
  <c r="D13" i="39" s="1"/>
  <c r="F13" i="39" s="1"/>
  <c r="B13" i="6"/>
  <c r="D13" i="6" s="1"/>
  <c r="F13" i="6" s="1"/>
  <c r="B13" i="10"/>
  <c r="D13" i="10" s="1"/>
  <c r="F13" i="10" s="1"/>
  <c r="B21" i="33"/>
  <c r="D21" i="33" s="1"/>
  <c r="F21" i="33" s="1"/>
  <c r="B21" i="26"/>
  <c r="D21" i="26" s="1"/>
  <c r="F21" i="26" s="1"/>
  <c r="X26" i="4"/>
  <c r="B21" i="39" s="1"/>
  <c r="D21" i="39" s="1"/>
  <c r="F21" i="39" s="1"/>
  <c r="B21" i="6"/>
  <c r="D21" i="6" s="1"/>
  <c r="F21" i="6" s="1"/>
  <c r="B21" i="10"/>
  <c r="D21" i="10" s="1"/>
  <c r="F21" i="10" s="1"/>
  <c r="B44" i="33"/>
  <c r="D44" i="33" s="1"/>
  <c r="B44" i="26"/>
  <c r="D44" i="26" s="1"/>
  <c r="F44" i="26" s="1"/>
  <c r="X49" i="4"/>
  <c r="B44" i="39" s="1"/>
  <c r="D44" i="39" s="1"/>
  <c r="F44" i="39" s="1"/>
  <c r="B44" i="10"/>
  <c r="D44" i="10" s="1"/>
  <c r="B44" i="6"/>
  <c r="D44" i="6" s="1"/>
  <c r="F44" i="6" s="1"/>
  <c r="B38" i="33"/>
  <c r="D38" i="33" s="1"/>
  <c r="B38" i="26"/>
  <c r="D38" i="26" s="1"/>
  <c r="F38" i="26" s="1"/>
  <c r="X43" i="4"/>
  <c r="B38" i="39" s="1"/>
  <c r="D38" i="39" s="1"/>
  <c r="F38" i="39" s="1"/>
  <c r="B38" i="10"/>
  <c r="D38" i="10" s="1"/>
  <c r="B38" i="6"/>
  <c r="D38" i="6" s="1"/>
  <c r="F38" i="6" s="1"/>
  <c r="B17" i="33"/>
  <c r="D17" i="33" s="1"/>
  <c r="F17" i="33" s="1"/>
  <c r="B17" i="26"/>
  <c r="D17" i="26" s="1"/>
  <c r="F17" i="26" s="1"/>
  <c r="X22" i="4"/>
  <c r="B17" i="39" s="1"/>
  <c r="D17" i="39" s="1"/>
  <c r="F17" i="39" s="1"/>
  <c r="B17" i="10"/>
  <c r="D17" i="10" s="1"/>
  <c r="F17" i="10" s="1"/>
  <c r="B17" i="6"/>
  <c r="D17" i="6" s="1"/>
  <c r="F17" i="6" s="1"/>
  <c r="B22" i="33"/>
  <c r="D22" i="33" s="1"/>
  <c r="F22" i="33" s="1"/>
  <c r="B22" i="26"/>
  <c r="D22" i="26" s="1"/>
  <c r="F22" i="26" s="1"/>
  <c r="X27" i="4"/>
  <c r="B22" i="39" s="1"/>
  <c r="D22" i="39" s="1"/>
  <c r="F22" i="39" s="1"/>
  <c r="B22" i="10"/>
  <c r="D22" i="10" s="1"/>
  <c r="F22" i="10" s="1"/>
  <c r="B22" i="6"/>
  <c r="D22" i="6" s="1"/>
  <c r="F22" i="6" s="1"/>
  <c r="B31" i="33"/>
  <c r="D31" i="33" s="1"/>
  <c r="B31" i="26"/>
  <c r="D31" i="26" s="1"/>
  <c r="X36" i="4"/>
  <c r="B31" i="10"/>
  <c r="D31" i="10" s="1"/>
  <c r="B31" i="6"/>
  <c r="D31" i="6" s="1"/>
  <c r="B39" i="33"/>
  <c r="D39" i="33" s="1"/>
  <c r="B39" i="26"/>
  <c r="D39" i="26" s="1"/>
  <c r="X44" i="4"/>
  <c r="B39" i="6"/>
  <c r="D39" i="6" s="1"/>
  <c r="B39" i="10"/>
  <c r="D39" i="10" s="1"/>
  <c r="B8" i="33"/>
  <c r="D8" i="33" s="1"/>
  <c r="F8" i="33" s="1"/>
  <c r="B8" i="26"/>
  <c r="D8" i="26" s="1"/>
  <c r="F8" i="26" s="1"/>
  <c r="X13" i="4"/>
  <c r="B8" i="39" s="1"/>
  <c r="D8" i="39" s="1"/>
  <c r="F8" i="39" s="1"/>
  <c r="B8" i="10"/>
  <c r="D8" i="10" s="1"/>
  <c r="F8" i="10" s="1"/>
  <c r="B8" i="6"/>
  <c r="D8" i="6" s="1"/>
  <c r="F8" i="6" s="1"/>
  <c r="B14" i="33"/>
  <c r="D14" i="33" s="1"/>
  <c r="F14" i="33" s="1"/>
  <c r="B14" i="26"/>
  <c r="D14" i="26" s="1"/>
  <c r="F14" i="26" s="1"/>
  <c r="X19" i="4"/>
  <c r="B14" i="39" s="1"/>
  <c r="D14" i="39" s="1"/>
  <c r="F14" i="39" s="1"/>
  <c r="B14" i="6"/>
  <c r="D14" i="6" s="1"/>
  <c r="F14" i="6" s="1"/>
  <c r="B14" i="10"/>
  <c r="D14" i="10" s="1"/>
  <c r="F14" i="10" s="1"/>
  <c r="B23" i="33"/>
  <c r="D23" i="33" s="1"/>
  <c r="F23" i="33" s="1"/>
  <c r="B23" i="26"/>
  <c r="D23" i="26" s="1"/>
  <c r="F23" i="26" s="1"/>
  <c r="X28" i="4"/>
  <c r="B23" i="39" s="1"/>
  <c r="D23" i="39" s="1"/>
  <c r="F23" i="39" s="1"/>
  <c r="B23" i="10"/>
  <c r="D23" i="10" s="1"/>
  <c r="F23" i="10" s="1"/>
  <c r="B23" i="6"/>
  <c r="D23" i="6" s="1"/>
  <c r="F23" i="6" s="1"/>
  <c r="B32" i="33"/>
  <c r="D32" i="33" s="1"/>
  <c r="B32" i="26"/>
  <c r="D32" i="26" s="1"/>
  <c r="X37" i="4"/>
  <c r="B32" i="6"/>
  <c r="D32" i="6" s="1"/>
  <c r="B32" i="10"/>
  <c r="D32" i="10" s="1"/>
  <c r="B40" i="33"/>
  <c r="D40" i="33" s="1"/>
  <c r="B40" i="26"/>
  <c r="D40" i="26" s="1"/>
  <c r="X45" i="4"/>
  <c r="B40" i="6"/>
  <c r="D40" i="6" s="1"/>
  <c r="B40" i="10"/>
  <c r="D40" i="10" s="1"/>
  <c r="A44" i="39"/>
  <c r="C44" i="39" s="1"/>
  <c r="A44" i="26"/>
  <c r="C44" i="26" s="1"/>
  <c r="B12" i="33"/>
  <c r="D12" i="33" s="1"/>
  <c r="F12" i="33" s="1"/>
  <c r="B12" i="26"/>
  <c r="D12" i="26" s="1"/>
  <c r="F12" i="26" s="1"/>
  <c r="X17" i="4"/>
  <c r="B12" i="39" s="1"/>
  <c r="D12" i="39" s="1"/>
  <c r="F12" i="39" s="1"/>
  <c r="B12" i="6"/>
  <c r="D12" i="6" s="1"/>
  <c r="F12" i="6" s="1"/>
  <c r="B12" i="10"/>
  <c r="D12" i="10" s="1"/>
  <c r="F12" i="10" s="1"/>
  <c r="B5" i="33"/>
  <c r="D5" i="33" s="1"/>
  <c r="F5" i="33" s="1"/>
  <c r="B5" i="26"/>
  <c r="D5" i="26" s="1"/>
  <c r="F5" i="26" s="1"/>
  <c r="X10" i="4"/>
  <c r="B5" i="39" s="1"/>
  <c r="D5" i="39" s="1"/>
  <c r="F5" i="39" s="1"/>
  <c r="B5" i="10"/>
  <c r="D5" i="10" s="1"/>
  <c r="F5" i="10" s="1"/>
  <c r="B5" i="6"/>
  <c r="D5" i="6" s="1"/>
  <c r="F5" i="6" s="1"/>
  <c r="B15" i="33"/>
  <c r="D15" i="33" s="1"/>
  <c r="F15" i="33" s="1"/>
  <c r="B15" i="26"/>
  <c r="D15" i="26" s="1"/>
  <c r="F15" i="26" s="1"/>
  <c r="X20" i="4"/>
  <c r="B15" i="39" s="1"/>
  <c r="D15" i="39" s="1"/>
  <c r="F15" i="39" s="1"/>
  <c r="B15" i="10"/>
  <c r="D15" i="10" s="1"/>
  <c r="F15" i="10" s="1"/>
  <c r="B15" i="6"/>
  <c r="D15" i="6" s="1"/>
  <c r="F15" i="6" s="1"/>
  <c r="B24" i="33"/>
  <c r="D24" i="33" s="1"/>
  <c r="F24" i="33" s="1"/>
  <c r="B24" i="26"/>
  <c r="D24" i="26" s="1"/>
  <c r="F24" i="26" s="1"/>
  <c r="X29" i="4"/>
  <c r="B24" i="39" s="1"/>
  <c r="D24" i="39" s="1"/>
  <c r="F24" i="39" s="1"/>
  <c r="B24" i="6"/>
  <c r="D24" i="6" s="1"/>
  <c r="F24" i="6" s="1"/>
  <c r="B24" i="10"/>
  <c r="D24" i="10" s="1"/>
  <c r="F24" i="10" s="1"/>
  <c r="B33" i="33"/>
  <c r="D33" i="33" s="1"/>
  <c r="B33" i="26"/>
  <c r="D33" i="26" s="1"/>
  <c r="F33" i="26" s="1"/>
  <c r="X38" i="4"/>
  <c r="B33" i="39" s="1"/>
  <c r="D33" i="39" s="1"/>
  <c r="F33" i="39" s="1"/>
  <c r="B33" i="10"/>
  <c r="D33" i="10" s="1"/>
  <c r="B33" i="6"/>
  <c r="D33" i="6" s="1"/>
  <c r="F33" i="6" s="1"/>
  <c r="E44" i="6"/>
  <c r="G44" i="6"/>
  <c r="B30" i="33"/>
  <c r="D30" i="33" s="1"/>
  <c r="F30" i="33" s="1"/>
  <c r="B30" i="26"/>
  <c r="D30" i="26" s="1"/>
  <c r="F30" i="26" s="1"/>
  <c r="X35" i="4"/>
  <c r="B30" i="39" s="1"/>
  <c r="D30" i="39" s="1"/>
  <c r="F30" i="39" s="1"/>
  <c r="B30" i="10"/>
  <c r="D30" i="10" s="1"/>
  <c r="F30" i="10" s="1"/>
  <c r="B30" i="6"/>
  <c r="D30" i="6" s="1"/>
  <c r="F30" i="6" s="1"/>
  <c r="B43" i="33"/>
  <c r="D43" i="33" s="1"/>
  <c r="B43" i="26"/>
  <c r="D43" i="26" s="1"/>
  <c r="X48" i="4"/>
  <c r="B43" i="6"/>
  <c r="D43" i="6" s="1"/>
  <c r="B43" i="10"/>
  <c r="D43" i="10" s="1"/>
  <c r="U8" i="4"/>
  <c r="Q8" i="4" s="1"/>
  <c r="B3" i="33"/>
  <c r="D3" i="33" s="1"/>
  <c r="F3" i="33" s="1"/>
  <c r="B3" i="26"/>
  <c r="D3" i="26" s="1"/>
  <c r="F3" i="26" s="1"/>
  <c r="X8" i="4"/>
  <c r="B3" i="39" s="1"/>
  <c r="D3" i="39" s="1"/>
  <c r="F3" i="39" s="1"/>
  <c r="B3" i="10"/>
  <c r="D3" i="10" s="1"/>
  <c r="F3" i="10" s="1"/>
  <c r="B3" i="6"/>
  <c r="D3" i="6" s="1"/>
  <c r="F3" i="6" s="1"/>
  <c r="B7" i="33"/>
  <c r="D7" i="33" s="1"/>
  <c r="F7" i="33" s="1"/>
  <c r="B7" i="26"/>
  <c r="D7" i="26" s="1"/>
  <c r="F7" i="26" s="1"/>
  <c r="X12" i="4"/>
  <c r="B7" i="39" s="1"/>
  <c r="D7" i="39" s="1"/>
  <c r="F7" i="39" s="1"/>
  <c r="B7" i="10"/>
  <c r="D7" i="10" s="1"/>
  <c r="F7" i="10" s="1"/>
  <c r="B7" i="6"/>
  <c r="D7" i="6" s="1"/>
  <c r="F7" i="6" s="1"/>
  <c r="B16" i="33"/>
  <c r="D16" i="33" s="1"/>
  <c r="F16" i="33" s="1"/>
  <c r="B16" i="26"/>
  <c r="D16" i="26" s="1"/>
  <c r="F16" i="26" s="1"/>
  <c r="X21" i="4"/>
  <c r="B16" i="39" s="1"/>
  <c r="D16" i="39" s="1"/>
  <c r="F16" i="39" s="1"/>
  <c r="B16" i="10"/>
  <c r="D16" i="10" s="1"/>
  <c r="F16" i="10" s="1"/>
  <c r="B16" i="6"/>
  <c r="D16" i="6" s="1"/>
  <c r="F16" i="6" s="1"/>
  <c r="B25" i="33"/>
  <c r="D25" i="33" s="1"/>
  <c r="F25" i="33" s="1"/>
  <c r="B25" i="26"/>
  <c r="D25" i="26" s="1"/>
  <c r="F25" i="26" s="1"/>
  <c r="X30" i="4"/>
  <c r="B25" i="39" s="1"/>
  <c r="D25" i="39" s="1"/>
  <c r="F25" i="39" s="1"/>
  <c r="B25" i="10"/>
  <c r="D25" i="10" s="1"/>
  <c r="F25" i="10" s="1"/>
  <c r="B25" i="6"/>
  <c r="D25" i="6" s="1"/>
  <c r="F25" i="6" s="1"/>
  <c r="B34" i="33"/>
  <c r="D34" i="33" s="1"/>
  <c r="B34" i="26"/>
  <c r="D34" i="26" s="1"/>
  <c r="F34" i="26" s="1"/>
  <c r="X39" i="4"/>
  <c r="B34" i="39" s="1"/>
  <c r="D34" i="39" s="1"/>
  <c r="F34" i="39" s="1"/>
  <c r="B34" i="6"/>
  <c r="D34" i="6" s="1"/>
  <c r="F34" i="6" s="1"/>
  <c r="B34" i="10"/>
  <c r="D34" i="10" s="1"/>
  <c r="U7" i="4"/>
  <c r="Q7" i="4" s="1"/>
  <c r="B2" i="33"/>
  <c r="D2" i="33" s="1"/>
  <c r="B2" i="26"/>
  <c r="D2" i="26" s="1"/>
  <c r="B2" i="10"/>
  <c r="D2" i="10" s="1"/>
  <c r="B2" i="6"/>
  <c r="D2" i="6" s="1"/>
  <c r="B20" i="33"/>
  <c r="D20" i="33" s="1"/>
  <c r="F20" i="33" s="1"/>
  <c r="B20" i="26"/>
  <c r="D20" i="26" s="1"/>
  <c r="F20" i="26" s="1"/>
  <c r="X25" i="4"/>
  <c r="B20" i="39" s="1"/>
  <c r="D20" i="39" s="1"/>
  <c r="F20" i="39" s="1"/>
  <c r="B20" i="6"/>
  <c r="D20" i="6" s="1"/>
  <c r="F20" i="6" s="1"/>
  <c r="B20" i="10"/>
  <c r="D20" i="10" s="1"/>
  <c r="F20" i="10" s="1"/>
  <c r="B9" i="33"/>
  <c r="D9" i="33" s="1"/>
  <c r="F9" i="33" s="1"/>
  <c r="B9" i="26"/>
  <c r="D9" i="26" s="1"/>
  <c r="F9" i="26" s="1"/>
  <c r="X14" i="4"/>
  <c r="B9" i="39" s="1"/>
  <c r="D9" i="39" s="1"/>
  <c r="F9" i="39" s="1"/>
  <c r="B9" i="10"/>
  <c r="D9" i="10" s="1"/>
  <c r="F9" i="10" s="1"/>
  <c r="B9" i="6"/>
  <c r="D9" i="6" s="1"/>
  <c r="F9" i="6" s="1"/>
  <c r="B18" i="33"/>
  <c r="D18" i="33" s="1"/>
  <c r="F18" i="33" s="1"/>
  <c r="B18" i="26"/>
  <c r="D18" i="26" s="1"/>
  <c r="F18" i="26" s="1"/>
  <c r="X23" i="4"/>
  <c r="B18" i="39" s="1"/>
  <c r="D18" i="39" s="1"/>
  <c r="F18" i="39" s="1"/>
  <c r="B18" i="10"/>
  <c r="D18" i="10" s="1"/>
  <c r="F18" i="10" s="1"/>
  <c r="B18" i="6"/>
  <c r="D18" i="6" s="1"/>
  <c r="F18" i="6" s="1"/>
  <c r="B26" i="33"/>
  <c r="D26" i="33" s="1"/>
  <c r="F26" i="33" s="1"/>
  <c r="B26" i="26"/>
  <c r="D26" i="26" s="1"/>
  <c r="F26" i="26" s="1"/>
  <c r="X31" i="4"/>
  <c r="B26" i="39" s="1"/>
  <c r="D26" i="39" s="1"/>
  <c r="F26" i="39" s="1"/>
  <c r="B26" i="10"/>
  <c r="D26" i="10" s="1"/>
  <c r="F26" i="10" s="1"/>
  <c r="B26" i="6"/>
  <c r="D26" i="6" s="1"/>
  <c r="F26" i="6" s="1"/>
  <c r="B28" i="33"/>
  <c r="D28" i="33" s="1"/>
  <c r="F28" i="33" s="1"/>
  <c r="B28" i="26"/>
  <c r="D28" i="26" s="1"/>
  <c r="F28" i="26" s="1"/>
  <c r="X33" i="4"/>
  <c r="B28" i="39" s="1"/>
  <c r="D28" i="39" s="1"/>
  <c r="F28" i="39" s="1"/>
  <c r="B28" i="6"/>
  <c r="D28" i="6" s="1"/>
  <c r="F28" i="6" s="1"/>
  <c r="B28" i="10"/>
  <c r="D28" i="10" s="1"/>
  <c r="F28" i="10" s="1"/>
  <c r="W43" i="4"/>
  <c r="A38" i="40" s="1"/>
  <c r="C38" i="40" s="1"/>
  <c r="B41" i="33"/>
  <c r="D41" i="33" s="1"/>
  <c r="B41" i="26"/>
  <c r="D41" i="26" s="1"/>
  <c r="X46" i="4"/>
  <c r="B41" i="10"/>
  <c r="D41" i="10" s="1"/>
  <c r="B41" i="6"/>
  <c r="D41" i="6" s="1"/>
  <c r="B35" i="33"/>
  <c r="D35" i="33" s="1"/>
  <c r="B35" i="26"/>
  <c r="D35" i="26" s="1"/>
  <c r="X40" i="4"/>
  <c r="B35" i="6"/>
  <c r="D35" i="6" s="1"/>
  <c r="B35" i="10"/>
  <c r="D35" i="10" s="1"/>
  <c r="N51" i="4"/>
  <c r="M54" i="4"/>
  <c r="M55" i="4" s="1"/>
  <c r="M56" i="4" s="1"/>
  <c r="M57" i="4" s="1"/>
  <c r="B11" i="33"/>
  <c r="D11" i="33" s="1"/>
  <c r="F11" i="33" s="1"/>
  <c r="B11" i="26"/>
  <c r="D11" i="26" s="1"/>
  <c r="F11" i="26" s="1"/>
  <c r="X16" i="4"/>
  <c r="B11" i="39" s="1"/>
  <c r="D11" i="39" s="1"/>
  <c r="F11" i="39" s="1"/>
  <c r="B11" i="10"/>
  <c r="D11" i="10" s="1"/>
  <c r="F11" i="10" s="1"/>
  <c r="B11" i="6"/>
  <c r="D11" i="6" s="1"/>
  <c r="F11" i="6" s="1"/>
  <c r="B10" i="33"/>
  <c r="D10" i="33" s="1"/>
  <c r="F10" i="33" s="1"/>
  <c r="B10" i="26"/>
  <c r="D10" i="26" s="1"/>
  <c r="F10" i="26" s="1"/>
  <c r="X15" i="4"/>
  <c r="B10" i="39" s="1"/>
  <c r="D10" i="39" s="1"/>
  <c r="F10" i="39" s="1"/>
  <c r="B10" i="6"/>
  <c r="D10" i="6" s="1"/>
  <c r="F10" i="6" s="1"/>
  <c r="B10" i="10"/>
  <c r="D10" i="10" s="1"/>
  <c r="F10" i="10" s="1"/>
  <c r="B4" i="33"/>
  <c r="D4" i="33" s="1"/>
  <c r="F4" i="33" s="1"/>
  <c r="B4" i="26"/>
  <c r="D4" i="26" s="1"/>
  <c r="F4" i="26" s="1"/>
  <c r="X9" i="4"/>
  <c r="B4" i="39" s="1"/>
  <c r="D4" i="39" s="1"/>
  <c r="F4" i="39" s="1"/>
  <c r="B4" i="6"/>
  <c r="D4" i="6" s="1"/>
  <c r="F4" i="6" s="1"/>
  <c r="B4" i="10"/>
  <c r="D4" i="10" s="1"/>
  <c r="F4" i="10" s="1"/>
  <c r="B19" i="33"/>
  <c r="D19" i="33" s="1"/>
  <c r="F19" i="33" s="1"/>
  <c r="B19" i="26"/>
  <c r="D19" i="26" s="1"/>
  <c r="F19" i="26" s="1"/>
  <c r="X24" i="4"/>
  <c r="B19" i="39" s="1"/>
  <c r="D19" i="39" s="1"/>
  <c r="F19" i="39" s="1"/>
  <c r="B19" i="6"/>
  <c r="D19" i="6" s="1"/>
  <c r="F19" i="6" s="1"/>
  <c r="B19" i="10"/>
  <c r="D19" i="10" s="1"/>
  <c r="F19" i="10" s="1"/>
  <c r="B27" i="33"/>
  <c r="D27" i="33" s="1"/>
  <c r="F27" i="33" s="1"/>
  <c r="B27" i="26"/>
  <c r="D27" i="26" s="1"/>
  <c r="F27" i="26" s="1"/>
  <c r="X32" i="4"/>
  <c r="B27" i="39" s="1"/>
  <c r="D27" i="39" s="1"/>
  <c r="F27" i="39" s="1"/>
  <c r="B27" i="6"/>
  <c r="D27" i="6" s="1"/>
  <c r="F27" i="6" s="1"/>
  <c r="B27" i="10"/>
  <c r="D27" i="10" s="1"/>
  <c r="F27" i="10" s="1"/>
  <c r="B29" i="33"/>
  <c r="D29" i="33" s="1"/>
  <c r="F29" i="33" s="1"/>
  <c r="B29" i="26"/>
  <c r="D29" i="26" s="1"/>
  <c r="F29" i="26" s="1"/>
  <c r="X34" i="4"/>
  <c r="B29" i="39" s="1"/>
  <c r="D29" i="39" s="1"/>
  <c r="F29" i="39" s="1"/>
  <c r="B29" i="6"/>
  <c r="D29" i="6" s="1"/>
  <c r="F29" i="6" s="1"/>
  <c r="B29" i="10"/>
  <c r="D29" i="10" s="1"/>
  <c r="F29" i="10" s="1"/>
  <c r="B42" i="33"/>
  <c r="D42" i="33" s="1"/>
  <c r="B42" i="26"/>
  <c r="D42" i="26" s="1"/>
  <c r="F42" i="26" s="1"/>
  <c r="X47" i="4"/>
  <c r="B42" i="39" s="1"/>
  <c r="D42" i="39" s="1"/>
  <c r="F42" i="39" s="1"/>
  <c r="B42" i="6"/>
  <c r="D42" i="6" s="1"/>
  <c r="F42" i="6" s="1"/>
  <c r="B42" i="10"/>
  <c r="D42" i="10" s="1"/>
  <c r="B36" i="33"/>
  <c r="D36" i="33" s="1"/>
  <c r="B36" i="26"/>
  <c r="D36" i="26" s="1"/>
  <c r="X41" i="4"/>
  <c r="B36" i="10"/>
  <c r="D36" i="10" s="1"/>
  <c r="B36" i="6"/>
  <c r="D36" i="6" s="1"/>
  <c r="E55" i="33"/>
  <c r="G55" i="33"/>
  <c r="E45" i="33"/>
  <c r="G45" i="33"/>
  <c r="E69" i="33"/>
  <c r="G69" i="33"/>
  <c r="E71" i="33"/>
  <c r="G71" i="33"/>
  <c r="A20" i="11"/>
  <c r="C20" i="11" s="1"/>
  <c r="A63" i="33"/>
  <c r="C63" i="33" s="1"/>
  <c r="E62" i="33"/>
  <c r="G62" i="33"/>
  <c r="G64" i="33"/>
  <c r="E64" i="33"/>
  <c r="E68" i="33"/>
  <c r="G68" i="33"/>
  <c r="A29" i="11"/>
  <c r="C29" i="11" s="1"/>
  <c r="A72" i="33"/>
  <c r="C72" i="33" s="1"/>
  <c r="E57" i="33"/>
  <c r="G57" i="33"/>
  <c r="E46" i="33"/>
  <c r="G46" i="33"/>
  <c r="E52" i="33"/>
  <c r="G52" i="33"/>
  <c r="A32" i="11"/>
  <c r="C32" i="11" s="1"/>
  <c r="A75" i="33"/>
  <c r="C75" i="33" s="1"/>
  <c r="E70" i="33"/>
  <c r="G70" i="33"/>
  <c r="E53" i="33"/>
  <c r="G53" i="33"/>
  <c r="E54" i="33"/>
  <c r="G54" i="33"/>
  <c r="G56" i="33"/>
  <c r="E56" i="33"/>
  <c r="E66" i="33"/>
  <c r="G66" i="33"/>
  <c r="E67" i="33"/>
  <c r="G67" i="33"/>
  <c r="E65" i="33"/>
  <c r="G65" i="33"/>
  <c r="G48" i="33"/>
  <c r="E48" i="33"/>
  <c r="E58" i="33"/>
  <c r="G58" i="33"/>
  <c r="E59" i="33"/>
  <c r="G59" i="33"/>
  <c r="X34" i="1"/>
  <c r="X35" i="1"/>
  <c r="X25" i="1"/>
  <c r="X16" i="1"/>
  <c r="X7" i="1"/>
  <c r="X24" i="1"/>
  <c r="X15" i="1"/>
  <c r="X31" i="1"/>
  <c r="X21" i="1"/>
  <c r="X11" i="1"/>
  <c r="X28" i="1"/>
  <c r="X9" i="1"/>
  <c r="X36" i="1"/>
  <c r="X33" i="1"/>
  <c r="X32" i="1"/>
  <c r="X23" i="1"/>
  <c r="X14" i="1"/>
  <c r="X22" i="1"/>
  <c r="X13" i="1"/>
  <c r="X30" i="1"/>
  <c r="X12" i="1"/>
  <c r="X29" i="1"/>
  <c r="X20" i="1"/>
  <c r="X19" i="1"/>
  <c r="X27" i="1"/>
  <c r="X8" i="1"/>
  <c r="X37" i="1"/>
  <c r="X17" i="1"/>
  <c r="X10" i="1"/>
  <c r="X18" i="1"/>
  <c r="X26" i="1"/>
  <c r="A30" i="11"/>
  <c r="C30" i="11" s="1"/>
  <c r="E30" i="11" s="1"/>
  <c r="A73" i="33"/>
  <c r="C73" i="33" s="1"/>
  <c r="E61" i="33"/>
  <c r="G61" i="33"/>
  <c r="E49" i="33"/>
  <c r="G49" i="33"/>
  <c r="E47" i="33"/>
  <c r="G47" i="33"/>
  <c r="E50" i="33"/>
  <c r="G50" i="33"/>
  <c r="E51" i="33"/>
  <c r="G51" i="33"/>
  <c r="E60" i="33"/>
  <c r="G60" i="33"/>
  <c r="A31" i="11"/>
  <c r="C31" i="11" s="1"/>
  <c r="E31" i="11" s="1"/>
  <c r="A74" i="33"/>
  <c r="C74" i="33" s="1"/>
  <c r="E23" i="33"/>
  <c r="E12" i="33"/>
  <c r="G12" i="33"/>
  <c r="E27" i="33"/>
  <c r="E17" i="33"/>
  <c r="A37" i="26"/>
  <c r="C37" i="26" s="1"/>
  <c r="E37" i="26" s="1"/>
  <c r="A37" i="39"/>
  <c r="C37" i="39" s="1"/>
  <c r="E11" i="33"/>
  <c r="A33" i="26"/>
  <c r="C33" i="26" s="1"/>
  <c r="E33" i="26" s="1"/>
  <c r="A33" i="39"/>
  <c r="C33" i="39" s="1"/>
  <c r="E6" i="33"/>
  <c r="G6" i="33"/>
  <c r="E5" i="33"/>
  <c r="G5" i="33"/>
  <c r="G21" i="33"/>
  <c r="E21" i="33"/>
  <c r="A38" i="26"/>
  <c r="C38" i="26" s="1"/>
  <c r="E38" i="26" s="1"/>
  <c r="A38" i="39"/>
  <c r="C38" i="39" s="1"/>
  <c r="E9" i="33"/>
  <c r="A42" i="26"/>
  <c r="C42" i="26" s="1"/>
  <c r="A42" i="39"/>
  <c r="C42" i="39" s="1"/>
  <c r="P9" i="4"/>
  <c r="A4" i="33"/>
  <c r="C4" i="33" s="1"/>
  <c r="G14" i="33"/>
  <c r="E14" i="33"/>
  <c r="E24" i="33"/>
  <c r="E28" i="33"/>
  <c r="G28" i="33"/>
  <c r="E18" i="33"/>
  <c r="G18" i="33"/>
  <c r="E7" i="33"/>
  <c r="E8" i="33"/>
  <c r="E16" i="33"/>
  <c r="G26" i="33"/>
  <c r="E26" i="33"/>
  <c r="E13" i="33"/>
  <c r="E29" i="33"/>
  <c r="G29" i="33"/>
  <c r="A34" i="26"/>
  <c r="C34" i="26" s="1"/>
  <c r="G34" i="26" s="1"/>
  <c r="A34" i="39"/>
  <c r="C34" i="39" s="1"/>
  <c r="E22" i="33"/>
  <c r="G22" i="33"/>
  <c r="G15" i="33"/>
  <c r="E15" i="33"/>
  <c r="E10" i="33"/>
  <c r="E20" i="33"/>
  <c r="E19" i="33"/>
  <c r="E25" i="33"/>
  <c r="E30" i="33"/>
  <c r="G30" i="33"/>
  <c r="E42" i="26"/>
  <c r="G37" i="6"/>
  <c r="E37" i="6"/>
  <c r="E42" i="6"/>
  <c r="E33" i="6"/>
  <c r="G38" i="6"/>
  <c r="E38" i="6"/>
  <c r="E34" i="6"/>
  <c r="P35" i="1"/>
  <c r="P25" i="1"/>
  <c r="P34" i="1"/>
  <c r="P37" i="1"/>
  <c r="P20" i="1"/>
  <c r="A15" i="11"/>
  <c r="C15" i="11" s="1"/>
  <c r="P21" i="1"/>
  <c r="A16" i="11"/>
  <c r="C16" i="11" s="1"/>
  <c r="E32" i="11"/>
  <c r="P12" i="1"/>
  <c r="A7" i="11"/>
  <c r="C7" i="11" s="1"/>
  <c r="P13" i="1"/>
  <c r="A8" i="11"/>
  <c r="C8" i="11" s="1"/>
  <c r="P22" i="1"/>
  <c r="A17" i="11"/>
  <c r="C17" i="11" s="1"/>
  <c r="P29" i="1"/>
  <c r="A24" i="11"/>
  <c r="C24" i="11" s="1"/>
  <c r="P27" i="1"/>
  <c r="A22" i="11"/>
  <c r="C22" i="11" s="1"/>
  <c r="P30" i="1"/>
  <c r="A25" i="11"/>
  <c r="C25" i="11" s="1"/>
  <c r="P32" i="1"/>
  <c r="A27" i="11"/>
  <c r="C27" i="11" s="1"/>
  <c r="P10" i="1"/>
  <c r="A5" i="11"/>
  <c r="C5" i="11" s="1"/>
  <c r="P23" i="1"/>
  <c r="A18" i="11"/>
  <c r="C18" i="11" s="1"/>
  <c r="P31" i="1"/>
  <c r="A26" i="11"/>
  <c r="C26" i="11" s="1"/>
  <c r="P33" i="1"/>
  <c r="A28" i="11"/>
  <c r="C28" i="11" s="1"/>
  <c r="P36" i="1"/>
  <c r="G30" i="11"/>
  <c r="P7" i="1"/>
  <c r="A2" i="11"/>
  <c r="C2" i="11" s="1"/>
  <c r="P17" i="1"/>
  <c r="A12" i="11"/>
  <c r="C12" i="11" s="1"/>
  <c r="P11" i="1"/>
  <c r="A6" i="11"/>
  <c r="C6" i="11" s="1"/>
  <c r="P19" i="1"/>
  <c r="A14" i="11"/>
  <c r="C14" i="11" s="1"/>
  <c r="P24" i="1"/>
  <c r="A19" i="11"/>
  <c r="C19" i="11" s="1"/>
  <c r="P26" i="1"/>
  <c r="A21" i="11"/>
  <c r="C21" i="11" s="1"/>
  <c r="E29" i="11"/>
  <c r="P9" i="1"/>
  <c r="A4" i="11"/>
  <c r="C4" i="11" s="1"/>
  <c r="P8" i="1"/>
  <c r="A3" i="11"/>
  <c r="C3" i="11" s="1"/>
  <c r="P14" i="1"/>
  <c r="A9" i="11"/>
  <c r="C9" i="11" s="1"/>
  <c r="E20" i="11"/>
  <c r="P15" i="1"/>
  <c r="A10" i="11"/>
  <c r="C10" i="11" s="1"/>
  <c r="P16" i="1"/>
  <c r="A11" i="11"/>
  <c r="C11" i="11" s="1"/>
  <c r="P18" i="1"/>
  <c r="A13" i="11"/>
  <c r="C13" i="11" s="1"/>
  <c r="P28" i="1"/>
  <c r="A23" i="11"/>
  <c r="C23" i="11" s="1"/>
  <c r="P27" i="4"/>
  <c r="A22" i="10"/>
  <c r="C22" i="10" s="1"/>
  <c r="P30" i="4"/>
  <c r="A25" i="10"/>
  <c r="C25" i="10" s="1"/>
  <c r="P28" i="4"/>
  <c r="A23" i="10"/>
  <c r="C23" i="10" s="1"/>
  <c r="P16" i="4"/>
  <c r="A11" i="10"/>
  <c r="C11" i="10" s="1"/>
  <c r="P20" i="4"/>
  <c r="A15" i="10"/>
  <c r="C15" i="10" s="1"/>
  <c r="P23" i="4"/>
  <c r="A18" i="10"/>
  <c r="C18" i="10" s="1"/>
  <c r="P17" i="4"/>
  <c r="A12" i="10"/>
  <c r="C12" i="10" s="1"/>
  <c r="P32" i="4"/>
  <c r="A27" i="10"/>
  <c r="C27" i="10" s="1"/>
  <c r="P25" i="4"/>
  <c r="A20" i="10"/>
  <c r="C20" i="10" s="1"/>
  <c r="P14" i="4"/>
  <c r="A9" i="10"/>
  <c r="C9" i="10" s="1"/>
  <c r="P22" i="4"/>
  <c r="A17" i="10"/>
  <c r="C17" i="10" s="1"/>
  <c r="P11" i="4"/>
  <c r="A6" i="10"/>
  <c r="C6" i="10" s="1"/>
  <c r="P10" i="4"/>
  <c r="A5" i="10"/>
  <c r="C5" i="10" s="1"/>
  <c r="P26" i="4"/>
  <c r="A21" i="10"/>
  <c r="C21" i="10" s="1"/>
  <c r="P35" i="4"/>
  <c r="A30" i="10"/>
  <c r="C30" i="10" s="1"/>
  <c r="P12" i="4"/>
  <c r="A7" i="10"/>
  <c r="C7" i="10" s="1"/>
  <c r="A4" i="10"/>
  <c r="C4" i="10" s="1"/>
  <c r="P19" i="4"/>
  <c r="A14" i="10"/>
  <c r="C14" i="10" s="1"/>
  <c r="P29" i="4"/>
  <c r="A24" i="10"/>
  <c r="C24" i="10" s="1"/>
  <c r="P33" i="4"/>
  <c r="A28" i="10"/>
  <c r="C28" i="10" s="1"/>
  <c r="P15" i="4"/>
  <c r="A10" i="10"/>
  <c r="C10" i="10" s="1"/>
  <c r="P24" i="4"/>
  <c r="A19" i="10"/>
  <c r="C19" i="10" s="1"/>
  <c r="P13" i="4"/>
  <c r="A8" i="10"/>
  <c r="C8" i="10" s="1"/>
  <c r="P21" i="4"/>
  <c r="A16" i="10"/>
  <c r="C16" i="10" s="1"/>
  <c r="P31" i="4"/>
  <c r="A26" i="10"/>
  <c r="C26" i="10" s="1"/>
  <c r="P18" i="4"/>
  <c r="A13" i="10"/>
  <c r="C13" i="10" s="1"/>
  <c r="P34" i="4"/>
  <c r="A29" i="10"/>
  <c r="C29" i="10" s="1"/>
  <c r="B48" i="40" l="1"/>
  <c r="B47" i="40"/>
  <c r="D2" i="40"/>
  <c r="F2" i="46"/>
  <c r="I6" i="46" s="1"/>
  <c r="I4" i="46"/>
  <c r="G25" i="33"/>
  <c r="G13" i="33"/>
  <c r="E38" i="40"/>
  <c r="G38" i="40"/>
  <c r="G19" i="33"/>
  <c r="G42" i="26"/>
  <c r="G24" i="33"/>
  <c r="G9" i="33"/>
  <c r="G34" i="6"/>
  <c r="G20" i="33"/>
  <c r="G8" i="33"/>
  <c r="E34" i="26"/>
  <c r="G32" i="11"/>
  <c r="G20" i="11"/>
  <c r="G29" i="11"/>
  <c r="G31" i="11"/>
  <c r="F2" i="8"/>
  <c r="I6" i="8" s="1"/>
  <c r="I4" i="8"/>
  <c r="F2" i="11"/>
  <c r="I6" i="11" s="1"/>
  <c r="I4" i="11"/>
  <c r="F2" i="27"/>
  <c r="I6" i="27" s="1"/>
  <c r="I4" i="27"/>
  <c r="W39" i="4"/>
  <c r="A34" i="40" s="1"/>
  <c r="C34" i="40" s="1"/>
  <c r="G16" i="33"/>
  <c r="G17" i="33"/>
  <c r="G33" i="6"/>
  <c r="G10" i="33"/>
  <c r="G27" i="33"/>
  <c r="W38" i="4"/>
  <c r="A33" i="40" s="1"/>
  <c r="C33" i="40" s="1"/>
  <c r="G11" i="33"/>
  <c r="F35" i="33"/>
  <c r="G35" i="33"/>
  <c r="F2" i="6"/>
  <c r="I4" i="6"/>
  <c r="G44" i="26"/>
  <c r="E44" i="26"/>
  <c r="F32" i="10"/>
  <c r="G32" i="10"/>
  <c r="F39" i="33"/>
  <c r="G39" i="33"/>
  <c r="F44" i="10"/>
  <c r="G44" i="10"/>
  <c r="I4" i="10"/>
  <c r="F2" i="10"/>
  <c r="F36" i="6"/>
  <c r="G36" i="6"/>
  <c r="F41" i="10"/>
  <c r="G41" i="10"/>
  <c r="D2" i="39"/>
  <c r="F34" i="33"/>
  <c r="G34" i="33"/>
  <c r="F43" i="6"/>
  <c r="G43" i="6"/>
  <c r="W49" i="4"/>
  <c r="A44" i="40" s="1"/>
  <c r="C44" i="40" s="1"/>
  <c r="B32" i="39"/>
  <c r="D32" i="39" s="1"/>
  <c r="W37" i="4"/>
  <c r="A32" i="40" s="1"/>
  <c r="C32" i="40" s="1"/>
  <c r="F31" i="10"/>
  <c r="G31" i="10"/>
  <c r="F37" i="33"/>
  <c r="G37" i="33"/>
  <c r="G23" i="33"/>
  <c r="F36" i="10"/>
  <c r="G36" i="10"/>
  <c r="F42" i="33"/>
  <c r="G42" i="33"/>
  <c r="B41" i="39"/>
  <c r="D41" i="39" s="1"/>
  <c r="W46" i="4"/>
  <c r="A41" i="40" s="1"/>
  <c r="C41" i="40" s="1"/>
  <c r="F2" i="26"/>
  <c r="I4" i="26"/>
  <c r="B43" i="39"/>
  <c r="D43" i="39" s="1"/>
  <c r="W48" i="4"/>
  <c r="A43" i="40" s="1"/>
  <c r="C43" i="40" s="1"/>
  <c r="W47" i="4"/>
  <c r="A42" i="40" s="1"/>
  <c r="C42" i="40" s="1"/>
  <c r="F40" i="10"/>
  <c r="G40" i="10"/>
  <c r="F32" i="26"/>
  <c r="G32" i="26"/>
  <c r="B31" i="39"/>
  <c r="D31" i="39" s="1"/>
  <c r="W36" i="4"/>
  <c r="A31" i="40" s="1"/>
  <c r="C31" i="40" s="1"/>
  <c r="F38" i="10"/>
  <c r="G38" i="10"/>
  <c r="F44" i="33"/>
  <c r="G44" i="33"/>
  <c r="F33" i="33"/>
  <c r="G33" i="33"/>
  <c r="F32" i="6"/>
  <c r="G32" i="6"/>
  <c r="B36" i="39"/>
  <c r="D36" i="39" s="1"/>
  <c r="W41" i="4"/>
  <c r="A36" i="40" s="1"/>
  <c r="C36" i="40" s="1"/>
  <c r="F35" i="10"/>
  <c r="G35" i="10"/>
  <c r="F41" i="26"/>
  <c r="G41" i="26"/>
  <c r="F2" i="33"/>
  <c r="I4" i="33"/>
  <c r="F43" i="26"/>
  <c r="G43" i="26"/>
  <c r="F40" i="6"/>
  <c r="G40" i="6"/>
  <c r="F32" i="33"/>
  <c r="G32" i="33"/>
  <c r="F39" i="10"/>
  <c r="G39" i="10"/>
  <c r="F31" i="26"/>
  <c r="G31" i="26"/>
  <c r="F43" i="10"/>
  <c r="G43" i="10"/>
  <c r="G37" i="26"/>
  <c r="F36" i="26"/>
  <c r="G36" i="26"/>
  <c r="F35" i="6"/>
  <c r="G35" i="6"/>
  <c r="F41" i="33"/>
  <c r="G41" i="33"/>
  <c r="Z7" i="4"/>
  <c r="R7" i="4"/>
  <c r="Y7" i="4" s="1"/>
  <c r="F43" i="33"/>
  <c r="G43" i="33"/>
  <c r="B40" i="39"/>
  <c r="D40" i="39" s="1"/>
  <c r="W45" i="4"/>
  <c r="A40" i="40" s="1"/>
  <c r="C40" i="40" s="1"/>
  <c r="F39" i="6"/>
  <c r="G39" i="6"/>
  <c r="F31" i="33"/>
  <c r="G31" i="33"/>
  <c r="F41" i="6"/>
  <c r="G41" i="6"/>
  <c r="E44" i="39"/>
  <c r="G44" i="39"/>
  <c r="F31" i="6"/>
  <c r="G31" i="6"/>
  <c r="G7" i="33"/>
  <c r="F36" i="33"/>
  <c r="G36" i="33"/>
  <c r="B35" i="39"/>
  <c r="D35" i="39" s="1"/>
  <c r="W40" i="4"/>
  <c r="A35" i="40" s="1"/>
  <c r="C35" i="40" s="1"/>
  <c r="F34" i="10"/>
  <c r="G34" i="10"/>
  <c r="F33" i="10"/>
  <c r="G33" i="10"/>
  <c r="F40" i="26"/>
  <c r="G40" i="26"/>
  <c r="B39" i="39"/>
  <c r="D39" i="39" s="1"/>
  <c r="W44" i="4"/>
  <c r="A39" i="40" s="1"/>
  <c r="C39" i="40" s="1"/>
  <c r="W42" i="4"/>
  <c r="A37" i="40" s="1"/>
  <c r="C37" i="40" s="1"/>
  <c r="F38" i="33"/>
  <c r="G38" i="33"/>
  <c r="G42" i="6"/>
  <c r="F42" i="10"/>
  <c r="G42" i="10"/>
  <c r="F35" i="26"/>
  <c r="G35" i="26"/>
  <c r="R8" i="4"/>
  <c r="Z8" i="4"/>
  <c r="F40" i="33"/>
  <c r="G40" i="33"/>
  <c r="F39" i="26"/>
  <c r="G39" i="26"/>
  <c r="F37" i="10"/>
  <c r="G37" i="10"/>
  <c r="E74" i="33"/>
  <c r="G74" i="33"/>
  <c r="E73" i="33"/>
  <c r="G73" i="33"/>
  <c r="E75" i="33"/>
  <c r="G75" i="33"/>
  <c r="G72" i="33"/>
  <c r="E72" i="33"/>
  <c r="E63" i="33"/>
  <c r="G63" i="33"/>
  <c r="G33" i="26"/>
  <c r="G38" i="26"/>
  <c r="E38" i="39"/>
  <c r="G38" i="39"/>
  <c r="G34" i="39"/>
  <c r="E34" i="39"/>
  <c r="E42" i="39"/>
  <c r="G42" i="39"/>
  <c r="G4" i="33"/>
  <c r="E4" i="33"/>
  <c r="E33" i="39"/>
  <c r="G33" i="39"/>
  <c r="E37" i="39"/>
  <c r="G37" i="39"/>
  <c r="A31" i="27"/>
  <c r="C31" i="27" s="1"/>
  <c r="A31" i="8"/>
  <c r="C31" i="8" s="1"/>
  <c r="A5" i="27"/>
  <c r="C5" i="27" s="1"/>
  <c r="A5" i="8"/>
  <c r="C5" i="8" s="1"/>
  <c r="A22" i="27"/>
  <c r="C22" i="27" s="1"/>
  <c r="A22" i="8"/>
  <c r="C22" i="8" s="1"/>
  <c r="A7" i="27"/>
  <c r="C7" i="27" s="1"/>
  <c r="A7" i="8"/>
  <c r="C7" i="8" s="1"/>
  <c r="A29" i="27"/>
  <c r="C29" i="27" s="1"/>
  <c r="A29" i="8"/>
  <c r="C29" i="8" s="1"/>
  <c r="A6" i="27"/>
  <c r="C6" i="27" s="1"/>
  <c r="A6" i="8"/>
  <c r="C6" i="8" s="1"/>
  <c r="A20" i="27"/>
  <c r="C20" i="27" s="1"/>
  <c r="A20" i="8"/>
  <c r="C20" i="8" s="1"/>
  <c r="A28" i="27"/>
  <c r="C28" i="27" s="1"/>
  <c r="A28" i="8"/>
  <c r="C28" i="8" s="1"/>
  <c r="A24" i="27"/>
  <c r="C24" i="27" s="1"/>
  <c r="A24" i="8"/>
  <c r="C24" i="8" s="1"/>
  <c r="A30" i="27"/>
  <c r="C30" i="27" s="1"/>
  <c r="A30" i="8"/>
  <c r="C30" i="8" s="1"/>
  <c r="A10" i="27"/>
  <c r="C10" i="27" s="1"/>
  <c r="A10" i="8"/>
  <c r="C10" i="8" s="1"/>
  <c r="A32" i="27"/>
  <c r="C32" i="27" s="1"/>
  <c r="A32" i="8"/>
  <c r="C32" i="8" s="1"/>
  <c r="A23" i="27"/>
  <c r="C23" i="27" s="1"/>
  <c r="A23" i="8"/>
  <c r="C23" i="8" s="1"/>
  <c r="G23" i="8" s="1"/>
  <c r="A13" i="27"/>
  <c r="C13" i="27" s="1"/>
  <c r="A13" i="8"/>
  <c r="C13" i="8" s="1"/>
  <c r="E13" i="8" s="1"/>
  <c r="A9" i="27"/>
  <c r="C9" i="27" s="1"/>
  <c r="A9" i="8"/>
  <c r="C9" i="8" s="1"/>
  <c r="A21" i="27"/>
  <c r="C21" i="27" s="1"/>
  <c r="A21" i="8"/>
  <c r="C21" i="8" s="1"/>
  <c r="A12" i="27"/>
  <c r="C12" i="27" s="1"/>
  <c r="A12" i="8"/>
  <c r="C12" i="8" s="1"/>
  <c r="A26" i="27"/>
  <c r="C26" i="27" s="1"/>
  <c r="A26" i="8"/>
  <c r="C26" i="8" s="1"/>
  <c r="A27" i="27"/>
  <c r="C27" i="27" s="1"/>
  <c r="A27" i="8"/>
  <c r="C27" i="8" s="1"/>
  <c r="E27" i="8" s="1"/>
  <c r="A17" i="27"/>
  <c r="C17" i="27" s="1"/>
  <c r="A17" i="8"/>
  <c r="C17" i="8" s="1"/>
  <c r="A16" i="27"/>
  <c r="C16" i="27" s="1"/>
  <c r="A16" i="8"/>
  <c r="C16" i="8" s="1"/>
  <c r="E16" i="8" s="1"/>
  <c r="A14" i="27"/>
  <c r="C14" i="27" s="1"/>
  <c r="A14" i="8"/>
  <c r="C14" i="8" s="1"/>
  <c r="A11" i="27"/>
  <c r="C11" i="27" s="1"/>
  <c r="A11" i="8"/>
  <c r="C11" i="8" s="1"/>
  <c r="A3" i="27"/>
  <c r="C3" i="27" s="1"/>
  <c r="A3" i="8"/>
  <c r="C3" i="8" s="1"/>
  <c r="A19" i="27"/>
  <c r="C19" i="27" s="1"/>
  <c r="A19" i="8"/>
  <c r="C19" i="8" s="1"/>
  <c r="A2" i="27"/>
  <c r="C2" i="27" s="1"/>
  <c r="A2" i="8"/>
  <c r="C2" i="8" s="1"/>
  <c r="G2" i="8" s="1"/>
  <c r="A4" i="27"/>
  <c r="C4" i="27" s="1"/>
  <c r="A4" i="8"/>
  <c r="C4" i="8" s="1"/>
  <c r="A18" i="27"/>
  <c r="C18" i="27" s="1"/>
  <c r="A18" i="8"/>
  <c r="C18" i="8" s="1"/>
  <c r="A25" i="27"/>
  <c r="C25" i="27" s="1"/>
  <c r="A25" i="8"/>
  <c r="C25" i="8" s="1"/>
  <c r="A8" i="27"/>
  <c r="C8" i="27" s="1"/>
  <c r="A8" i="8"/>
  <c r="C8" i="8" s="1"/>
  <c r="A15" i="27"/>
  <c r="C15" i="27" s="1"/>
  <c r="A15" i="8"/>
  <c r="C15" i="8" s="1"/>
  <c r="W26" i="4"/>
  <c r="A21" i="40" s="1"/>
  <c r="C21" i="40" s="1"/>
  <c r="A21" i="6"/>
  <c r="C21" i="6" s="1"/>
  <c r="W28" i="4"/>
  <c r="A23" i="40" s="1"/>
  <c r="C23" i="40" s="1"/>
  <c r="A23" i="6"/>
  <c r="C23" i="6" s="1"/>
  <c r="W34" i="4"/>
  <c r="A29" i="40" s="1"/>
  <c r="C29" i="40" s="1"/>
  <c r="A29" i="6"/>
  <c r="C29" i="6" s="1"/>
  <c r="E29" i="6" s="1"/>
  <c r="W29" i="4"/>
  <c r="A24" i="40" s="1"/>
  <c r="C24" i="40" s="1"/>
  <c r="A24" i="6"/>
  <c r="C24" i="6" s="1"/>
  <c r="W27" i="4"/>
  <c r="A22" i="40" s="1"/>
  <c r="C22" i="40" s="1"/>
  <c r="A22" i="6"/>
  <c r="C22" i="6" s="1"/>
  <c r="W18" i="4"/>
  <c r="A13" i="40" s="1"/>
  <c r="C13" i="40" s="1"/>
  <c r="A13" i="6"/>
  <c r="C13" i="6" s="1"/>
  <c r="E13" i="6" s="1"/>
  <c r="W19" i="4"/>
  <c r="A14" i="40" s="1"/>
  <c r="C14" i="40" s="1"/>
  <c r="A14" i="6"/>
  <c r="C14" i="6" s="1"/>
  <c r="W22" i="4"/>
  <c r="A17" i="40" s="1"/>
  <c r="C17" i="40" s="1"/>
  <c r="A17" i="6"/>
  <c r="C17" i="6" s="1"/>
  <c r="W17" i="4"/>
  <c r="A12" i="40" s="1"/>
  <c r="C12" i="40" s="1"/>
  <c r="A12" i="6"/>
  <c r="C12" i="6" s="1"/>
  <c r="W13" i="4"/>
  <c r="A8" i="40" s="1"/>
  <c r="C8" i="40" s="1"/>
  <c r="A8" i="6"/>
  <c r="C8" i="6" s="1"/>
  <c r="E8" i="6" s="1"/>
  <c r="W32" i="4"/>
  <c r="A27" i="40" s="1"/>
  <c r="C27" i="40" s="1"/>
  <c r="A27" i="6"/>
  <c r="C27" i="6" s="1"/>
  <c r="G27" i="6" s="1"/>
  <c r="W24" i="4"/>
  <c r="A19" i="40" s="1"/>
  <c r="C19" i="40" s="1"/>
  <c r="A19" i="6"/>
  <c r="C19" i="6" s="1"/>
  <c r="W31" i="4"/>
  <c r="A26" i="40" s="1"/>
  <c r="C26" i="40" s="1"/>
  <c r="A26" i="6"/>
  <c r="C26" i="6" s="1"/>
  <c r="W15" i="4"/>
  <c r="A10" i="40" s="1"/>
  <c r="C10" i="40" s="1"/>
  <c r="A10" i="6"/>
  <c r="C10" i="6" s="1"/>
  <c r="W9" i="4"/>
  <c r="A4" i="40" s="1"/>
  <c r="C4" i="40" s="1"/>
  <c r="A4" i="6"/>
  <c r="C4" i="6" s="1"/>
  <c r="W10" i="4"/>
  <c r="A5" i="40" s="1"/>
  <c r="C5" i="40" s="1"/>
  <c r="A5" i="6"/>
  <c r="C5" i="6" s="1"/>
  <c r="W14" i="4"/>
  <c r="A9" i="40" s="1"/>
  <c r="C9" i="40" s="1"/>
  <c r="A9" i="6"/>
  <c r="C9" i="6" s="1"/>
  <c r="W23" i="4"/>
  <c r="A18" i="40" s="1"/>
  <c r="C18" i="40" s="1"/>
  <c r="A18" i="6"/>
  <c r="C18" i="6" s="1"/>
  <c r="W30" i="4"/>
  <c r="A25" i="40" s="1"/>
  <c r="C25" i="40" s="1"/>
  <c r="A25" i="6"/>
  <c r="C25" i="6" s="1"/>
  <c r="G25" i="6" s="1"/>
  <c r="W35" i="4"/>
  <c r="A30" i="40" s="1"/>
  <c r="C30" i="40" s="1"/>
  <c r="A30" i="6"/>
  <c r="C30" i="6" s="1"/>
  <c r="W16" i="4"/>
  <c r="A11" i="40" s="1"/>
  <c r="C11" i="40" s="1"/>
  <c r="A11" i="6"/>
  <c r="C11" i="6" s="1"/>
  <c r="E11" i="6" s="1"/>
  <c r="W21" i="4"/>
  <c r="A16" i="40" s="1"/>
  <c r="C16" i="40" s="1"/>
  <c r="A16" i="6"/>
  <c r="C16" i="6" s="1"/>
  <c r="W33" i="4"/>
  <c r="A28" i="40" s="1"/>
  <c r="C28" i="40" s="1"/>
  <c r="A28" i="6"/>
  <c r="C28" i="6" s="1"/>
  <c r="W12" i="4"/>
  <c r="A7" i="40" s="1"/>
  <c r="C7" i="40" s="1"/>
  <c r="A7" i="6"/>
  <c r="C7" i="6" s="1"/>
  <c r="E7" i="6" s="1"/>
  <c r="W11" i="4"/>
  <c r="A6" i="40" s="1"/>
  <c r="C6" i="40" s="1"/>
  <c r="A6" i="6"/>
  <c r="C6" i="6" s="1"/>
  <c r="W25" i="4"/>
  <c r="A20" i="40" s="1"/>
  <c r="C20" i="40" s="1"/>
  <c r="A20" i="6"/>
  <c r="C20" i="6" s="1"/>
  <c r="W20" i="4"/>
  <c r="A15" i="40" s="1"/>
  <c r="C15" i="40" s="1"/>
  <c r="A15" i="6"/>
  <c r="C15" i="6" s="1"/>
  <c r="G5" i="11"/>
  <c r="E5" i="11"/>
  <c r="E22" i="11"/>
  <c r="G22" i="11"/>
  <c r="E7" i="11"/>
  <c r="G7" i="11"/>
  <c r="G23" i="11"/>
  <c r="E23" i="11"/>
  <c r="E6" i="11"/>
  <c r="G6" i="11"/>
  <c r="E28" i="11"/>
  <c r="G28" i="11"/>
  <c r="E24" i="11"/>
  <c r="G24" i="11"/>
  <c r="G13" i="11"/>
  <c r="E13" i="11"/>
  <c r="E9" i="11"/>
  <c r="G9" i="11"/>
  <c r="E21" i="11"/>
  <c r="G21" i="11"/>
  <c r="E12" i="11"/>
  <c r="G12" i="11"/>
  <c r="G26" i="11"/>
  <c r="E26" i="11"/>
  <c r="E27" i="11"/>
  <c r="G27" i="11"/>
  <c r="E17" i="11"/>
  <c r="G17" i="11"/>
  <c r="E16" i="11"/>
  <c r="G16" i="11"/>
  <c r="E11" i="11"/>
  <c r="G11" i="11"/>
  <c r="E3" i="11"/>
  <c r="G3" i="11"/>
  <c r="G19" i="11"/>
  <c r="E19" i="11"/>
  <c r="E2" i="11"/>
  <c r="I24" i="11"/>
  <c r="I3" i="11"/>
  <c r="I25" i="11"/>
  <c r="I2" i="11"/>
  <c r="G2" i="11"/>
  <c r="E18" i="11"/>
  <c r="G18" i="11"/>
  <c r="E25" i="11"/>
  <c r="G25" i="11"/>
  <c r="G8" i="11"/>
  <c r="E8" i="11"/>
  <c r="G15" i="11"/>
  <c r="E15" i="11"/>
  <c r="G10" i="11"/>
  <c r="E10" i="11"/>
  <c r="E4" i="11"/>
  <c r="G4" i="11"/>
  <c r="E14" i="11"/>
  <c r="G14" i="11"/>
  <c r="E17" i="10"/>
  <c r="G17" i="10"/>
  <c r="E26" i="10"/>
  <c r="G26" i="10"/>
  <c r="E10" i="10"/>
  <c r="G10" i="10"/>
  <c r="G4" i="10"/>
  <c r="E4" i="10"/>
  <c r="G5" i="10"/>
  <c r="E5" i="10"/>
  <c r="G9" i="10"/>
  <c r="E9" i="10"/>
  <c r="G18" i="10"/>
  <c r="E18" i="10"/>
  <c r="G25" i="10"/>
  <c r="E25" i="10"/>
  <c r="G12" i="10"/>
  <c r="E12" i="10"/>
  <c r="G19" i="10"/>
  <c r="E19" i="10"/>
  <c r="G16" i="10"/>
  <c r="E16" i="10"/>
  <c r="E28" i="10"/>
  <c r="G28" i="10"/>
  <c r="E7" i="10"/>
  <c r="G7" i="10"/>
  <c r="E6" i="10"/>
  <c r="G6" i="10"/>
  <c r="E20" i="10"/>
  <c r="G20" i="10"/>
  <c r="E15" i="10"/>
  <c r="G15" i="10"/>
  <c r="G14" i="10"/>
  <c r="E14" i="10"/>
  <c r="G13" i="10"/>
  <c r="E13" i="10"/>
  <c r="E21" i="10"/>
  <c r="G21" i="10"/>
  <c r="E29" i="10"/>
  <c r="G29" i="10"/>
  <c r="E8" i="10"/>
  <c r="G8" i="10"/>
  <c r="G24" i="10"/>
  <c r="E24" i="10"/>
  <c r="E30" i="10"/>
  <c r="G30" i="10"/>
  <c r="G27" i="10"/>
  <c r="E27" i="10"/>
  <c r="E11" i="10"/>
  <c r="G11" i="10"/>
  <c r="E22" i="10"/>
  <c r="G22" i="10"/>
  <c r="G23" i="10"/>
  <c r="E23" i="10"/>
  <c r="I4" i="40" l="1"/>
  <c r="F2" i="40"/>
  <c r="I6" i="40" s="1"/>
  <c r="E16" i="40"/>
  <c r="G16" i="40"/>
  <c r="E15" i="40"/>
  <c r="G15" i="40"/>
  <c r="E25" i="40"/>
  <c r="G25" i="40"/>
  <c r="E4" i="40"/>
  <c r="G4" i="40"/>
  <c r="E27" i="40"/>
  <c r="G27" i="40"/>
  <c r="E29" i="40"/>
  <c r="G29" i="40"/>
  <c r="E36" i="40"/>
  <c r="G36" i="40"/>
  <c r="E42" i="40"/>
  <c r="G42" i="40"/>
  <c r="E32" i="40"/>
  <c r="G32" i="40"/>
  <c r="E18" i="40"/>
  <c r="G18" i="40"/>
  <c r="G13" i="40"/>
  <c r="E13" i="40"/>
  <c r="E34" i="40"/>
  <c r="G34" i="40"/>
  <c r="E35" i="40"/>
  <c r="G35" i="40"/>
  <c r="E31" i="40"/>
  <c r="G31" i="40"/>
  <c r="E11" i="40"/>
  <c r="G11" i="40"/>
  <c r="G26" i="40"/>
  <c r="E26" i="40"/>
  <c r="E22" i="40"/>
  <c r="G22" i="40"/>
  <c r="G33" i="40"/>
  <c r="E33" i="40"/>
  <c r="G8" i="40"/>
  <c r="E8" i="40"/>
  <c r="E40" i="40"/>
  <c r="G40" i="40"/>
  <c r="E43" i="40"/>
  <c r="G43" i="40"/>
  <c r="E39" i="40"/>
  <c r="G39" i="40"/>
  <c r="G44" i="40"/>
  <c r="E44" i="40"/>
  <c r="E6" i="40"/>
  <c r="G6" i="40"/>
  <c r="E9" i="40"/>
  <c r="G9" i="40"/>
  <c r="E12" i="40"/>
  <c r="G12" i="40"/>
  <c r="G21" i="40"/>
  <c r="E21" i="40"/>
  <c r="G10" i="40"/>
  <c r="E10" i="40"/>
  <c r="E23" i="40"/>
  <c r="G23" i="40"/>
  <c r="E37" i="40"/>
  <c r="G37" i="40"/>
  <c r="E7" i="40"/>
  <c r="G7" i="40"/>
  <c r="E30" i="40"/>
  <c r="G30" i="40"/>
  <c r="E5" i="40"/>
  <c r="G5" i="40"/>
  <c r="G19" i="40"/>
  <c r="E19" i="40"/>
  <c r="G17" i="40"/>
  <c r="E17" i="40"/>
  <c r="G24" i="40"/>
  <c r="E24" i="40"/>
  <c r="E41" i="40"/>
  <c r="G41" i="40"/>
  <c r="G20" i="40"/>
  <c r="E20" i="40"/>
  <c r="E28" i="40"/>
  <c r="G28" i="40"/>
  <c r="E14" i="40"/>
  <c r="G14" i="40"/>
  <c r="G14" i="8"/>
  <c r="E14" i="8"/>
  <c r="E2" i="8"/>
  <c r="F41" i="39"/>
  <c r="G41" i="39"/>
  <c r="I6" i="10"/>
  <c r="I4" i="39"/>
  <c r="F2" i="39"/>
  <c r="B47" i="39"/>
  <c r="A3" i="10"/>
  <c r="C3" i="10" s="1"/>
  <c r="A3" i="33"/>
  <c r="C3" i="33" s="1"/>
  <c r="P8" i="4"/>
  <c r="F36" i="39"/>
  <c r="G36" i="39"/>
  <c r="F32" i="39"/>
  <c r="G32" i="39"/>
  <c r="B48" i="39"/>
  <c r="I6" i="6"/>
  <c r="F40" i="39"/>
  <c r="G40" i="39"/>
  <c r="F43" i="39"/>
  <c r="G43" i="39"/>
  <c r="A2" i="33"/>
  <c r="C2" i="33" s="1"/>
  <c r="P7" i="4"/>
  <c r="A2" i="10"/>
  <c r="C2" i="10" s="1"/>
  <c r="F39" i="39"/>
  <c r="G39" i="39"/>
  <c r="F35" i="39"/>
  <c r="G35" i="39"/>
  <c r="I6" i="33"/>
  <c r="F31" i="39"/>
  <c r="G31" i="39"/>
  <c r="I6" i="26"/>
  <c r="E10" i="8"/>
  <c r="G10" i="8"/>
  <c r="E22" i="8"/>
  <c r="G22" i="8"/>
  <c r="G6" i="8"/>
  <c r="E6" i="8"/>
  <c r="G27" i="8"/>
  <c r="A18" i="26"/>
  <c r="C18" i="26" s="1"/>
  <c r="G18" i="26" s="1"/>
  <c r="A18" i="39"/>
  <c r="C18" i="39" s="1"/>
  <c r="A6" i="26"/>
  <c r="C6" i="26" s="1"/>
  <c r="A6" i="39"/>
  <c r="C6" i="39" s="1"/>
  <c r="A11" i="26"/>
  <c r="C11" i="26" s="1"/>
  <c r="A11" i="39"/>
  <c r="C11" i="39" s="1"/>
  <c r="A13" i="26"/>
  <c r="C13" i="26" s="1"/>
  <c r="E13" i="26" s="1"/>
  <c r="A13" i="39"/>
  <c r="C13" i="39" s="1"/>
  <c r="A9" i="26"/>
  <c r="C9" i="26" s="1"/>
  <c r="G9" i="26" s="1"/>
  <c r="A9" i="39"/>
  <c r="C9" i="39" s="1"/>
  <c r="A26" i="26"/>
  <c r="C26" i="26" s="1"/>
  <c r="A26" i="39"/>
  <c r="C26" i="39" s="1"/>
  <c r="A12" i="26"/>
  <c r="C12" i="26" s="1"/>
  <c r="A12" i="39"/>
  <c r="C12" i="39" s="1"/>
  <c r="A22" i="26"/>
  <c r="C22" i="26" s="1"/>
  <c r="E22" i="26" s="1"/>
  <c r="A22" i="39"/>
  <c r="C22" i="39" s="1"/>
  <c r="A21" i="26"/>
  <c r="C21" i="26" s="1"/>
  <c r="G21" i="26" s="1"/>
  <c r="A21" i="39"/>
  <c r="C21" i="39" s="1"/>
  <c r="A16" i="26"/>
  <c r="C16" i="26" s="1"/>
  <c r="A16" i="39"/>
  <c r="C16" i="39" s="1"/>
  <c r="A7" i="26"/>
  <c r="C7" i="26" s="1"/>
  <c r="A7" i="39"/>
  <c r="C7" i="39" s="1"/>
  <c r="A30" i="26"/>
  <c r="C30" i="26" s="1"/>
  <c r="E30" i="26" s="1"/>
  <c r="A30" i="39"/>
  <c r="C30" i="39" s="1"/>
  <c r="A5" i="26"/>
  <c r="C5" i="26" s="1"/>
  <c r="E5" i="26" s="1"/>
  <c r="A5" i="39"/>
  <c r="C5" i="39" s="1"/>
  <c r="A19" i="26"/>
  <c r="C19" i="26" s="1"/>
  <c r="G19" i="26" s="1"/>
  <c r="A19" i="39"/>
  <c r="C19" i="39" s="1"/>
  <c r="A17" i="26"/>
  <c r="C17" i="26" s="1"/>
  <c r="E17" i="26" s="1"/>
  <c r="A17" i="39"/>
  <c r="C17" i="39" s="1"/>
  <c r="A24" i="26"/>
  <c r="C24" i="26" s="1"/>
  <c r="E24" i="26" s="1"/>
  <c r="A24" i="39"/>
  <c r="C24" i="39" s="1"/>
  <c r="A20" i="26"/>
  <c r="C20" i="26" s="1"/>
  <c r="G20" i="26" s="1"/>
  <c r="A20" i="39"/>
  <c r="C20" i="39" s="1"/>
  <c r="A10" i="26"/>
  <c r="C10" i="26" s="1"/>
  <c r="G10" i="26" s="1"/>
  <c r="A10" i="39"/>
  <c r="C10" i="39" s="1"/>
  <c r="A23" i="26"/>
  <c r="C23" i="26" s="1"/>
  <c r="A23" i="39"/>
  <c r="C23" i="39" s="1"/>
  <c r="A15" i="26"/>
  <c r="C15" i="26" s="1"/>
  <c r="E15" i="26" s="1"/>
  <c r="A15" i="39"/>
  <c r="C15" i="39" s="1"/>
  <c r="A28" i="26"/>
  <c r="C28" i="26" s="1"/>
  <c r="E28" i="26" s="1"/>
  <c r="A28" i="39"/>
  <c r="C28" i="39" s="1"/>
  <c r="A8" i="26"/>
  <c r="C8" i="26" s="1"/>
  <c r="G8" i="26" s="1"/>
  <c r="A8" i="39"/>
  <c r="C8" i="39" s="1"/>
  <c r="A25" i="26"/>
  <c r="C25" i="26" s="1"/>
  <c r="A25" i="39"/>
  <c r="C25" i="39" s="1"/>
  <c r="A4" i="26"/>
  <c r="C4" i="26" s="1"/>
  <c r="A4" i="39"/>
  <c r="C4" i="39" s="1"/>
  <c r="A27" i="26"/>
  <c r="C27" i="26" s="1"/>
  <c r="G27" i="26" s="1"/>
  <c r="A27" i="39"/>
  <c r="C27" i="39" s="1"/>
  <c r="A14" i="26"/>
  <c r="C14" i="26" s="1"/>
  <c r="G14" i="26" s="1"/>
  <c r="A14" i="39"/>
  <c r="C14" i="39" s="1"/>
  <c r="A29" i="26"/>
  <c r="C29" i="26" s="1"/>
  <c r="G29" i="26" s="1"/>
  <c r="A29" i="39"/>
  <c r="C29" i="39" s="1"/>
  <c r="E17" i="8"/>
  <c r="G17" i="8"/>
  <c r="E12" i="8"/>
  <c r="G12" i="8"/>
  <c r="E11" i="8"/>
  <c r="G11" i="8"/>
  <c r="E21" i="8"/>
  <c r="G21" i="8"/>
  <c r="G15" i="8"/>
  <c r="E15" i="8"/>
  <c r="E30" i="8"/>
  <c r="G30" i="8"/>
  <c r="G24" i="8"/>
  <c r="E24" i="8"/>
  <c r="E9" i="8"/>
  <c r="G9" i="8"/>
  <c r="G32" i="8"/>
  <c r="E32" i="8"/>
  <c r="E5" i="8"/>
  <c r="G5" i="8"/>
  <c r="G4" i="8"/>
  <c r="E4" i="8"/>
  <c r="G19" i="8"/>
  <c r="E19" i="8"/>
  <c r="G26" i="8"/>
  <c r="E26" i="8"/>
  <c r="E31" i="8"/>
  <c r="G31" i="8"/>
  <c r="G25" i="8"/>
  <c r="E25" i="8"/>
  <c r="E28" i="8"/>
  <c r="G28" i="8"/>
  <c r="E18" i="8"/>
  <c r="G18" i="8"/>
  <c r="E3" i="8"/>
  <c r="G3" i="8"/>
  <c r="E20" i="8"/>
  <c r="G20" i="8"/>
  <c r="E7" i="8"/>
  <c r="G7" i="8"/>
  <c r="G30" i="27"/>
  <c r="E30" i="27"/>
  <c r="E8" i="27"/>
  <c r="G8" i="27"/>
  <c r="E27" i="27"/>
  <c r="G27" i="27"/>
  <c r="E10" i="27"/>
  <c r="G10" i="27"/>
  <c r="E22" i="27"/>
  <c r="G22" i="27"/>
  <c r="I3" i="8"/>
  <c r="I25" i="8"/>
  <c r="G8" i="8"/>
  <c r="E8" i="8"/>
  <c r="G4" i="27"/>
  <c r="E4" i="27"/>
  <c r="E3" i="27"/>
  <c r="G3" i="27"/>
  <c r="G21" i="27"/>
  <c r="E21" i="27"/>
  <c r="E28" i="27"/>
  <c r="G28" i="27"/>
  <c r="I24" i="8"/>
  <c r="E16" i="27"/>
  <c r="G16" i="27"/>
  <c r="E23" i="27"/>
  <c r="G23" i="27"/>
  <c r="E29" i="27"/>
  <c r="G29" i="27"/>
  <c r="E25" i="27"/>
  <c r="G25" i="27"/>
  <c r="G5" i="27"/>
  <c r="E5" i="27"/>
  <c r="I2" i="8"/>
  <c r="I19" i="8" s="1"/>
  <c r="G13" i="8"/>
  <c r="I24" i="27"/>
  <c r="I3" i="27"/>
  <c r="G2" i="27"/>
  <c r="E2" i="27"/>
  <c r="I25" i="27"/>
  <c r="I2" i="27"/>
  <c r="E11" i="27"/>
  <c r="G11" i="27"/>
  <c r="G9" i="27"/>
  <c r="E9" i="27"/>
  <c r="G20" i="27"/>
  <c r="E20" i="27"/>
  <c r="E26" i="27"/>
  <c r="G26" i="27"/>
  <c r="G15" i="27"/>
  <c r="E15" i="27"/>
  <c r="G17" i="27"/>
  <c r="E17" i="27"/>
  <c r="G32" i="27"/>
  <c r="E32" i="27"/>
  <c r="G7" i="27"/>
  <c r="E7" i="27"/>
  <c r="G29" i="8"/>
  <c r="E29" i="8"/>
  <c r="I11" i="11"/>
  <c r="G16" i="8"/>
  <c r="G18" i="27"/>
  <c r="E18" i="27"/>
  <c r="G19" i="27"/>
  <c r="E19" i="27"/>
  <c r="G12" i="27"/>
  <c r="E12" i="27"/>
  <c r="E24" i="27"/>
  <c r="G24" i="27"/>
  <c r="E31" i="27"/>
  <c r="G31" i="27"/>
  <c r="E23" i="8"/>
  <c r="G14" i="27"/>
  <c r="E14" i="27"/>
  <c r="G13" i="27"/>
  <c r="E13" i="27"/>
  <c r="E6" i="27"/>
  <c r="G6" i="27"/>
  <c r="G7" i="26"/>
  <c r="E7" i="26"/>
  <c r="E25" i="26"/>
  <c r="G25" i="26"/>
  <c r="E29" i="26"/>
  <c r="E16" i="26"/>
  <c r="G16" i="26"/>
  <c r="E8" i="26"/>
  <c r="G23" i="26"/>
  <c r="E23" i="26"/>
  <c r="E6" i="26"/>
  <c r="G6" i="26"/>
  <c r="E11" i="26"/>
  <c r="G11" i="26"/>
  <c r="E9" i="26"/>
  <c r="G26" i="26"/>
  <c r="E26" i="26"/>
  <c r="G12" i="26"/>
  <c r="E12" i="26"/>
  <c r="E23" i="6"/>
  <c r="G23" i="6"/>
  <c r="G30" i="6"/>
  <c r="E30" i="6"/>
  <c r="G10" i="6"/>
  <c r="E10" i="6"/>
  <c r="E22" i="6"/>
  <c r="G22" i="6"/>
  <c r="G26" i="6"/>
  <c r="E26" i="6"/>
  <c r="G19" i="6"/>
  <c r="E19" i="6"/>
  <c r="G12" i="6"/>
  <c r="E12" i="6"/>
  <c r="G6" i="6"/>
  <c r="E6" i="6"/>
  <c r="E28" i="6"/>
  <c r="G28" i="6"/>
  <c r="E5" i="6"/>
  <c r="G5" i="6"/>
  <c r="E4" i="6"/>
  <c r="G4" i="6"/>
  <c r="G15" i="6"/>
  <c r="E15" i="6"/>
  <c r="G14" i="6"/>
  <c r="E14" i="6"/>
  <c r="E21" i="6"/>
  <c r="G21" i="6"/>
  <c r="E17" i="6"/>
  <c r="G17" i="6"/>
  <c r="G20" i="6"/>
  <c r="E20" i="6"/>
  <c r="E24" i="6"/>
  <c r="G24" i="6"/>
  <c r="G16" i="6"/>
  <c r="E16" i="6"/>
  <c r="E9" i="6"/>
  <c r="G9" i="6"/>
  <c r="G11" i="6"/>
  <c r="G13" i="6"/>
  <c r="G18" i="6"/>
  <c r="E18" i="6"/>
  <c r="E27" i="6"/>
  <c r="G7" i="6"/>
  <c r="G29" i="6"/>
  <c r="E25" i="6"/>
  <c r="G8" i="6"/>
  <c r="I5" i="11"/>
  <c r="I8" i="11" s="1"/>
  <c r="I7" i="11"/>
  <c r="I10" i="11" s="1"/>
  <c r="I20" i="11"/>
  <c r="I9" i="11"/>
  <c r="I19" i="11"/>
  <c r="I12" i="11"/>
  <c r="J190" i="11"/>
  <c r="N190" i="11" s="1"/>
  <c r="J126" i="11"/>
  <c r="N126" i="11" s="1"/>
  <c r="J151" i="11"/>
  <c r="N151" i="11" s="1"/>
  <c r="J184" i="11"/>
  <c r="N184" i="11" s="1"/>
  <c r="J153" i="11"/>
  <c r="N153" i="11" s="1"/>
  <c r="J186" i="11"/>
  <c r="N186" i="11" s="1"/>
  <c r="J187" i="11"/>
  <c r="N187" i="11" s="1"/>
  <c r="J123" i="11"/>
  <c r="N123" i="11" s="1"/>
  <c r="J156" i="11"/>
  <c r="N156" i="11" s="1"/>
  <c r="J136" i="11"/>
  <c r="N136" i="11" s="1"/>
  <c r="J114" i="11"/>
  <c r="N114" i="11" s="1"/>
  <c r="J47" i="11"/>
  <c r="N47" i="11" s="1"/>
  <c r="J73" i="11"/>
  <c r="N73" i="11" s="1"/>
  <c r="J128" i="11"/>
  <c r="N128" i="11" s="1"/>
  <c r="J83" i="11"/>
  <c r="N83" i="11" s="1"/>
  <c r="J80" i="11"/>
  <c r="N80" i="11" s="1"/>
  <c r="J92" i="11"/>
  <c r="N92" i="11" s="1"/>
  <c r="J21" i="11"/>
  <c r="N21" i="11" s="1"/>
  <c r="J31" i="11"/>
  <c r="N31" i="11" s="1"/>
  <c r="J37" i="11"/>
  <c r="N37" i="11" s="1"/>
  <c r="J82" i="11"/>
  <c r="N82" i="11" s="1"/>
  <c r="J105" i="11"/>
  <c r="N105" i="11" s="1"/>
  <c r="J26" i="11"/>
  <c r="N26" i="11" s="1"/>
  <c r="J4" i="11"/>
  <c r="N4" i="11" s="1"/>
  <c r="J56" i="11"/>
  <c r="N56" i="11" s="1"/>
  <c r="J74" i="11"/>
  <c r="N74" i="11" s="1"/>
  <c r="J182" i="11"/>
  <c r="N182" i="11" s="1"/>
  <c r="J143" i="11"/>
  <c r="N143" i="11" s="1"/>
  <c r="J176" i="11"/>
  <c r="N176" i="11" s="1"/>
  <c r="J145" i="11"/>
  <c r="N145" i="11" s="1"/>
  <c r="J179" i="11"/>
  <c r="N179" i="11" s="1"/>
  <c r="J115" i="11"/>
  <c r="N115" i="11" s="1"/>
  <c r="J148" i="11"/>
  <c r="N148" i="11" s="1"/>
  <c r="J133" i="11"/>
  <c r="N133" i="11" s="1"/>
  <c r="J181" i="11"/>
  <c r="N181" i="11" s="1"/>
  <c r="J65" i="11"/>
  <c r="N65" i="11" s="1"/>
  <c r="J125" i="11"/>
  <c r="N125" i="11" s="1"/>
  <c r="J75" i="11"/>
  <c r="N75" i="11" s="1"/>
  <c r="J72" i="11"/>
  <c r="N72" i="11" s="1"/>
  <c r="J15" i="11"/>
  <c r="N15" i="11" s="1"/>
  <c r="J109" i="11"/>
  <c r="N109" i="11" s="1"/>
  <c r="J35" i="11"/>
  <c r="N35" i="11" s="1"/>
  <c r="J64" i="11"/>
  <c r="N64" i="11" s="1"/>
  <c r="J17" i="11"/>
  <c r="N17" i="11" s="1"/>
  <c r="J62" i="11"/>
  <c r="N62" i="11" s="1"/>
  <c r="J46" i="11"/>
  <c r="N46" i="11" s="1"/>
  <c r="J199" i="11"/>
  <c r="N199" i="11" s="1"/>
  <c r="J204" i="11"/>
  <c r="N204" i="11" s="1"/>
  <c r="J122" i="11"/>
  <c r="N122" i="11" s="1"/>
  <c r="J2" i="11"/>
  <c r="N2" i="11" s="1"/>
  <c r="J118" i="11"/>
  <c r="N118" i="11" s="1"/>
  <c r="J178" i="11"/>
  <c r="N178" i="11" s="1"/>
  <c r="J104" i="11"/>
  <c r="N104" i="11" s="1"/>
  <c r="J69" i="11"/>
  <c r="N69" i="11" s="1"/>
  <c r="J76" i="11"/>
  <c r="N76" i="11" s="1"/>
  <c r="J135" i="11"/>
  <c r="N135" i="11" s="1"/>
  <c r="J171" i="11"/>
  <c r="N171" i="11" s="1"/>
  <c r="J95" i="11"/>
  <c r="N95" i="11" s="1"/>
  <c r="J67" i="11"/>
  <c r="N67" i="11" s="1"/>
  <c r="J20" i="11"/>
  <c r="N20" i="11" s="1"/>
  <c r="J27" i="11"/>
  <c r="N27" i="11" s="1"/>
  <c r="J166" i="11"/>
  <c r="N166" i="11" s="1"/>
  <c r="J191" i="11"/>
  <c r="N191" i="11" s="1"/>
  <c r="J127" i="11"/>
  <c r="N127" i="11" s="1"/>
  <c r="J193" i="11"/>
  <c r="N193" i="11" s="1"/>
  <c r="J129" i="11"/>
  <c r="N129" i="11" s="1"/>
  <c r="J162" i="11"/>
  <c r="N162" i="11" s="1"/>
  <c r="J163" i="11"/>
  <c r="N163" i="11" s="1"/>
  <c r="J196" i="11"/>
  <c r="N196" i="11" s="1"/>
  <c r="J132" i="11"/>
  <c r="N132" i="11" s="1"/>
  <c r="J110" i="11"/>
  <c r="N110" i="11" s="1"/>
  <c r="J87" i="11"/>
  <c r="N87" i="11" s="1"/>
  <c r="J141" i="11"/>
  <c r="N141" i="11" s="1"/>
  <c r="J49" i="11"/>
  <c r="N49" i="11" s="1"/>
  <c r="J107" i="11"/>
  <c r="N107" i="11" s="1"/>
  <c r="J59" i="11"/>
  <c r="N59" i="11" s="1"/>
  <c r="J25" i="11"/>
  <c r="N25" i="11" s="1"/>
  <c r="J50" i="11"/>
  <c r="N50" i="11" s="1"/>
  <c r="J90" i="11"/>
  <c r="N90" i="11" s="1"/>
  <c r="J66" i="11"/>
  <c r="N66" i="11" s="1"/>
  <c r="J23" i="11"/>
  <c r="N23" i="11" s="1"/>
  <c r="J13" i="11"/>
  <c r="N13" i="11" s="1"/>
  <c r="J36" i="11"/>
  <c r="N36" i="11" s="1"/>
  <c r="J44" i="11"/>
  <c r="N44" i="11" s="1"/>
  <c r="J14" i="11"/>
  <c r="N14" i="11" s="1"/>
  <c r="J5" i="11"/>
  <c r="N5" i="11" s="1"/>
  <c r="J140" i="11"/>
  <c r="N140" i="11" s="1"/>
  <c r="J58" i="11"/>
  <c r="N58" i="11" s="1"/>
  <c r="J38" i="11"/>
  <c r="N38" i="11" s="1"/>
  <c r="J158" i="11"/>
  <c r="N158" i="11" s="1"/>
  <c r="J183" i="11"/>
  <c r="N183" i="11" s="1"/>
  <c r="J119" i="11"/>
  <c r="N119" i="11" s="1"/>
  <c r="J185" i="11"/>
  <c r="N185" i="11" s="1"/>
  <c r="J121" i="11"/>
  <c r="N121" i="11" s="1"/>
  <c r="J154" i="11"/>
  <c r="N154" i="11" s="1"/>
  <c r="J155" i="11"/>
  <c r="N155" i="11" s="1"/>
  <c r="J188" i="11"/>
  <c r="N188" i="11" s="1"/>
  <c r="J124" i="11"/>
  <c r="N124" i="11" s="1"/>
  <c r="J101" i="11"/>
  <c r="N101" i="11" s="1"/>
  <c r="J79" i="11"/>
  <c r="N79" i="11" s="1"/>
  <c r="J106" i="11"/>
  <c r="N106" i="11" s="1"/>
  <c r="J40" i="11"/>
  <c r="N40" i="11" s="1"/>
  <c r="J197" i="11"/>
  <c r="N197" i="11" s="1"/>
  <c r="J51" i="11"/>
  <c r="N51" i="11" s="1"/>
  <c r="J18" i="11"/>
  <c r="N18" i="11" s="1"/>
  <c r="J41" i="11"/>
  <c r="N41" i="11" s="1"/>
  <c r="J70" i="11"/>
  <c r="N70" i="11" s="1"/>
  <c r="J86" i="11"/>
  <c r="N86" i="11" s="1"/>
  <c r="J160" i="11"/>
  <c r="N160" i="11" s="1"/>
  <c r="J7" i="11"/>
  <c r="N7" i="11" s="1"/>
  <c r="J11" i="11"/>
  <c r="N11" i="11" s="1"/>
  <c r="J53" i="11"/>
  <c r="N53" i="11" s="1"/>
  <c r="J3" i="11"/>
  <c r="N3" i="11" s="1"/>
  <c r="J98" i="11"/>
  <c r="N98" i="11" s="1"/>
  <c r="J137" i="11"/>
  <c r="N137" i="11" s="1"/>
  <c r="J102" i="11"/>
  <c r="N102" i="11" s="1"/>
  <c r="J150" i="11"/>
  <c r="N150" i="11" s="1"/>
  <c r="J175" i="11"/>
  <c r="N175" i="11" s="1"/>
  <c r="J111" i="11"/>
  <c r="N111" i="11" s="1"/>
  <c r="J177" i="11"/>
  <c r="N177" i="11" s="1"/>
  <c r="J113" i="11"/>
  <c r="N113" i="11" s="1"/>
  <c r="J146" i="11"/>
  <c r="N146" i="11" s="1"/>
  <c r="J147" i="11"/>
  <c r="N147" i="11" s="1"/>
  <c r="J180" i="11"/>
  <c r="N180" i="11" s="1"/>
  <c r="J116" i="11"/>
  <c r="N116" i="11" s="1"/>
  <c r="J165" i="11"/>
  <c r="N165" i="11" s="1"/>
  <c r="J71" i="11"/>
  <c r="N71" i="11" s="1"/>
  <c r="J97" i="11"/>
  <c r="N97" i="11" s="1"/>
  <c r="J39" i="11"/>
  <c r="J149" i="11"/>
  <c r="N149" i="11" s="1"/>
  <c r="J43" i="11"/>
  <c r="N43" i="11" s="1"/>
  <c r="J12" i="11"/>
  <c r="N12" i="11" s="1"/>
  <c r="J30" i="11"/>
  <c r="N30" i="11" s="1"/>
  <c r="J68" i="11"/>
  <c r="N68" i="11" s="1"/>
  <c r="J77" i="11"/>
  <c r="N77" i="11" s="1"/>
  <c r="J100" i="11"/>
  <c r="N100" i="11" s="1"/>
  <c r="J152" i="11"/>
  <c r="N152" i="11" s="1"/>
  <c r="J8" i="11"/>
  <c r="N8" i="11" s="1"/>
  <c r="J33" i="11"/>
  <c r="N33" i="11" s="1"/>
  <c r="J24" i="11"/>
  <c r="N24" i="11" s="1"/>
  <c r="J60" i="11"/>
  <c r="N60" i="11" s="1"/>
  <c r="J134" i="11"/>
  <c r="N134" i="11" s="1"/>
  <c r="J192" i="11"/>
  <c r="N192" i="11" s="1"/>
  <c r="J194" i="11"/>
  <c r="N194" i="11" s="1"/>
  <c r="J164" i="11"/>
  <c r="N164" i="11" s="1"/>
  <c r="J117" i="11"/>
  <c r="N117" i="11" s="1"/>
  <c r="J81" i="11"/>
  <c r="N81" i="11" s="1"/>
  <c r="J91" i="11"/>
  <c r="N91" i="11" s="1"/>
  <c r="J94" i="11"/>
  <c r="N94" i="11" s="1"/>
  <c r="J45" i="11"/>
  <c r="N45" i="11" s="1"/>
  <c r="J112" i="11"/>
  <c r="N112" i="11" s="1"/>
  <c r="J16" i="11"/>
  <c r="N16" i="11" s="1"/>
  <c r="J19" i="11"/>
  <c r="N19" i="11" s="1"/>
  <c r="J170" i="11"/>
  <c r="N170" i="11" s="1"/>
  <c r="J173" i="11"/>
  <c r="N173" i="11" s="1"/>
  <c r="J61" i="11"/>
  <c r="N61" i="11" s="1"/>
  <c r="J52" i="11"/>
  <c r="N52" i="11" s="1"/>
  <c r="J142" i="11"/>
  <c r="N142" i="11" s="1"/>
  <c r="J167" i="11"/>
  <c r="N167" i="11" s="1"/>
  <c r="J200" i="11"/>
  <c r="N200" i="11" s="1"/>
  <c r="J169" i="11"/>
  <c r="N169" i="11" s="1"/>
  <c r="J202" i="11"/>
  <c r="N202" i="11" s="1"/>
  <c r="J203" i="11"/>
  <c r="N203" i="11" s="1"/>
  <c r="J139" i="11"/>
  <c r="N139" i="11" s="1"/>
  <c r="J172" i="11"/>
  <c r="N172" i="11" s="1"/>
  <c r="J108" i="11"/>
  <c r="N108" i="11" s="1"/>
  <c r="J120" i="11"/>
  <c r="N120" i="11" s="1"/>
  <c r="J63" i="11"/>
  <c r="N63" i="11" s="1"/>
  <c r="J89" i="11"/>
  <c r="N89" i="11" s="1"/>
  <c r="J189" i="11"/>
  <c r="N189" i="11" s="1"/>
  <c r="J99" i="11"/>
  <c r="N99" i="11" s="1"/>
  <c r="J42" i="11"/>
  <c r="N42" i="11" s="1"/>
  <c r="J144" i="11"/>
  <c r="N144" i="11" s="1"/>
  <c r="J29" i="11"/>
  <c r="N29" i="11" s="1"/>
  <c r="J48" i="11"/>
  <c r="N48" i="11" s="1"/>
  <c r="J54" i="11"/>
  <c r="N54" i="11" s="1"/>
  <c r="J88" i="11"/>
  <c r="N88" i="11" s="1"/>
  <c r="J84" i="11"/>
  <c r="N84" i="11" s="1"/>
  <c r="J96" i="11"/>
  <c r="N96" i="11" s="1"/>
  <c r="J22" i="11"/>
  <c r="N22" i="11" s="1"/>
  <c r="J10" i="11"/>
  <c r="N10" i="11" s="1"/>
  <c r="J34" i="11"/>
  <c r="N34" i="11" s="1"/>
  <c r="J198" i="11"/>
  <c r="N198" i="11" s="1"/>
  <c r="J159" i="11"/>
  <c r="N159" i="11" s="1"/>
  <c r="J161" i="11"/>
  <c r="N161" i="11" s="1"/>
  <c r="J195" i="11"/>
  <c r="N195" i="11" s="1"/>
  <c r="J131" i="11"/>
  <c r="N131" i="11" s="1"/>
  <c r="J157" i="11"/>
  <c r="N157" i="11" s="1"/>
  <c r="J55" i="11"/>
  <c r="N55" i="11" s="1"/>
  <c r="J168" i="11"/>
  <c r="N168" i="11" s="1"/>
  <c r="J138" i="11"/>
  <c r="N138" i="11" s="1"/>
  <c r="J28" i="11"/>
  <c r="N28" i="11" s="1"/>
  <c r="J32" i="11"/>
  <c r="N32" i="11" s="1"/>
  <c r="J85" i="11"/>
  <c r="N85" i="11" s="1"/>
  <c r="J93" i="11"/>
  <c r="N93" i="11" s="1"/>
  <c r="J6" i="11"/>
  <c r="N6" i="11" s="1"/>
  <c r="J174" i="11"/>
  <c r="N174" i="11" s="1"/>
  <c r="J201" i="11"/>
  <c r="N201" i="11" s="1"/>
  <c r="J130" i="11"/>
  <c r="N130" i="11" s="1"/>
  <c r="J57" i="11"/>
  <c r="N57" i="11" s="1"/>
  <c r="J78" i="11"/>
  <c r="N78" i="11" s="1"/>
  <c r="J9" i="11"/>
  <c r="N9" i="11" s="1"/>
  <c r="J177" i="8"/>
  <c r="N177" i="8" s="1"/>
  <c r="J163" i="8"/>
  <c r="N163" i="8" s="1"/>
  <c r="J26" i="8"/>
  <c r="N26" i="8" s="1"/>
  <c r="J52" i="8"/>
  <c r="N52" i="8" s="1"/>
  <c r="J123" i="8"/>
  <c r="N123" i="8" s="1"/>
  <c r="J61" i="8"/>
  <c r="N61" i="8" s="1"/>
  <c r="J4" i="8"/>
  <c r="N4" i="8" s="1"/>
  <c r="J128" i="8"/>
  <c r="N128" i="8" s="1"/>
  <c r="J84" i="8"/>
  <c r="N84" i="8" s="1"/>
  <c r="J50" i="8"/>
  <c r="N50" i="8" s="1"/>
  <c r="J181" i="8"/>
  <c r="N181" i="8" s="1"/>
  <c r="J186" i="8"/>
  <c r="N186" i="8" s="1"/>
  <c r="J115" i="8"/>
  <c r="N115" i="8" s="1"/>
  <c r="J71" i="8"/>
  <c r="N71" i="8" s="1"/>
  <c r="J176" i="8"/>
  <c r="N176" i="8" s="1"/>
  <c r="J161" i="8"/>
  <c r="N161" i="8" s="1"/>
  <c r="J49" i="8"/>
  <c r="N49" i="8" s="1"/>
  <c r="J199" i="8"/>
  <c r="N199" i="8" s="1"/>
  <c r="J74" i="8"/>
  <c r="N74" i="8" s="1"/>
  <c r="J34" i="8"/>
  <c r="N34" i="8" s="1"/>
  <c r="J154" i="8"/>
  <c r="N154" i="8" s="1"/>
  <c r="J127" i="8"/>
  <c r="N127" i="8" s="1"/>
  <c r="J91" i="8"/>
  <c r="N91" i="8" s="1"/>
  <c r="J165" i="8"/>
  <c r="N165" i="8" s="1"/>
  <c r="J195" i="8"/>
  <c r="N195" i="8" s="1"/>
  <c r="G15" i="26" l="1"/>
  <c r="E20" i="26"/>
  <c r="G24" i="26"/>
  <c r="G22" i="26"/>
  <c r="G5" i="26"/>
  <c r="I20" i="8"/>
  <c r="J189" i="8"/>
  <c r="N189" i="8" s="1"/>
  <c r="I12" i="8"/>
  <c r="I9" i="8"/>
  <c r="I11" i="8"/>
  <c r="I11" i="27"/>
  <c r="E14" i="26"/>
  <c r="E21" i="26"/>
  <c r="E18" i="26"/>
  <c r="E3" i="33"/>
  <c r="G3" i="33"/>
  <c r="E3" i="10"/>
  <c r="G3" i="10"/>
  <c r="I2" i="10"/>
  <c r="I24" i="10"/>
  <c r="G2" i="10"/>
  <c r="I3" i="10"/>
  <c r="E2" i="10"/>
  <c r="I25" i="10"/>
  <c r="A2" i="6"/>
  <c r="C2" i="6" s="1"/>
  <c r="I6" i="39"/>
  <c r="G2" i="33"/>
  <c r="E2" i="33"/>
  <c r="I25" i="33"/>
  <c r="I3" i="33"/>
  <c r="I24" i="33"/>
  <c r="I2" i="33"/>
  <c r="A3" i="6"/>
  <c r="C3" i="6" s="1"/>
  <c r="J58" i="8"/>
  <c r="N58" i="8" s="1"/>
  <c r="J19" i="8"/>
  <c r="N19" i="8" s="1"/>
  <c r="J129" i="8"/>
  <c r="N129" i="8" s="1"/>
  <c r="J160" i="8"/>
  <c r="N160" i="8" s="1"/>
  <c r="J155" i="8"/>
  <c r="N155" i="8" s="1"/>
  <c r="J18" i="8"/>
  <c r="N18" i="8" s="1"/>
  <c r="J99" i="8"/>
  <c r="N99" i="8" s="1"/>
  <c r="J135" i="8"/>
  <c r="N135" i="8" s="1"/>
  <c r="J38" i="8"/>
  <c r="N38" i="8" s="1"/>
  <c r="J68" i="8"/>
  <c r="N68" i="8" s="1"/>
  <c r="J112" i="8"/>
  <c r="N112" i="8" s="1"/>
  <c r="J12" i="8"/>
  <c r="N12" i="8" s="1"/>
  <c r="J102" i="8"/>
  <c r="N102" i="8" s="1"/>
  <c r="J122" i="8"/>
  <c r="N122" i="8" s="1"/>
  <c r="J95" i="8"/>
  <c r="N95" i="8" s="1"/>
  <c r="J87" i="8"/>
  <c r="N87" i="8" s="1"/>
  <c r="J131" i="8"/>
  <c r="N131" i="8" s="1"/>
  <c r="J194" i="8"/>
  <c r="N194" i="8" s="1"/>
  <c r="J39" i="8"/>
  <c r="N39" i="8" s="1"/>
  <c r="J63" i="8"/>
  <c r="N63" i="8" s="1"/>
  <c r="J107" i="8"/>
  <c r="N107" i="8" s="1"/>
  <c r="J142" i="8"/>
  <c r="N142" i="8" s="1"/>
  <c r="J96" i="8"/>
  <c r="N96" i="8" s="1"/>
  <c r="J140" i="8"/>
  <c r="N140" i="8" s="1"/>
  <c r="J146" i="8"/>
  <c r="N146" i="8" s="1"/>
  <c r="J66" i="8"/>
  <c r="N66" i="8" s="1"/>
  <c r="J133" i="8"/>
  <c r="N133" i="8" s="1"/>
  <c r="J143" i="8"/>
  <c r="N143" i="8" s="1"/>
  <c r="J192" i="8"/>
  <c r="N192" i="8" s="1"/>
  <c r="J185" i="8"/>
  <c r="N185" i="8" s="1"/>
  <c r="J191" i="8"/>
  <c r="N191" i="8" s="1"/>
  <c r="J164" i="8"/>
  <c r="N164" i="8" s="1"/>
  <c r="J25" i="8"/>
  <c r="N25" i="8" s="1"/>
  <c r="J43" i="8"/>
  <c r="N43" i="8" s="1"/>
  <c r="J120" i="8"/>
  <c r="N120" i="8" s="1"/>
  <c r="J65" i="8"/>
  <c r="N65" i="8" s="1"/>
  <c r="J15" i="8"/>
  <c r="N15" i="8" s="1"/>
  <c r="J169" i="8"/>
  <c r="N169" i="8" s="1"/>
  <c r="J100" i="8"/>
  <c r="N100" i="8" s="1"/>
  <c r="J22" i="8"/>
  <c r="N22" i="8" s="1"/>
  <c r="J105" i="8"/>
  <c r="N105" i="8" s="1"/>
  <c r="J148" i="8"/>
  <c r="N148" i="8" s="1"/>
  <c r="J166" i="8"/>
  <c r="N166" i="8" s="1"/>
  <c r="J44" i="8"/>
  <c r="N44" i="8" s="1"/>
  <c r="J40" i="8"/>
  <c r="N40" i="8" s="1"/>
  <c r="J179" i="8"/>
  <c r="N179" i="8" s="1"/>
  <c r="J152" i="8"/>
  <c r="N152" i="8" s="1"/>
  <c r="J41" i="8"/>
  <c r="N41" i="8" s="1"/>
  <c r="J82" i="8"/>
  <c r="N82" i="8" s="1"/>
  <c r="J118" i="8"/>
  <c r="N118" i="8" s="1"/>
  <c r="J55" i="8"/>
  <c r="N55" i="8" s="1"/>
  <c r="J187" i="8"/>
  <c r="N187" i="8" s="1"/>
  <c r="J184" i="8"/>
  <c r="N184" i="8" s="1"/>
  <c r="J183" i="8"/>
  <c r="N183" i="8" s="1"/>
  <c r="J48" i="8"/>
  <c r="N48" i="8" s="1"/>
  <c r="J141" i="8"/>
  <c r="N141" i="8" s="1"/>
  <c r="J159" i="8"/>
  <c r="N159" i="8" s="1"/>
  <c r="J31" i="8"/>
  <c r="N31" i="8" s="1"/>
  <c r="J124" i="8"/>
  <c r="N124" i="8" s="1"/>
  <c r="J138" i="8"/>
  <c r="N138" i="8" s="1"/>
  <c r="J113" i="8"/>
  <c r="N113" i="8" s="1"/>
  <c r="J88" i="8"/>
  <c r="N88" i="8" s="1"/>
  <c r="J75" i="8"/>
  <c r="N75" i="8" s="1"/>
  <c r="J111" i="8"/>
  <c r="N111" i="8" s="1"/>
  <c r="I7" i="8"/>
  <c r="I10" i="8" s="1"/>
  <c r="I17" i="8" s="1"/>
  <c r="L168" i="8" s="1"/>
  <c r="I5" i="8"/>
  <c r="I8" i="8" s="1"/>
  <c r="I13" i="8" s="1"/>
  <c r="J24" i="8"/>
  <c r="N24" i="8" s="1"/>
  <c r="J80" i="8"/>
  <c r="N80" i="8" s="1"/>
  <c r="J174" i="8"/>
  <c r="N174" i="8" s="1"/>
  <c r="J108" i="8"/>
  <c r="N108" i="8" s="1"/>
  <c r="J76" i="8"/>
  <c r="N76" i="8" s="1"/>
  <c r="J132" i="8"/>
  <c r="N132" i="8" s="1"/>
  <c r="J59" i="8"/>
  <c r="N59" i="8" s="1"/>
  <c r="J106" i="8"/>
  <c r="N106" i="8" s="1"/>
  <c r="J104" i="8"/>
  <c r="N104" i="8" s="1"/>
  <c r="J85" i="8"/>
  <c r="N85" i="8" s="1"/>
  <c r="J144" i="8"/>
  <c r="N144" i="8" s="1"/>
  <c r="J14" i="8"/>
  <c r="N14" i="8" s="1"/>
  <c r="J13" i="8"/>
  <c r="N13" i="8" s="1"/>
  <c r="J117" i="8"/>
  <c r="N117" i="8" s="1"/>
  <c r="J171" i="8"/>
  <c r="N171" i="8" s="1"/>
  <c r="J32" i="8"/>
  <c r="N32" i="8" s="1"/>
  <c r="J17" i="8"/>
  <c r="N17" i="8" s="1"/>
  <c r="J86" i="8"/>
  <c r="N86" i="8" s="1"/>
  <c r="J204" i="8"/>
  <c r="N204" i="8" s="1"/>
  <c r="J10" i="8"/>
  <c r="N10" i="8" s="1"/>
  <c r="J33" i="8"/>
  <c r="N33" i="8" s="1"/>
  <c r="J188" i="8"/>
  <c r="N188" i="8" s="1"/>
  <c r="J182" i="8"/>
  <c r="N182" i="8" s="1"/>
  <c r="J35" i="8"/>
  <c r="N35" i="8" s="1"/>
  <c r="J125" i="8"/>
  <c r="N125" i="8" s="1"/>
  <c r="J151" i="8"/>
  <c r="N151" i="8" s="1"/>
  <c r="J23" i="8"/>
  <c r="N23" i="8" s="1"/>
  <c r="J57" i="8"/>
  <c r="N57" i="8" s="1"/>
  <c r="J98" i="8"/>
  <c r="N98" i="8" s="1"/>
  <c r="J134" i="8"/>
  <c r="N134" i="8" s="1"/>
  <c r="J180" i="8"/>
  <c r="N180" i="8" s="1"/>
  <c r="J147" i="8"/>
  <c r="N147" i="8" s="1"/>
  <c r="J202" i="8"/>
  <c r="N202" i="8" s="1"/>
  <c r="J119" i="8"/>
  <c r="N119" i="8" s="1"/>
  <c r="J149" i="8"/>
  <c r="N149" i="8" s="1"/>
  <c r="J173" i="8"/>
  <c r="N173" i="8" s="1"/>
  <c r="J175" i="8"/>
  <c r="N175" i="8" s="1"/>
  <c r="J93" i="8"/>
  <c r="N93" i="8" s="1"/>
  <c r="J92" i="8"/>
  <c r="N92" i="8" s="1"/>
  <c r="J28" i="8"/>
  <c r="N28" i="8" s="1"/>
  <c r="J78" i="8"/>
  <c r="N78" i="8" s="1"/>
  <c r="J97" i="8"/>
  <c r="N97" i="8" s="1"/>
  <c r="J170" i="8"/>
  <c r="N170" i="8" s="1"/>
  <c r="J45" i="8"/>
  <c r="N45" i="8" s="1"/>
  <c r="J47" i="8"/>
  <c r="N47" i="8" s="1"/>
  <c r="J126" i="8"/>
  <c r="N126" i="8" s="1"/>
  <c r="J54" i="8"/>
  <c r="N54" i="8" s="1"/>
  <c r="J198" i="8"/>
  <c r="N198" i="8" s="1"/>
  <c r="J136" i="8"/>
  <c r="N136" i="8" s="1"/>
  <c r="J89" i="8"/>
  <c r="N89" i="8" s="1"/>
  <c r="J29" i="8"/>
  <c r="N29" i="8" s="1"/>
  <c r="J172" i="8"/>
  <c r="N172" i="8" s="1"/>
  <c r="J162" i="8"/>
  <c r="N162" i="8" s="1"/>
  <c r="J70" i="8"/>
  <c r="N70" i="8" s="1"/>
  <c r="J37" i="8"/>
  <c r="N37" i="8" s="1"/>
  <c r="J60" i="8"/>
  <c r="N60" i="8" s="1"/>
  <c r="J201" i="8"/>
  <c r="N201" i="8" s="1"/>
  <c r="J56" i="8"/>
  <c r="N56" i="8" s="1"/>
  <c r="J94" i="8"/>
  <c r="N94" i="8" s="1"/>
  <c r="J114" i="8"/>
  <c r="N114" i="8" s="1"/>
  <c r="J64" i="8"/>
  <c r="N64" i="8" s="1"/>
  <c r="J46" i="8"/>
  <c r="N46" i="8" s="1"/>
  <c r="J203" i="8"/>
  <c r="N203" i="8" s="1"/>
  <c r="J190" i="8"/>
  <c r="N190" i="8" s="1"/>
  <c r="J9" i="8"/>
  <c r="N9" i="8" s="1"/>
  <c r="J73" i="8"/>
  <c r="N73" i="8" s="1"/>
  <c r="J153" i="8"/>
  <c r="N153" i="8" s="1"/>
  <c r="J11" i="8"/>
  <c r="N11" i="8" s="1"/>
  <c r="J81" i="8"/>
  <c r="N81" i="8" s="1"/>
  <c r="J67" i="8"/>
  <c r="N67" i="8" s="1"/>
  <c r="J200" i="8"/>
  <c r="N200" i="8" s="1"/>
  <c r="J7" i="8"/>
  <c r="N7" i="8" s="1"/>
  <c r="J77" i="8"/>
  <c r="N77" i="8" s="1"/>
  <c r="J139" i="8"/>
  <c r="N139" i="8" s="1"/>
  <c r="J6" i="8"/>
  <c r="N6" i="8" s="1"/>
  <c r="J196" i="8"/>
  <c r="N196" i="8" s="1"/>
  <c r="J30" i="8"/>
  <c r="N30" i="8" s="1"/>
  <c r="J3" i="8"/>
  <c r="N3" i="8" s="1"/>
  <c r="J121" i="8"/>
  <c r="N121" i="8" s="1"/>
  <c r="J21" i="8"/>
  <c r="N21" i="8" s="1"/>
  <c r="J90" i="8"/>
  <c r="N90" i="8" s="1"/>
  <c r="J8" i="8"/>
  <c r="N8" i="8" s="1"/>
  <c r="J110" i="8"/>
  <c r="N110" i="8" s="1"/>
  <c r="J69" i="8"/>
  <c r="N69" i="8" s="1"/>
  <c r="J5" i="8"/>
  <c r="N5" i="8" s="1"/>
  <c r="J79" i="8"/>
  <c r="N79" i="8" s="1"/>
  <c r="J116" i="8"/>
  <c r="N116" i="8" s="1"/>
  <c r="J150" i="8"/>
  <c r="N150" i="8" s="1"/>
  <c r="J156" i="8"/>
  <c r="N156" i="8" s="1"/>
  <c r="J36" i="8"/>
  <c r="N36" i="8" s="1"/>
  <c r="J197" i="8"/>
  <c r="N197" i="8" s="1"/>
  <c r="J193" i="8"/>
  <c r="N193" i="8" s="1"/>
  <c r="J83" i="8"/>
  <c r="N83" i="8" s="1"/>
  <c r="J42" i="8"/>
  <c r="N42" i="8" s="1"/>
  <c r="J145" i="8"/>
  <c r="N145" i="8" s="1"/>
  <c r="J168" i="8"/>
  <c r="N168" i="8" s="1"/>
  <c r="J51" i="8"/>
  <c r="N51" i="8" s="1"/>
  <c r="J101" i="8"/>
  <c r="N101" i="8" s="1"/>
  <c r="J178" i="8"/>
  <c r="N178" i="8" s="1"/>
  <c r="J2" i="8"/>
  <c r="N2" i="8" s="1"/>
  <c r="J53" i="8"/>
  <c r="N53" i="8" s="1"/>
  <c r="J137" i="8"/>
  <c r="N137" i="8" s="1"/>
  <c r="J27" i="8"/>
  <c r="N27" i="8" s="1"/>
  <c r="J20" i="8"/>
  <c r="N20" i="8" s="1"/>
  <c r="J109" i="8"/>
  <c r="N109" i="8" s="1"/>
  <c r="J130" i="8"/>
  <c r="N130" i="8" s="1"/>
  <c r="J158" i="8"/>
  <c r="N158" i="8" s="1"/>
  <c r="J72" i="8"/>
  <c r="N72" i="8" s="1"/>
  <c r="J157" i="8"/>
  <c r="N157" i="8" s="1"/>
  <c r="J167" i="8"/>
  <c r="N167" i="8" s="1"/>
  <c r="J16" i="8"/>
  <c r="N16" i="8" s="1"/>
  <c r="J62" i="8"/>
  <c r="N62" i="8" s="1"/>
  <c r="E19" i="26"/>
  <c r="E27" i="26"/>
  <c r="E10" i="26"/>
  <c r="G17" i="26"/>
  <c r="E28" i="39"/>
  <c r="G28" i="39"/>
  <c r="E25" i="39"/>
  <c r="G25" i="39"/>
  <c r="E15" i="39"/>
  <c r="G15" i="39"/>
  <c r="E5" i="39"/>
  <c r="G5" i="39"/>
  <c r="E7" i="39"/>
  <c r="G7" i="39"/>
  <c r="G12" i="39"/>
  <c r="E12" i="39"/>
  <c r="E11" i="39"/>
  <c r="G11" i="39"/>
  <c r="G30" i="26"/>
  <c r="G4" i="26"/>
  <c r="G28" i="26"/>
  <c r="E14" i="39"/>
  <c r="G14" i="39"/>
  <c r="E8" i="39"/>
  <c r="G8" i="39"/>
  <c r="E22" i="39"/>
  <c r="G22" i="39"/>
  <c r="E29" i="39"/>
  <c r="G29" i="39"/>
  <c r="E4" i="26"/>
  <c r="E23" i="39"/>
  <c r="G23" i="39"/>
  <c r="G24" i="39"/>
  <c r="E24" i="39"/>
  <c r="E16" i="39"/>
  <c r="G16" i="39"/>
  <c r="E26" i="39"/>
  <c r="G26" i="39"/>
  <c r="E6" i="39"/>
  <c r="G6" i="39"/>
  <c r="E19" i="39"/>
  <c r="G19" i="39"/>
  <c r="G13" i="26"/>
  <c r="E27" i="39"/>
  <c r="G27" i="39"/>
  <c r="G30" i="39"/>
  <c r="E30" i="39"/>
  <c r="G10" i="39"/>
  <c r="E10" i="39"/>
  <c r="E17" i="39"/>
  <c r="G17" i="39"/>
  <c r="E21" i="39"/>
  <c r="G21" i="39"/>
  <c r="E9" i="39"/>
  <c r="G9" i="39"/>
  <c r="E18" i="39"/>
  <c r="G18" i="39"/>
  <c r="E20" i="39"/>
  <c r="G20" i="39"/>
  <c r="E13" i="39"/>
  <c r="G13" i="39"/>
  <c r="E4" i="39"/>
  <c r="G4" i="39"/>
  <c r="I5" i="27"/>
  <c r="I8" i="27" s="1"/>
  <c r="I7" i="27"/>
  <c r="I10" i="27" s="1"/>
  <c r="J178" i="27"/>
  <c r="N178" i="27" s="1"/>
  <c r="J114" i="27"/>
  <c r="N114" i="27" s="1"/>
  <c r="J141" i="27"/>
  <c r="N141" i="27" s="1"/>
  <c r="J171" i="27"/>
  <c r="N171" i="27" s="1"/>
  <c r="J88" i="27"/>
  <c r="N88" i="27" s="1"/>
  <c r="J131" i="27"/>
  <c r="N131" i="27" s="1"/>
  <c r="J167" i="27"/>
  <c r="N167" i="27" s="1"/>
  <c r="J85" i="27"/>
  <c r="N85" i="27" s="1"/>
  <c r="J62" i="27"/>
  <c r="N62" i="27" s="1"/>
  <c r="J86" i="27"/>
  <c r="N86" i="27" s="1"/>
  <c r="J155" i="27"/>
  <c r="N155" i="27" s="1"/>
  <c r="J73" i="27"/>
  <c r="N73" i="27" s="1"/>
  <c r="J140" i="27"/>
  <c r="N140" i="27" s="1"/>
  <c r="J176" i="27"/>
  <c r="N176" i="27" s="1"/>
  <c r="J83" i="27"/>
  <c r="N83" i="27" s="1"/>
  <c r="J92" i="27"/>
  <c r="N92" i="27" s="1"/>
  <c r="J23" i="27"/>
  <c r="N23" i="27" s="1"/>
  <c r="J25" i="27"/>
  <c r="N25" i="27" s="1"/>
  <c r="J72" i="27"/>
  <c r="N72" i="27" s="1"/>
  <c r="J56" i="27"/>
  <c r="N56" i="27" s="1"/>
  <c r="J28" i="27"/>
  <c r="N28" i="27" s="1"/>
  <c r="J188" i="27"/>
  <c r="N188" i="27" s="1"/>
  <c r="J38" i="27"/>
  <c r="N38" i="27" s="1"/>
  <c r="J34" i="27"/>
  <c r="N34" i="27" s="1"/>
  <c r="J2" i="27"/>
  <c r="N2" i="27" s="1"/>
  <c r="J200" i="27"/>
  <c r="N200" i="27" s="1"/>
  <c r="J119" i="27"/>
  <c r="N119" i="27" s="1"/>
  <c r="J106" i="27"/>
  <c r="N106" i="27" s="1"/>
  <c r="J169" i="27"/>
  <c r="N169" i="27" s="1"/>
  <c r="J37" i="27"/>
  <c r="N37" i="27" s="1"/>
  <c r="J96" i="27"/>
  <c r="N96" i="27" s="1"/>
  <c r="J81" i="27"/>
  <c r="N81" i="27" s="1"/>
  <c r="J75" i="27"/>
  <c r="N75" i="27" s="1"/>
  <c r="J24" i="27"/>
  <c r="N24" i="27" s="1"/>
  <c r="J170" i="27"/>
  <c r="N170" i="27" s="1"/>
  <c r="J197" i="27"/>
  <c r="N197" i="27" s="1"/>
  <c r="J133" i="27"/>
  <c r="N133" i="27" s="1"/>
  <c r="J168" i="27"/>
  <c r="N168" i="27" s="1"/>
  <c r="J198" i="27"/>
  <c r="N198" i="27" s="1"/>
  <c r="J128" i="27"/>
  <c r="N128" i="27" s="1"/>
  <c r="J164" i="27"/>
  <c r="N164" i="27" s="1"/>
  <c r="J190" i="27"/>
  <c r="N190" i="27" s="1"/>
  <c r="J185" i="27"/>
  <c r="N185" i="27" s="1"/>
  <c r="J79" i="27"/>
  <c r="N79" i="27" s="1"/>
  <c r="J150" i="27"/>
  <c r="N150" i="27" s="1"/>
  <c r="J65" i="27"/>
  <c r="N65" i="27" s="1"/>
  <c r="J123" i="27"/>
  <c r="N123" i="27" s="1"/>
  <c r="J159" i="27"/>
  <c r="N159" i="27" s="1"/>
  <c r="J76" i="27"/>
  <c r="N76" i="27" s="1"/>
  <c r="J87" i="27"/>
  <c r="N87" i="27" s="1"/>
  <c r="J17" i="27"/>
  <c r="N17" i="27" s="1"/>
  <c r="J18" i="27"/>
  <c r="N18" i="27" s="1"/>
  <c r="J69" i="27"/>
  <c r="N69" i="27" s="1"/>
  <c r="J27" i="27"/>
  <c r="N27" i="27" s="1"/>
  <c r="J15" i="27"/>
  <c r="N15" i="27" s="1"/>
  <c r="J84" i="27"/>
  <c r="N84" i="27" s="1"/>
  <c r="J147" i="27"/>
  <c r="N147" i="27" s="1"/>
  <c r="J33" i="27"/>
  <c r="N33" i="27" s="1"/>
  <c r="J22" i="27"/>
  <c r="N22" i="27" s="1"/>
  <c r="J130" i="27"/>
  <c r="N130" i="27" s="1"/>
  <c r="J196" i="27"/>
  <c r="N196" i="27" s="1"/>
  <c r="J179" i="27"/>
  <c r="N179" i="27" s="1"/>
  <c r="J113" i="27"/>
  <c r="N113" i="27" s="1"/>
  <c r="J148" i="27"/>
  <c r="N148" i="27" s="1"/>
  <c r="J134" i="27"/>
  <c r="N134" i="27" s="1"/>
  <c r="J145" i="27"/>
  <c r="N145" i="27" s="1"/>
  <c r="J51" i="27"/>
  <c r="N51" i="27" s="1"/>
  <c r="J35" i="27"/>
  <c r="N35" i="27" s="1"/>
  <c r="J162" i="27"/>
  <c r="N162" i="27" s="1"/>
  <c r="J189" i="27"/>
  <c r="N189" i="27" s="1"/>
  <c r="J125" i="27"/>
  <c r="N125" i="27" s="1"/>
  <c r="J142" i="27"/>
  <c r="N142" i="27" s="1"/>
  <c r="J195" i="27"/>
  <c r="N195" i="27" s="1"/>
  <c r="J107" i="27"/>
  <c r="N107" i="27" s="1"/>
  <c r="J161" i="27"/>
  <c r="N161" i="27" s="1"/>
  <c r="J156" i="27"/>
  <c r="N156" i="27" s="1"/>
  <c r="J180" i="27"/>
  <c r="N180" i="27" s="1"/>
  <c r="J71" i="27"/>
  <c r="N71" i="27" s="1"/>
  <c r="J121" i="27"/>
  <c r="N121" i="27" s="1"/>
  <c r="J57" i="27"/>
  <c r="N57" i="27" s="1"/>
  <c r="J118" i="27"/>
  <c r="N118" i="27" s="1"/>
  <c r="J137" i="27"/>
  <c r="N137" i="27" s="1"/>
  <c r="J68" i="27"/>
  <c r="N68" i="27" s="1"/>
  <c r="J67" i="27"/>
  <c r="N67" i="27" s="1"/>
  <c r="J204" i="27"/>
  <c r="N204" i="27" s="1"/>
  <c r="J12" i="27"/>
  <c r="N12" i="27" s="1"/>
  <c r="J58" i="27"/>
  <c r="N58" i="27" s="1"/>
  <c r="J26" i="27"/>
  <c r="N26" i="27" s="1"/>
  <c r="J7" i="27"/>
  <c r="N7" i="27" s="1"/>
  <c r="J54" i="27"/>
  <c r="N54" i="27" s="1"/>
  <c r="J59" i="27"/>
  <c r="N59" i="27" s="1"/>
  <c r="J16" i="27"/>
  <c r="N16" i="27" s="1"/>
  <c r="J3" i="27"/>
  <c r="N3" i="27" s="1"/>
  <c r="J160" i="27"/>
  <c r="N160" i="27" s="1"/>
  <c r="J153" i="27"/>
  <c r="N153" i="27" s="1"/>
  <c r="J5" i="27"/>
  <c r="N5" i="27" s="1"/>
  <c r="J122" i="27"/>
  <c r="N122" i="27" s="1"/>
  <c r="J97" i="27"/>
  <c r="N97" i="27" s="1"/>
  <c r="J127" i="27"/>
  <c r="N127" i="27" s="1"/>
  <c r="J29" i="27"/>
  <c r="N29" i="27" s="1"/>
  <c r="J154" i="27"/>
  <c r="N154" i="27" s="1"/>
  <c r="J181" i="27"/>
  <c r="N181" i="27" s="1"/>
  <c r="J117" i="27"/>
  <c r="N117" i="27" s="1"/>
  <c r="J139" i="27"/>
  <c r="N139" i="27" s="1"/>
  <c r="J192" i="27"/>
  <c r="N192" i="27" s="1"/>
  <c r="J98" i="27"/>
  <c r="N98" i="27" s="1"/>
  <c r="J135" i="27"/>
  <c r="N135" i="27" s="1"/>
  <c r="J151" i="27"/>
  <c r="N151" i="27" s="1"/>
  <c r="J175" i="27"/>
  <c r="N175" i="27" s="1"/>
  <c r="J63" i="27"/>
  <c r="N63" i="27" s="1"/>
  <c r="J116" i="27"/>
  <c r="N116" i="27" s="1"/>
  <c r="J49" i="27"/>
  <c r="N49" i="27" s="1"/>
  <c r="J100" i="27"/>
  <c r="N100" i="27" s="1"/>
  <c r="J120" i="27"/>
  <c r="N120" i="27" s="1"/>
  <c r="J60" i="27"/>
  <c r="N60" i="27" s="1"/>
  <c r="J64" i="27"/>
  <c r="N64" i="27" s="1"/>
  <c r="J191" i="27"/>
  <c r="N191" i="27" s="1"/>
  <c r="J4" i="27"/>
  <c r="N4" i="27" s="1"/>
  <c r="J19" i="27"/>
  <c r="N19" i="27" s="1"/>
  <c r="J20" i="27"/>
  <c r="N20" i="27" s="1"/>
  <c r="J104" i="27"/>
  <c r="N104" i="27" s="1"/>
  <c r="J45" i="27"/>
  <c r="N45" i="27" s="1"/>
  <c r="J48" i="27"/>
  <c r="N48" i="27" s="1"/>
  <c r="J9" i="27"/>
  <c r="N9" i="27" s="1"/>
  <c r="J10" i="27"/>
  <c r="N10" i="27" s="1"/>
  <c r="J194" i="27"/>
  <c r="N194" i="27" s="1"/>
  <c r="J177" i="27"/>
  <c r="N177" i="27" s="1"/>
  <c r="J95" i="27"/>
  <c r="N95" i="27" s="1"/>
  <c r="J174" i="27"/>
  <c r="N174" i="27" s="1"/>
  <c r="J93" i="27"/>
  <c r="N93" i="27" s="1"/>
  <c r="J66" i="27"/>
  <c r="N66" i="27" s="1"/>
  <c r="J143" i="27"/>
  <c r="N143" i="27" s="1"/>
  <c r="J146" i="27"/>
  <c r="N146" i="27" s="1"/>
  <c r="J173" i="27"/>
  <c r="N173" i="27" s="1"/>
  <c r="J109" i="27"/>
  <c r="N109" i="27" s="1"/>
  <c r="J136" i="27"/>
  <c r="N136" i="27" s="1"/>
  <c r="J166" i="27"/>
  <c r="N166" i="27" s="1"/>
  <c r="J90" i="27"/>
  <c r="N90" i="27" s="1"/>
  <c r="J132" i="27"/>
  <c r="N132" i="27" s="1"/>
  <c r="J112" i="27"/>
  <c r="N112" i="27" s="1"/>
  <c r="J158" i="27"/>
  <c r="N158" i="27" s="1"/>
  <c r="J55" i="27"/>
  <c r="N55" i="27" s="1"/>
  <c r="J111" i="27"/>
  <c r="N111" i="27" s="1"/>
  <c r="J201" i="27"/>
  <c r="N201" i="27" s="1"/>
  <c r="J89" i="27"/>
  <c r="N89" i="27" s="1"/>
  <c r="J115" i="27"/>
  <c r="N115" i="27" s="1"/>
  <c r="J52" i="27"/>
  <c r="N52" i="27" s="1"/>
  <c r="J61" i="27"/>
  <c r="N61" i="27" s="1"/>
  <c r="J152" i="27"/>
  <c r="N152" i="27" s="1"/>
  <c r="J183" i="27"/>
  <c r="N183" i="27" s="1"/>
  <c r="J13" i="27"/>
  <c r="N13" i="27" s="1"/>
  <c r="J14" i="27"/>
  <c r="N14" i="27" s="1"/>
  <c r="J77" i="27"/>
  <c r="N77" i="27" s="1"/>
  <c r="J21" i="27"/>
  <c r="N21" i="27" s="1"/>
  <c r="J40" i="27"/>
  <c r="N40" i="27" s="1"/>
  <c r="J43" i="27"/>
  <c r="N43" i="27" s="1"/>
  <c r="J11" i="27"/>
  <c r="N11" i="27" s="1"/>
  <c r="J105" i="27"/>
  <c r="N105" i="27" s="1"/>
  <c r="J78" i="27"/>
  <c r="N78" i="27" s="1"/>
  <c r="J74" i="27"/>
  <c r="N74" i="27" s="1"/>
  <c r="J30" i="27"/>
  <c r="N30" i="27" s="1"/>
  <c r="J53" i="27"/>
  <c r="N53" i="27" s="1"/>
  <c r="J149" i="27"/>
  <c r="N149" i="27" s="1"/>
  <c r="J70" i="27"/>
  <c r="N70" i="27" s="1"/>
  <c r="J94" i="27"/>
  <c r="N94" i="27" s="1"/>
  <c r="J31" i="27"/>
  <c r="N31" i="27" s="1"/>
  <c r="J202" i="27"/>
  <c r="N202" i="27" s="1"/>
  <c r="J138" i="27"/>
  <c r="N138" i="27" s="1"/>
  <c r="J165" i="27"/>
  <c r="N165" i="27" s="1"/>
  <c r="J203" i="27"/>
  <c r="N203" i="27" s="1"/>
  <c r="J110" i="27"/>
  <c r="N110" i="27" s="1"/>
  <c r="J163" i="27"/>
  <c r="N163" i="27" s="1"/>
  <c r="J199" i="27"/>
  <c r="N199" i="27" s="1"/>
  <c r="J129" i="27"/>
  <c r="N129" i="27" s="1"/>
  <c r="J99" i="27"/>
  <c r="N99" i="27" s="1"/>
  <c r="J124" i="27"/>
  <c r="N124" i="27" s="1"/>
  <c r="J47" i="27"/>
  <c r="N47" i="27" s="1"/>
  <c r="J102" i="27"/>
  <c r="N102" i="27" s="1"/>
  <c r="J184" i="27"/>
  <c r="N184" i="27" s="1"/>
  <c r="J82" i="27"/>
  <c r="N82" i="27" s="1"/>
  <c r="J108" i="27"/>
  <c r="N108" i="27" s="1"/>
  <c r="J44" i="27"/>
  <c r="N44" i="27" s="1"/>
  <c r="J46" i="27"/>
  <c r="N46" i="27" s="1"/>
  <c r="J126" i="27"/>
  <c r="N126" i="27" s="1"/>
  <c r="J144" i="27"/>
  <c r="N144" i="27" s="1"/>
  <c r="J182" i="27"/>
  <c r="N182" i="27" s="1"/>
  <c r="J6" i="27"/>
  <c r="N6" i="27" s="1"/>
  <c r="J50" i="27"/>
  <c r="N50" i="27" s="1"/>
  <c r="J187" i="27"/>
  <c r="N187" i="27" s="1"/>
  <c r="J39" i="27"/>
  <c r="J42" i="27"/>
  <c r="N42" i="27" s="1"/>
  <c r="J8" i="27"/>
  <c r="N8" i="27" s="1"/>
  <c r="J157" i="27"/>
  <c r="N157" i="27" s="1"/>
  <c r="J101" i="27"/>
  <c r="N101" i="27" s="1"/>
  <c r="J91" i="27"/>
  <c r="N91" i="27" s="1"/>
  <c r="J41" i="27"/>
  <c r="N41" i="27" s="1"/>
  <c r="J32" i="27"/>
  <c r="N32" i="27" s="1"/>
  <c r="J186" i="27"/>
  <c r="N186" i="27" s="1"/>
  <c r="J193" i="27"/>
  <c r="N193" i="27" s="1"/>
  <c r="J172" i="27"/>
  <c r="N172" i="27" s="1"/>
  <c r="J36" i="27"/>
  <c r="N36" i="27" s="1"/>
  <c r="J80" i="27"/>
  <c r="N80" i="27" s="1"/>
  <c r="I12" i="27"/>
  <c r="I9" i="27"/>
  <c r="I20" i="27"/>
  <c r="I19" i="27"/>
  <c r="I17" i="11"/>
  <c r="L157" i="11" s="1"/>
  <c r="I15" i="11"/>
  <c r="I13" i="11"/>
  <c r="I43" i="11"/>
  <c r="N39" i="11"/>
  <c r="W7" i="4" l="1"/>
  <c r="A2" i="40" s="1"/>
  <c r="C2" i="40" s="1"/>
  <c r="E2" i="40" s="1"/>
  <c r="A2" i="46"/>
  <c r="C2" i="46" s="1"/>
  <c r="I15" i="8"/>
  <c r="I17" i="27"/>
  <c r="I43" i="8"/>
  <c r="I11" i="33"/>
  <c r="I5" i="33"/>
  <c r="I8" i="33" s="1"/>
  <c r="I7" i="10"/>
  <c r="I10" i="10" s="1"/>
  <c r="I7" i="33"/>
  <c r="I10" i="33" s="1"/>
  <c r="J186" i="10"/>
  <c r="N186" i="10" s="1"/>
  <c r="J110" i="10"/>
  <c r="N110" i="10" s="1"/>
  <c r="J62" i="10"/>
  <c r="N62" i="10" s="1"/>
  <c r="J124" i="10"/>
  <c r="N124" i="10" s="1"/>
  <c r="J142" i="10"/>
  <c r="N142" i="10" s="1"/>
  <c r="J153" i="10"/>
  <c r="N153" i="10" s="1"/>
  <c r="J47" i="10"/>
  <c r="N47" i="10" s="1"/>
  <c r="J65" i="10"/>
  <c r="N65" i="10" s="1"/>
  <c r="J37" i="10"/>
  <c r="N37" i="10" s="1"/>
  <c r="J185" i="10"/>
  <c r="N185" i="10" s="1"/>
  <c r="J78" i="10"/>
  <c r="N78" i="10" s="1"/>
  <c r="J29" i="10"/>
  <c r="N29" i="10" s="1"/>
  <c r="J112" i="10"/>
  <c r="N112" i="10" s="1"/>
  <c r="J177" i="10"/>
  <c r="N177" i="10" s="1"/>
  <c r="J197" i="10"/>
  <c r="N197" i="10" s="1"/>
  <c r="J28" i="10"/>
  <c r="N28" i="10" s="1"/>
  <c r="J200" i="10"/>
  <c r="N200" i="10" s="1"/>
  <c r="J189" i="10"/>
  <c r="N189" i="10" s="1"/>
  <c r="J43" i="10"/>
  <c r="N43" i="10" s="1"/>
  <c r="J187" i="10"/>
  <c r="N187" i="10" s="1"/>
  <c r="J179" i="10"/>
  <c r="N179" i="10" s="1"/>
  <c r="J192" i="10"/>
  <c r="N192" i="10" s="1"/>
  <c r="J157" i="10"/>
  <c r="N157" i="10" s="1"/>
  <c r="J38" i="10"/>
  <c r="N38" i="10" s="1"/>
  <c r="J183" i="10"/>
  <c r="N183" i="10" s="1"/>
  <c r="J168" i="10"/>
  <c r="N168" i="10" s="1"/>
  <c r="J145" i="10"/>
  <c r="N145" i="10" s="1"/>
  <c r="J60" i="10"/>
  <c r="N60" i="10" s="1"/>
  <c r="J14" i="10"/>
  <c r="N14" i="10" s="1"/>
  <c r="J171" i="10"/>
  <c r="N171" i="10" s="1"/>
  <c r="J82" i="10"/>
  <c r="N82" i="10" s="1"/>
  <c r="J3" i="10"/>
  <c r="N3" i="10" s="1"/>
  <c r="J164" i="10"/>
  <c r="N164" i="10" s="1"/>
  <c r="J72" i="10"/>
  <c r="N72" i="10" s="1"/>
  <c r="J99" i="10"/>
  <c r="N99" i="10" s="1"/>
  <c r="J69" i="10"/>
  <c r="N69" i="10" s="1"/>
  <c r="J2" i="10"/>
  <c r="N2" i="10" s="1"/>
  <c r="J53" i="10"/>
  <c r="N53" i="10" s="1"/>
  <c r="J170" i="10"/>
  <c r="N170" i="10" s="1"/>
  <c r="J95" i="10"/>
  <c r="N95" i="10" s="1"/>
  <c r="J44" i="10"/>
  <c r="N44" i="10" s="1"/>
  <c r="J92" i="10"/>
  <c r="N92" i="10" s="1"/>
  <c r="J162" i="10"/>
  <c r="N162" i="10" s="1"/>
  <c r="J87" i="10"/>
  <c r="N87" i="10" s="1"/>
  <c r="J39" i="10"/>
  <c r="J136" i="10"/>
  <c r="N136" i="10" s="1"/>
  <c r="J127" i="10"/>
  <c r="N127" i="10" s="1"/>
  <c r="J101" i="10"/>
  <c r="N101" i="10" s="1"/>
  <c r="J59" i="10"/>
  <c r="N59" i="10" s="1"/>
  <c r="J126" i="10"/>
  <c r="N126" i="10" s="1"/>
  <c r="J128" i="10"/>
  <c r="N128" i="10" s="1"/>
  <c r="J118" i="10"/>
  <c r="N118" i="10" s="1"/>
  <c r="J85" i="10"/>
  <c r="N85" i="10" s="1"/>
  <c r="J204" i="10"/>
  <c r="N204" i="10" s="1"/>
  <c r="J52" i="10"/>
  <c r="N52" i="10" s="1"/>
  <c r="J151" i="10"/>
  <c r="N151" i="10" s="1"/>
  <c r="J33" i="10"/>
  <c r="N33" i="10" s="1"/>
  <c r="J21" i="10"/>
  <c r="N21" i="10" s="1"/>
  <c r="J172" i="10"/>
  <c r="N172" i="10" s="1"/>
  <c r="J55" i="10"/>
  <c r="N55" i="10" s="1"/>
  <c r="J5" i="10"/>
  <c r="N5" i="10" s="1"/>
  <c r="J148" i="10"/>
  <c r="N148" i="10" s="1"/>
  <c r="J182" i="10"/>
  <c r="N182" i="10" s="1"/>
  <c r="J141" i="10"/>
  <c r="N141" i="10" s="1"/>
  <c r="J81" i="10"/>
  <c r="N81" i="10" s="1"/>
  <c r="J134" i="10"/>
  <c r="N134" i="10" s="1"/>
  <c r="J15" i="10"/>
  <c r="N15" i="10" s="1"/>
  <c r="J155" i="10"/>
  <c r="N155" i="10" s="1"/>
  <c r="J46" i="10"/>
  <c r="N46" i="10" s="1"/>
  <c r="J18" i="10"/>
  <c r="N18" i="10" s="1"/>
  <c r="J98" i="10"/>
  <c r="N98" i="10" s="1"/>
  <c r="J147" i="10"/>
  <c r="N147" i="10" s="1"/>
  <c r="J116" i="10"/>
  <c r="N116" i="10" s="1"/>
  <c r="J12" i="10"/>
  <c r="N12" i="10" s="1"/>
  <c r="J169" i="10"/>
  <c r="N169" i="10" s="1"/>
  <c r="J165" i="10"/>
  <c r="N165" i="10" s="1"/>
  <c r="J122" i="10"/>
  <c r="N122" i="10" s="1"/>
  <c r="J114" i="10"/>
  <c r="N114" i="10" s="1"/>
  <c r="J102" i="10"/>
  <c r="N102" i="10" s="1"/>
  <c r="J161" i="10"/>
  <c r="N161" i="10" s="1"/>
  <c r="J156" i="10"/>
  <c r="N156" i="10" s="1"/>
  <c r="J96" i="10"/>
  <c r="N96" i="10" s="1"/>
  <c r="J121" i="10"/>
  <c r="N121" i="10" s="1"/>
  <c r="J108" i="10"/>
  <c r="N108" i="10" s="1"/>
  <c r="J88" i="10"/>
  <c r="N88" i="10" s="1"/>
  <c r="J22" i="10"/>
  <c r="N22" i="10" s="1"/>
  <c r="J19" i="10"/>
  <c r="N19" i="10" s="1"/>
  <c r="J167" i="10"/>
  <c r="N167" i="10" s="1"/>
  <c r="J76" i="10"/>
  <c r="N76" i="10" s="1"/>
  <c r="J64" i="10"/>
  <c r="N64" i="10" s="1"/>
  <c r="J184" i="10"/>
  <c r="N184" i="10" s="1"/>
  <c r="J105" i="10"/>
  <c r="N105" i="10" s="1"/>
  <c r="J146" i="10"/>
  <c r="N146" i="10" s="1"/>
  <c r="J196" i="10"/>
  <c r="N196" i="10" s="1"/>
  <c r="J17" i="10"/>
  <c r="N17" i="10" s="1"/>
  <c r="J36" i="10"/>
  <c r="N36" i="10" s="1"/>
  <c r="J143" i="10"/>
  <c r="N143" i="10" s="1"/>
  <c r="J150" i="10"/>
  <c r="N150" i="10" s="1"/>
  <c r="J89" i="10"/>
  <c r="N89" i="10" s="1"/>
  <c r="J203" i="10"/>
  <c r="N203" i="10" s="1"/>
  <c r="J79" i="10"/>
  <c r="N79" i="10" s="1"/>
  <c r="J32" i="10"/>
  <c r="N32" i="10" s="1"/>
  <c r="J73" i="10"/>
  <c r="N73" i="10" s="1"/>
  <c r="J63" i="10"/>
  <c r="N63" i="10" s="1"/>
  <c r="J195" i="10"/>
  <c r="N195" i="10" s="1"/>
  <c r="J71" i="10"/>
  <c r="N71" i="10" s="1"/>
  <c r="J31" i="10"/>
  <c r="N31" i="10" s="1"/>
  <c r="J137" i="10"/>
  <c r="N137" i="10" s="1"/>
  <c r="J194" i="10"/>
  <c r="N194" i="10" s="1"/>
  <c r="J159" i="10"/>
  <c r="N159" i="10" s="1"/>
  <c r="J50" i="10"/>
  <c r="N50" i="10" s="1"/>
  <c r="J45" i="10"/>
  <c r="N45" i="10" s="1"/>
  <c r="J190" i="10"/>
  <c r="N190" i="10" s="1"/>
  <c r="J149" i="10"/>
  <c r="N149" i="10" s="1"/>
  <c r="J97" i="10"/>
  <c r="N97" i="10" s="1"/>
  <c r="J24" i="10"/>
  <c r="N24" i="10" s="1"/>
  <c r="J9" i="10"/>
  <c r="N9" i="10" s="1"/>
  <c r="J160" i="10"/>
  <c r="N160" i="10" s="1"/>
  <c r="J154" i="10"/>
  <c r="N154" i="10" s="1"/>
  <c r="J26" i="10"/>
  <c r="N26" i="10" s="1"/>
  <c r="J123" i="10"/>
  <c r="N123" i="10" s="1"/>
  <c r="J6" i="10"/>
  <c r="N6" i="10" s="1"/>
  <c r="J91" i="10"/>
  <c r="N91" i="10" s="1"/>
  <c r="J66" i="10"/>
  <c r="N66" i="10" s="1"/>
  <c r="J140" i="10"/>
  <c r="N140" i="10" s="1"/>
  <c r="J13" i="10"/>
  <c r="N13" i="10" s="1"/>
  <c r="J83" i="10"/>
  <c r="N83" i="10" s="1"/>
  <c r="J56" i="10"/>
  <c r="N56" i="10" s="1"/>
  <c r="J106" i="10"/>
  <c r="N106" i="10" s="1"/>
  <c r="J139" i="10"/>
  <c r="N139" i="10" s="1"/>
  <c r="J93" i="10"/>
  <c r="N93" i="10" s="1"/>
  <c r="J111" i="10"/>
  <c r="N111" i="10" s="1"/>
  <c r="J25" i="10"/>
  <c r="N25" i="10" s="1"/>
  <c r="J107" i="10"/>
  <c r="N107" i="10" s="1"/>
  <c r="J131" i="10"/>
  <c r="N131" i="10" s="1"/>
  <c r="J77" i="10"/>
  <c r="N77" i="10" s="1"/>
  <c r="J40" i="10"/>
  <c r="N40" i="10" s="1"/>
  <c r="J70" i="10"/>
  <c r="N70" i="10" s="1"/>
  <c r="J27" i="10"/>
  <c r="N27" i="10" s="1"/>
  <c r="J104" i="10"/>
  <c r="N104" i="10" s="1"/>
  <c r="J120" i="10"/>
  <c r="N120" i="10" s="1"/>
  <c r="J48" i="10"/>
  <c r="N48" i="10" s="1"/>
  <c r="J175" i="10"/>
  <c r="N175" i="10" s="1"/>
  <c r="J84" i="10"/>
  <c r="N84" i="10" s="1"/>
  <c r="J90" i="10"/>
  <c r="N90" i="10" s="1"/>
  <c r="J10" i="10"/>
  <c r="N10" i="10" s="1"/>
  <c r="J198" i="10"/>
  <c r="N198" i="10" s="1"/>
  <c r="J193" i="10"/>
  <c r="N193" i="10" s="1"/>
  <c r="J86" i="10"/>
  <c r="N86" i="10" s="1"/>
  <c r="J30" i="10"/>
  <c r="N30" i="10" s="1"/>
  <c r="J100" i="10"/>
  <c r="N100" i="10" s="1"/>
  <c r="J174" i="10"/>
  <c r="N174" i="10" s="1"/>
  <c r="J138" i="10"/>
  <c r="N138" i="10" s="1"/>
  <c r="J61" i="10"/>
  <c r="N61" i="10" s="1"/>
  <c r="J8" i="10"/>
  <c r="N8" i="10" s="1"/>
  <c r="J166" i="10"/>
  <c r="N166" i="10" s="1"/>
  <c r="J135" i="10"/>
  <c r="N135" i="10" s="1"/>
  <c r="J57" i="10"/>
  <c r="N57" i="10" s="1"/>
  <c r="J34" i="10"/>
  <c r="N34" i="10" s="1"/>
  <c r="J181" i="10"/>
  <c r="N181" i="10" s="1"/>
  <c r="J125" i="10"/>
  <c r="N125" i="10" s="1"/>
  <c r="J23" i="10"/>
  <c r="N23" i="10" s="1"/>
  <c r="J80" i="10"/>
  <c r="N80" i="10" s="1"/>
  <c r="J11" i="10"/>
  <c r="N11" i="10" s="1"/>
  <c r="J132" i="10"/>
  <c r="N132" i="10" s="1"/>
  <c r="J119" i="10"/>
  <c r="N119" i="10" s="1"/>
  <c r="J20" i="10"/>
  <c r="N20" i="10" s="1"/>
  <c r="J7" i="10"/>
  <c r="N7" i="10" s="1"/>
  <c r="J202" i="10"/>
  <c r="N202" i="10" s="1"/>
  <c r="J68" i="10"/>
  <c r="N68" i="10" s="1"/>
  <c r="J191" i="10"/>
  <c r="N191" i="10" s="1"/>
  <c r="J67" i="10"/>
  <c r="N67" i="10" s="1"/>
  <c r="J201" i="10"/>
  <c r="N201" i="10" s="1"/>
  <c r="J94" i="10"/>
  <c r="N94" i="10" s="1"/>
  <c r="J51" i="10"/>
  <c r="N51" i="10" s="1"/>
  <c r="J129" i="10"/>
  <c r="N129" i="10" s="1"/>
  <c r="J180" i="10"/>
  <c r="N180" i="10" s="1"/>
  <c r="J163" i="10"/>
  <c r="N163" i="10" s="1"/>
  <c r="J54" i="10"/>
  <c r="N54" i="10" s="1"/>
  <c r="J4" i="10"/>
  <c r="N4" i="10" s="1"/>
  <c r="J115" i="10"/>
  <c r="N115" i="10" s="1"/>
  <c r="J152" i="10"/>
  <c r="N152" i="10" s="1"/>
  <c r="J133" i="10"/>
  <c r="N133" i="10" s="1"/>
  <c r="J173" i="10"/>
  <c r="N173" i="10" s="1"/>
  <c r="J74" i="10"/>
  <c r="N74" i="10" s="1"/>
  <c r="J144" i="10"/>
  <c r="N144" i="10" s="1"/>
  <c r="J130" i="10"/>
  <c r="N130" i="10" s="1"/>
  <c r="J109" i="10"/>
  <c r="N109" i="10" s="1"/>
  <c r="J158" i="10"/>
  <c r="N158" i="10" s="1"/>
  <c r="J117" i="10"/>
  <c r="N117" i="10" s="1"/>
  <c r="J49" i="10"/>
  <c r="N49" i="10" s="1"/>
  <c r="J41" i="10"/>
  <c r="N41" i="10" s="1"/>
  <c r="J176" i="10"/>
  <c r="N176" i="10" s="1"/>
  <c r="J199" i="10"/>
  <c r="N199" i="10" s="1"/>
  <c r="J113" i="10"/>
  <c r="N113" i="10" s="1"/>
  <c r="J42" i="10"/>
  <c r="N42" i="10" s="1"/>
  <c r="J16" i="10"/>
  <c r="N16" i="10" s="1"/>
  <c r="J188" i="10"/>
  <c r="N188" i="10" s="1"/>
  <c r="J178" i="10"/>
  <c r="N178" i="10" s="1"/>
  <c r="J58" i="10"/>
  <c r="N58" i="10" s="1"/>
  <c r="J75" i="10"/>
  <c r="N75" i="10" s="1"/>
  <c r="J35" i="10"/>
  <c r="N35" i="10" s="1"/>
  <c r="E3" i="6"/>
  <c r="G3" i="6"/>
  <c r="I19" i="10"/>
  <c r="I9" i="10"/>
  <c r="I20" i="10"/>
  <c r="I12" i="10"/>
  <c r="A3" i="39"/>
  <c r="C3" i="39" s="1"/>
  <c r="W8" i="4"/>
  <c r="A3" i="40" s="1"/>
  <c r="C3" i="40" s="1"/>
  <c r="A3" i="26"/>
  <c r="C3" i="26" s="1"/>
  <c r="G2" i="6"/>
  <c r="I7" i="6" s="1"/>
  <c r="I24" i="6"/>
  <c r="E2" i="6"/>
  <c r="I3" i="6"/>
  <c r="I11" i="6" s="1"/>
  <c r="I25" i="6"/>
  <c r="I2" i="6"/>
  <c r="I19" i="33"/>
  <c r="I20" i="33"/>
  <c r="I9" i="33"/>
  <c r="I12" i="33"/>
  <c r="A2" i="39"/>
  <c r="C2" i="39" s="1"/>
  <c r="A2" i="26"/>
  <c r="C2" i="26" s="1"/>
  <c r="J154" i="33"/>
  <c r="N154" i="33" s="1"/>
  <c r="J135" i="33"/>
  <c r="N135" i="33" s="1"/>
  <c r="J44" i="33"/>
  <c r="J168" i="33"/>
  <c r="N168" i="33" s="1"/>
  <c r="J3" i="33"/>
  <c r="N3" i="33" s="1"/>
  <c r="J181" i="33"/>
  <c r="N181" i="33" s="1"/>
  <c r="J128" i="33"/>
  <c r="N128" i="33" s="1"/>
  <c r="J22" i="33"/>
  <c r="N22" i="33" s="1"/>
  <c r="J171" i="33"/>
  <c r="N171" i="33" s="1"/>
  <c r="J176" i="33"/>
  <c r="N176" i="33" s="1"/>
  <c r="J51" i="33"/>
  <c r="N51" i="33" s="1"/>
  <c r="J20" i="33"/>
  <c r="N20" i="33" s="1"/>
  <c r="J110" i="33"/>
  <c r="N110" i="33" s="1"/>
  <c r="J75" i="33"/>
  <c r="N75" i="33" s="1"/>
  <c r="J49" i="33"/>
  <c r="N49" i="33" s="1"/>
  <c r="J108" i="33"/>
  <c r="N108" i="33" s="1"/>
  <c r="J145" i="33"/>
  <c r="N145" i="33" s="1"/>
  <c r="J155" i="33"/>
  <c r="N155" i="33" s="1"/>
  <c r="J129" i="33"/>
  <c r="N129" i="33" s="1"/>
  <c r="J42" i="33"/>
  <c r="N42" i="33" s="1"/>
  <c r="J69" i="33"/>
  <c r="N69" i="33" s="1"/>
  <c r="J86" i="33"/>
  <c r="N86" i="33" s="1"/>
  <c r="J147" i="33"/>
  <c r="N147" i="33" s="1"/>
  <c r="J102" i="33"/>
  <c r="N102" i="33" s="1"/>
  <c r="J19" i="33"/>
  <c r="N19" i="33" s="1"/>
  <c r="J99" i="33"/>
  <c r="N99" i="33" s="1"/>
  <c r="J70" i="33"/>
  <c r="N70" i="33" s="1"/>
  <c r="J92" i="33"/>
  <c r="N92" i="33" s="1"/>
  <c r="J105" i="33"/>
  <c r="N105" i="33" s="1"/>
  <c r="J76" i="33"/>
  <c r="N76" i="33" s="1"/>
  <c r="J68" i="33"/>
  <c r="N68" i="33" s="1"/>
  <c r="J187" i="33"/>
  <c r="N187" i="33" s="1"/>
  <c r="J53" i="33"/>
  <c r="N53" i="33" s="1"/>
  <c r="J30" i="33"/>
  <c r="N30" i="33" s="1"/>
  <c r="J80" i="33"/>
  <c r="N80" i="33" s="1"/>
  <c r="J190" i="33"/>
  <c r="N190" i="33" s="1"/>
  <c r="J117" i="33"/>
  <c r="N117" i="33" s="1"/>
  <c r="J183" i="33"/>
  <c r="N183" i="33" s="1"/>
  <c r="J7" i="33"/>
  <c r="N7" i="33" s="1"/>
  <c r="J204" i="33"/>
  <c r="N204" i="33" s="1"/>
  <c r="J62" i="33"/>
  <c r="N62" i="33" s="1"/>
  <c r="J37" i="33"/>
  <c r="N37" i="33" s="1"/>
  <c r="J195" i="33"/>
  <c r="J194" i="33"/>
  <c r="N194" i="33" s="1"/>
  <c r="J84" i="33"/>
  <c r="N84" i="33" s="1"/>
  <c r="J82" i="33"/>
  <c r="N82" i="33" s="1"/>
  <c r="J136" i="33"/>
  <c r="N136" i="33" s="1"/>
  <c r="J104" i="33"/>
  <c r="N104" i="33" s="1"/>
  <c r="J188" i="33"/>
  <c r="N188" i="33" s="1"/>
  <c r="J175" i="33"/>
  <c r="N175" i="33" s="1"/>
  <c r="J27" i="33"/>
  <c r="N27" i="33" s="1"/>
  <c r="J119" i="33"/>
  <c r="N119" i="33" s="1"/>
  <c r="J81" i="33"/>
  <c r="N81" i="33" s="1"/>
  <c r="J180" i="33"/>
  <c r="N180" i="33" s="1"/>
  <c r="J153" i="33"/>
  <c r="N153" i="33" s="1"/>
  <c r="J26" i="33"/>
  <c r="N26" i="33" s="1"/>
  <c r="J202" i="33"/>
  <c r="N202" i="33" s="1"/>
  <c r="J15" i="33"/>
  <c r="N15" i="33" s="1"/>
  <c r="J74" i="33"/>
  <c r="N74" i="33" s="1"/>
  <c r="J123" i="33"/>
  <c r="N123" i="33" s="1"/>
  <c r="J78" i="33"/>
  <c r="N78" i="33" s="1"/>
  <c r="J60" i="33"/>
  <c r="N60" i="33" s="1"/>
  <c r="J13" i="33"/>
  <c r="N13" i="33" s="1"/>
  <c r="J126" i="33"/>
  <c r="N126" i="33" s="1"/>
  <c r="J91" i="33"/>
  <c r="N91" i="33" s="1"/>
  <c r="J65" i="33"/>
  <c r="N65" i="33" s="1"/>
  <c r="J170" i="33"/>
  <c r="N170" i="33" s="1"/>
  <c r="J140" i="33"/>
  <c r="N140" i="33" s="1"/>
  <c r="J79" i="33"/>
  <c r="N79" i="33" s="1"/>
  <c r="J46" i="33"/>
  <c r="N46" i="33" s="1"/>
  <c r="J197" i="33"/>
  <c r="N197" i="33" s="1"/>
  <c r="J130" i="33"/>
  <c r="N130" i="33" s="1"/>
  <c r="J93" i="33"/>
  <c r="N93" i="33" s="1"/>
  <c r="J35" i="33"/>
  <c r="N35" i="33" s="1"/>
  <c r="J94" i="33"/>
  <c r="N94" i="33" s="1"/>
  <c r="J50" i="33"/>
  <c r="N50" i="33" s="1"/>
  <c r="J124" i="33"/>
  <c r="N124" i="33" s="1"/>
  <c r="J63" i="33"/>
  <c r="N63" i="33" s="1"/>
  <c r="J59" i="33"/>
  <c r="N59" i="33" s="1"/>
  <c r="J127" i="33"/>
  <c r="N127" i="33" s="1"/>
  <c r="J5" i="33"/>
  <c r="N5" i="33" s="1"/>
  <c r="J116" i="33"/>
  <c r="N116" i="33" s="1"/>
  <c r="J55" i="33"/>
  <c r="N55" i="33" s="1"/>
  <c r="J52" i="33"/>
  <c r="N52" i="33" s="1"/>
  <c r="J29" i="33"/>
  <c r="N29" i="33" s="1"/>
  <c r="J156" i="33"/>
  <c r="N156" i="33" s="1"/>
  <c r="J95" i="33"/>
  <c r="N95" i="33" s="1"/>
  <c r="J6" i="33"/>
  <c r="N6" i="33" s="1"/>
  <c r="J162" i="33"/>
  <c r="N162" i="33" s="1"/>
  <c r="J161" i="33"/>
  <c r="N161" i="33" s="1"/>
  <c r="J100" i="33"/>
  <c r="N100" i="33" s="1"/>
  <c r="J98" i="33"/>
  <c r="N98" i="33" s="1"/>
  <c r="J177" i="33"/>
  <c r="N177" i="33" s="1"/>
  <c r="J173" i="33"/>
  <c r="N173" i="33" s="1"/>
  <c r="J113" i="33"/>
  <c r="N113" i="33" s="1"/>
  <c r="J16" i="33"/>
  <c r="N16" i="33" s="1"/>
  <c r="J167" i="33"/>
  <c r="N167" i="33" s="1"/>
  <c r="J163" i="33"/>
  <c r="N163" i="33" s="1"/>
  <c r="J144" i="33"/>
  <c r="J48" i="33"/>
  <c r="N48" i="33" s="1"/>
  <c r="J47" i="33"/>
  <c r="N47" i="33" s="1"/>
  <c r="J41" i="33"/>
  <c r="N41" i="33" s="1"/>
  <c r="J157" i="33"/>
  <c r="N157" i="33" s="1"/>
  <c r="J96" i="33"/>
  <c r="N96" i="33" s="1"/>
  <c r="J10" i="33"/>
  <c r="N10" i="33" s="1"/>
  <c r="J12" i="33"/>
  <c r="N12" i="33" s="1"/>
  <c r="J24" i="33"/>
  <c r="N24" i="33" s="1"/>
  <c r="J149" i="33"/>
  <c r="N149" i="33" s="1"/>
  <c r="J88" i="33"/>
  <c r="N88" i="33" s="1"/>
  <c r="J39" i="33"/>
  <c r="J134" i="33"/>
  <c r="N134" i="33" s="1"/>
  <c r="J73" i="33"/>
  <c r="N73" i="33" s="1"/>
  <c r="J38" i="33"/>
  <c r="N38" i="33" s="1"/>
  <c r="J90" i="33"/>
  <c r="N90" i="33" s="1"/>
  <c r="J8" i="33"/>
  <c r="N8" i="33" s="1"/>
  <c r="J178" i="33"/>
  <c r="N178" i="33" s="1"/>
  <c r="J2" i="33"/>
  <c r="N2" i="33" s="1"/>
  <c r="J189" i="33"/>
  <c r="N189" i="33" s="1"/>
  <c r="J143" i="33"/>
  <c r="N143" i="33" s="1"/>
  <c r="J17" i="33"/>
  <c r="N17" i="33" s="1"/>
  <c r="J133" i="33"/>
  <c r="N133" i="33" s="1"/>
  <c r="J146" i="33"/>
  <c r="N146" i="33" s="1"/>
  <c r="J120" i="33"/>
  <c r="N120" i="33" s="1"/>
  <c r="J43" i="33"/>
  <c r="N43" i="33" s="1"/>
  <c r="J182" i="33"/>
  <c r="N182" i="33" s="1"/>
  <c r="J109" i="33"/>
  <c r="N109" i="33" s="1"/>
  <c r="J152" i="33"/>
  <c r="N152" i="33" s="1"/>
  <c r="J9" i="33"/>
  <c r="N9" i="33" s="1"/>
  <c r="J184" i="33"/>
  <c r="N184" i="33" s="1"/>
  <c r="J196" i="33"/>
  <c r="N196" i="33" s="1"/>
  <c r="J54" i="33"/>
  <c r="N54" i="33" s="1"/>
  <c r="J36" i="33"/>
  <c r="N36" i="33" s="1"/>
  <c r="J58" i="33"/>
  <c r="N58" i="33" s="1"/>
  <c r="J166" i="33"/>
  <c r="N166" i="33" s="1"/>
  <c r="J159" i="33"/>
  <c r="N159" i="33" s="1"/>
  <c r="J106" i="33"/>
  <c r="N106" i="33" s="1"/>
  <c r="J31" i="33"/>
  <c r="N31" i="33" s="1"/>
  <c r="J56" i="33"/>
  <c r="N56" i="33" s="1"/>
  <c r="J158" i="33"/>
  <c r="N158" i="33" s="1"/>
  <c r="J151" i="33"/>
  <c r="N151" i="33" s="1"/>
  <c r="J97" i="33"/>
  <c r="N97" i="33" s="1"/>
  <c r="J21" i="33"/>
  <c r="N21" i="33" s="1"/>
  <c r="J115" i="33"/>
  <c r="N115" i="33" s="1"/>
  <c r="J199" i="33"/>
  <c r="N199" i="33" s="1"/>
  <c r="J186" i="33"/>
  <c r="N186" i="33" s="1"/>
  <c r="J66" i="33"/>
  <c r="N66" i="33" s="1"/>
  <c r="J198" i="33"/>
  <c r="N198" i="33" s="1"/>
  <c r="J125" i="33"/>
  <c r="N125" i="33" s="1"/>
  <c r="J64" i="33"/>
  <c r="N64" i="33" s="1"/>
  <c r="J23" i="33"/>
  <c r="N23" i="33" s="1"/>
  <c r="J61" i="33"/>
  <c r="N61" i="33" s="1"/>
  <c r="J179" i="33"/>
  <c r="N179" i="33" s="1"/>
  <c r="J45" i="33"/>
  <c r="N45" i="33" s="1"/>
  <c r="J28" i="33"/>
  <c r="N28" i="33" s="1"/>
  <c r="J118" i="33"/>
  <c r="J83" i="33"/>
  <c r="N83" i="33" s="1"/>
  <c r="J57" i="33"/>
  <c r="N57" i="33" s="1"/>
  <c r="J150" i="33"/>
  <c r="N150" i="33" s="1"/>
  <c r="J112" i="33"/>
  <c r="N112" i="33" s="1"/>
  <c r="J132" i="33"/>
  <c r="N132" i="33" s="1"/>
  <c r="J71" i="33"/>
  <c r="N71" i="33" s="1"/>
  <c r="J34" i="33"/>
  <c r="N34" i="33" s="1"/>
  <c r="J40" i="33"/>
  <c r="J201" i="33"/>
  <c r="N201" i="33" s="1"/>
  <c r="J67" i="33"/>
  <c r="N67" i="33" s="1"/>
  <c r="J192" i="33"/>
  <c r="N192" i="33" s="1"/>
  <c r="J139" i="33"/>
  <c r="N139" i="33" s="1"/>
  <c r="J142" i="33"/>
  <c r="N142" i="33" s="1"/>
  <c r="J193" i="33"/>
  <c r="N193" i="33" s="1"/>
  <c r="J200" i="33"/>
  <c r="N200" i="33" s="1"/>
  <c r="J160" i="33"/>
  <c r="J32" i="33"/>
  <c r="N32" i="33" s="1"/>
  <c r="J165" i="33"/>
  <c r="N165" i="33" s="1"/>
  <c r="J164" i="33"/>
  <c r="N164" i="33" s="1"/>
  <c r="J169" i="33"/>
  <c r="N169" i="33" s="1"/>
  <c r="J111" i="33"/>
  <c r="N111" i="33" s="1"/>
  <c r="J107" i="33"/>
  <c r="N107" i="33" s="1"/>
  <c r="J185" i="33"/>
  <c r="N185" i="33" s="1"/>
  <c r="J4" i="33"/>
  <c r="N4" i="33" s="1"/>
  <c r="J148" i="33"/>
  <c r="N148" i="33" s="1"/>
  <c r="J87" i="33"/>
  <c r="N87" i="33" s="1"/>
  <c r="J11" i="33"/>
  <c r="N11" i="33" s="1"/>
  <c r="J138" i="33"/>
  <c r="N138" i="33" s="1"/>
  <c r="J101" i="33"/>
  <c r="N101" i="33" s="1"/>
  <c r="J33" i="33"/>
  <c r="N33" i="33" s="1"/>
  <c r="J89" i="33"/>
  <c r="N89" i="33" s="1"/>
  <c r="J174" i="33"/>
  <c r="J191" i="33"/>
  <c r="N191" i="33" s="1"/>
  <c r="J137" i="33"/>
  <c r="J203" i="33"/>
  <c r="N203" i="33" s="1"/>
  <c r="J131" i="33"/>
  <c r="N131" i="33" s="1"/>
  <c r="J122" i="33"/>
  <c r="N122" i="33" s="1"/>
  <c r="J85" i="33"/>
  <c r="N85" i="33" s="1"/>
  <c r="J25" i="33"/>
  <c r="N25" i="33" s="1"/>
  <c r="J141" i="33"/>
  <c r="N141" i="33" s="1"/>
  <c r="J121" i="33"/>
  <c r="N121" i="33" s="1"/>
  <c r="J114" i="33"/>
  <c r="N114" i="33" s="1"/>
  <c r="J77" i="33"/>
  <c r="N77" i="33" s="1"/>
  <c r="J18" i="33"/>
  <c r="N18" i="33" s="1"/>
  <c r="J72" i="33"/>
  <c r="N72" i="33" s="1"/>
  <c r="J14" i="33"/>
  <c r="N14" i="33" s="1"/>
  <c r="J172" i="33"/>
  <c r="N172" i="33" s="1"/>
  <c r="I5" i="10"/>
  <c r="I8" i="10" s="1"/>
  <c r="I11" i="10"/>
  <c r="L49" i="11"/>
  <c r="L150" i="11"/>
  <c r="L151" i="11"/>
  <c r="L180" i="27"/>
  <c r="L178" i="27"/>
  <c r="L104" i="27"/>
  <c r="L57" i="27"/>
  <c r="L78" i="27"/>
  <c r="L112" i="27"/>
  <c r="L29" i="27"/>
  <c r="L194" i="27"/>
  <c r="L193" i="27"/>
  <c r="L44" i="27"/>
  <c r="L124" i="27"/>
  <c r="L152" i="27"/>
  <c r="L163" i="27"/>
  <c r="L201" i="27"/>
  <c r="L70" i="27"/>
  <c r="L106" i="27"/>
  <c r="L28" i="27"/>
  <c r="L129" i="27"/>
  <c r="L88" i="27"/>
  <c r="L23" i="27"/>
  <c r="L137" i="27"/>
  <c r="L61" i="27"/>
  <c r="L154" i="27"/>
  <c r="L56" i="27"/>
  <c r="L13" i="27"/>
  <c r="L200" i="27"/>
  <c r="L9" i="27"/>
  <c r="L143" i="27"/>
  <c r="L149" i="27"/>
  <c r="L141" i="27"/>
  <c r="L51" i="27"/>
  <c r="L62" i="27"/>
  <c r="L58" i="27"/>
  <c r="L52" i="27"/>
  <c r="L77" i="27"/>
  <c r="L173" i="27"/>
  <c r="L19" i="27"/>
  <c r="L92" i="27"/>
  <c r="L79" i="27"/>
  <c r="L38" i="27"/>
  <c r="L102" i="27"/>
  <c r="L186" i="27"/>
  <c r="L131" i="27"/>
  <c r="L8" i="27"/>
  <c r="L17" i="27"/>
  <c r="L109" i="27"/>
  <c r="L60" i="27"/>
  <c r="L50" i="27"/>
  <c r="L115" i="27"/>
  <c r="L30" i="27"/>
  <c r="L127" i="27"/>
  <c r="L108" i="27"/>
  <c r="L136" i="27"/>
  <c r="L174" i="27"/>
  <c r="L133" i="27"/>
  <c r="L47" i="27"/>
  <c r="L45" i="27"/>
  <c r="L74" i="27"/>
  <c r="L134" i="27"/>
  <c r="L12" i="27"/>
  <c r="L119" i="27"/>
  <c r="L165" i="27"/>
  <c r="L169" i="27"/>
  <c r="L20" i="27"/>
  <c r="L71" i="27"/>
  <c r="L10" i="27"/>
  <c r="L84" i="27"/>
  <c r="L85" i="27"/>
  <c r="L40" i="27"/>
  <c r="L118" i="27"/>
  <c r="L177" i="27"/>
  <c r="L11" i="27"/>
  <c r="L73" i="27"/>
  <c r="L138" i="27"/>
  <c r="L3" i="27"/>
  <c r="L53" i="27"/>
  <c r="L188" i="27"/>
  <c r="L196" i="27"/>
  <c r="L34" i="27"/>
  <c r="L128" i="27"/>
  <c r="L16" i="27"/>
  <c r="L191" i="27"/>
  <c r="L83" i="27"/>
  <c r="L125" i="27"/>
  <c r="L158" i="27"/>
  <c r="L96" i="27"/>
  <c r="L189" i="27"/>
  <c r="L4" i="27"/>
  <c r="L66" i="27"/>
  <c r="L202" i="27"/>
  <c r="L36" i="27"/>
  <c r="L32" i="27"/>
  <c r="L145" i="27"/>
  <c r="L183" i="27"/>
  <c r="L86" i="27"/>
  <c r="L43" i="27"/>
  <c r="L184" i="27"/>
  <c r="L123" i="27"/>
  <c r="L59" i="27"/>
  <c r="L132" i="27"/>
  <c r="L156" i="27"/>
  <c r="L144" i="27"/>
  <c r="L111" i="27"/>
  <c r="L94" i="27"/>
  <c r="L99" i="27"/>
  <c r="L116" i="27"/>
  <c r="L121" i="27"/>
  <c r="L35" i="27"/>
  <c r="L89" i="27"/>
  <c r="L167" i="27"/>
  <c r="L42" i="27"/>
  <c r="L139" i="27"/>
  <c r="L179" i="27"/>
  <c r="L22" i="27"/>
  <c r="L15" i="27"/>
  <c r="L105" i="27"/>
  <c r="L164" i="27"/>
  <c r="L87" i="27"/>
  <c r="L155" i="27"/>
  <c r="L182" i="27"/>
  <c r="L24" i="27"/>
  <c r="L54" i="27"/>
  <c r="L55" i="27"/>
  <c r="L142" i="27"/>
  <c r="L49" i="27"/>
  <c r="L26" i="27"/>
  <c r="L27" i="27"/>
  <c r="L82" i="27"/>
  <c r="L100" i="27"/>
  <c r="L195" i="27"/>
  <c r="L81" i="27"/>
  <c r="L148" i="27"/>
  <c r="L41" i="27"/>
  <c r="L46" i="27"/>
  <c r="L120" i="27"/>
  <c r="L7" i="27"/>
  <c r="L14" i="27"/>
  <c r="L80" i="27"/>
  <c r="L153" i="27"/>
  <c r="L2" i="27"/>
  <c r="L76" i="27"/>
  <c r="L31" i="27"/>
  <c r="L146" i="27"/>
  <c r="L65" i="27"/>
  <c r="L117" i="27"/>
  <c r="L166" i="27"/>
  <c r="L135" i="27"/>
  <c r="L6" i="27"/>
  <c r="L126" i="27"/>
  <c r="L110" i="27"/>
  <c r="L25" i="27"/>
  <c r="L101" i="27"/>
  <c r="L181" i="27"/>
  <c r="L176" i="27"/>
  <c r="L64" i="27"/>
  <c r="L140" i="27"/>
  <c r="L37" i="27"/>
  <c r="L161" i="27"/>
  <c r="L107" i="27"/>
  <c r="L5" i="27"/>
  <c r="L69" i="27"/>
  <c r="L95" i="27"/>
  <c r="L114" i="27"/>
  <c r="L192" i="27"/>
  <c r="L18" i="27"/>
  <c r="L150" i="27"/>
  <c r="L48" i="27"/>
  <c r="L97" i="27"/>
  <c r="L21" i="27"/>
  <c r="L122" i="27"/>
  <c r="L72" i="27"/>
  <c r="L199" i="27"/>
  <c r="L190" i="27"/>
  <c r="L187" i="27"/>
  <c r="L171" i="27"/>
  <c r="L68" i="27"/>
  <c r="L160" i="27"/>
  <c r="L63" i="27"/>
  <c r="L197" i="27"/>
  <c r="L113" i="27"/>
  <c r="L147" i="27"/>
  <c r="L93" i="27"/>
  <c r="L159" i="27"/>
  <c r="L75" i="27"/>
  <c r="L91" i="27"/>
  <c r="L162" i="27"/>
  <c r="L67" i="27"/>
  <c r="L151" i="27"/>
  <c r="L203" i="27"/>
  <c r="L175" i="27"/>
  <c r="L157" i="27"/>
  <c r="L198" i="27"/>
  <c r="L39" i="27"/>
  <c r="L98" i="27"/>
  <c r="L130" i="27"/>
  <c r="L90" i="27"/>
  <c r="L33" i="27"/>
  <c r="L185" i="27"/>
  <c r="L170" i="27"/>
  <c r="L204" i="27"/>
  <c r="L168" i="27"/>
  <c r="I21" i="27"/>
  <c r="I22" i="27"/>
  <c r="I43" i="27"/>
  <c r="N39" i="27"/>
  <c r="L45" i="11"/>
  <c r="L82" i="11"/>
  <c r="L172" i="27"/>
  <c r="L40" i="11"/>
  <c r="L125" i="11"/>
  <c r="L79" i="11"/>
  <c r="L41" i="11"/>
  <c r="L165" i="11"/>
  <c r="I13" i="27"/>
  <c r="I14" i="27" s="1"/>
  <c r="I15" i="27"/>
  <c r="L137" i="11"/>
  <c r="L115" i="11"/>
  <c r="L122" i="11"/>
  <c r="L199" i="11"/>
  <c r="L32" i="11"/>
  <c r="L35" i="8"/>
  <c r="L120" i="8"/>
  <c r="L11" i="11"/>
  <c r="L29" i="11"/>
  <c r="L81" i="11"/>
  <c r="L201" i="11"/>
  <c r="L117" i="11"/>
  <c r="L13" i="11"/>
  <c r="L189" i="11"/>
  <c r="L58" i="11"/>
  <c r="L143" i="11"/>
  <c r="L52" i="11"/>
  <c r="L96" i="11"/>
  <c r="L132" i="11"/>
  <c r="L164" i="11"/>
  <c r="L55" i="11"/>
  <c r="L179" i="11"/>
  <c r="L47" i="11"/>
  <c r="L65" i="11"/>
  <c r="L72" i="11"/>
  <c r="L183" i="11"/>
  <c r="L176" i="11"/>
  <c r="L181" i="11"/>
  <c r="L62" i="11"/>
  <c r="L155" i="11"/>
  <c r="L54" i="11"/>
  <c r="L197" i="11"/>
  <c r="L38" i="11"/>
  <c r="L124" i="11"/>
  <c r="L174" i="11"/>
  <c r="L129" i="11"/>
  <c r="L87" i="11"/>
  <c r="L127" i="11"/>
  <c r="L2" i="11"/>
  <c r="L156" i="11"/>
  <c r="L88" i="11"/>
  <c r="L142" i="11"/>
  <c r="L9" i="11"/>
  <c r="L180" i="11"/>
  <c r="L19" i="11"/>
  <c r="L128" i="11"/>
  <c r="L60" i="11"/>
  <c r="L196" i="11"/>
  <c r="L71" i="11"/>
  <c r="L80" i="11"/>
  <c r="L204" i="11"/>
  <c r="L168" i="11"/>
  <c r="L93" i="11"/>
  <c r="L48" i="11"/>
  <c r="L17" i="11"/>
  <c r="L123" i="11"/>
  <c r="L170" i="11"/>
  <c r="L84" i="11"/>
  <c r="L159" i="11"/>
  <c r="L5" i="11"/>
  <c r="L27" i="11"/>
  <c r="L173" i="11"/>
  <c r="L37" i="11"/>
  <c r="L145" i="11"/>
  <c r="L91" i="11"/>
  <c r="L3" i="11"/>
  <c r="L56" i="11"/>
  <c r="L194" i="11"/>
  <c r="L74" i="11"/>
  <c r="L111" i="11"/>
  <c r="L202" i="11"/>
  <c r="L7" i="11"/>
  <c r="L119" i="11"/>
  <c r="L198" i="11"/>
  <c r="L130" i="11"/>
  <c r="L121" i="11"/>
  <c r="L68" i="11"/>
  <c r="L100" i="11"/>
  <c r="L192" i="11"/>
  <c r="L163" i="11"/>
  <c r="L171" i="11"/>
  <c r="L51" i="11"/>
  <c r="L114" i="11"/>
  <c r="L24" i="8"/>
  <c r="L15" i="11"/>
  <c r="L53" i="11"/>
  <c r="L139" i="11"/>
  <c r="L89" i="11"/>
  <c r="L120" i="11"/>
  <c r="L112" i="11"/>
  <c r="L146" i="11"/>
  <c r="L42" i="11"/>
  <c r="L136" i="11"/>
  <c r="L33" i="11"/>
  <c r="L43" i="11"/>
  <c r="L169" i="11"/>
  <c r="L21" i="11"/>
  <c r="L149" i="11"/>
  <c r="L70" i="11"/>
  <c r="L101" i="11"/>
  <c r="L109" i="11"/>
  <c r="L178" i="11"/>
  <c r="L105" i="11"/>
  <c r="L44" i="11"/>
  <c r="L61" i="11"/>
  <c r="L187" i="11"/>
  <c r="L176" i="8"/>
  <c r="L94" i="11"/>
  <c r="L75" i="11"/>
  <c r="L203" i="11"/>
  <c r="L104" i="11"/>
  <c r="L184" i="11"/>
  <c r="L158" i="11"/>
  <c r="L134" i="11"/>
  <c r="L99" i="11"/>
  <c r="L26" i="11"/>
  <c r="L77" i="11"/>
  <c r="L116" i="11"/>
  <c r="L28" i="11"/>
  <c r="L175" i="11"/>
  <c r="L148" i="11"/>
  <c r="L16" i="11"/>
  <c r="L59" i="11"/>
  <c r="L155" i="8"/>
  <c r="L73" i="8"/>
  <c r="L114" i="8"/>
  <c r="L195" i="8"/>
  <c r="L113" i="8"/>
  <c r="L110" i="8"/>
  <c r="L169" i="8"/>
  <c r="L28" i="8"/>
  <c r="L63" i="8"/>
  <c r="L173" i="8"/>
  <c r="L141" i="8"/>
  <c r="L182" i="8"/>
  <c r="L77" i="8"/>
  <c r="L24" i="11"/>
  <c r="L154" i="11"/>
  <c r="L188" i="11"/>
  <c r="L108" i="11"/>
  <c r="L23" i="11"/>
  <c r="L106" i="11"/>
  <c r="L161" i="11"/>
  <c r="L6" i="11"/>
  <c r="L50" i="11"/>
  <c r="L34" i="11"/>
  <c r="L110" i="11"/>
  <c r="L144" i="11"/>
  <c r="L162" i="11"/>
  <c r="L107" i="11"/>
  <c r="L57" i="11"/>
  <c r="L113" i="11"/>
  <c r="L193" i="11"/>
  <c r="L78" i="11"/>
  <c r="L66" i="11"/>
  <c r="L138" i="11"/>
  <c r="L185" i="11"/>
  <c r="I21" i="11"/>
  <c r="I27" i="11" s="1"/>
  <c r="L117" i="8"/>
  <c r="L142" i="8"/>
  <c r="L8" i="8"/>
  <c r="L135" i="11"/>
  <c r="L177" i="11"/>
  <c r="L191" i="11"/>
  <c r="L31" i="11"/>
  <c r="L46" i="11"/>
  <c r="L126" i="11"/>
  <c r="L160" i="11"/>
  <c r="I22" i="11"/>
  <c r="L203" i="8"/>
  <c r="L196" i="8"/>
  <c r="L72" i="8"/>
  <c r="I22" i="8"/>
  <c r="L53" i="8"/>
  <c r="L95" i="8"/>
  <c r="L104" i="8"/>
  <c r="L174" i="8"/>
  <c r="L73" i="11"/>
  <c r="L39" i="11"/>
  <c r="L186" i="11"/>
  <c r="L195" i="11"/>
  <c r="L36" i="11"/>
  <c r="L166" i="11"/>
  <c r="L200" i="11"/>
  <c r="L69" i="11"/>
  <c r="L92" i="11"/>
  <c r="L76" i="11"/>
  <c r="L141" i="11"/>
  <c r="L86" i="11"/>
  <c r="L18" i="11"/>
  <c r="L35" i="11"/>
  <c r="L118" i="11"/>
  <c r="L152" i="11"/>
  <c r="L95" i="11"/>
  <c r="L12" i="11"/>
  <c r="L20" i="11"/>
  <c r="L190" i="11"/>
  <c r="L116" i="8"/>
  <c r="L13" i="8"/>
  <c r="L26" i="8"/>
  <c r="L90" i="8"/>
  <c r="L30" i="11"/>
  <c r="L167" i="11"/>
  <c r="L172" i="11"/>
  <c r="L83" i="11"/>
  <c r="L147" i="11"/>
  <c r="L131" i="11"/>
  <c r="L97" i="11"/>
  <c r="L153" i="11"/>
  <c r="L64" i="11"/>
  <c r="L102" i="11"/>
  <c r="L133" i="11"/>
  <c r="L8" i="11"/>
  <c r="L10" i="11"/>
  <c r="L63" i="11"/>
  <c r="L85" i="11"/>
  <c r="L140" i="11"/>
  <c r="L67" i="11"/>
  <c r="L90" i="11"/>
  <c r="L14" i="11"/>
  <c r="L182" i="11"/>
  <c r="L25" i="11"/>
  <c r="L4" i="11"/>
  <c r="L22" i="11"/>
  <c r="L98" i="11"/>
  <c r="I28" i="11"/>
  <c r="L107" i="8"/>
  <c r="L87" i="8"/>
  <c r="L69" i="8"/>
  <c r="L157" i="8"/>
  <c r="L121" i="8"/>
  <c r="L177" i="8"/>
  <c r="L19" i="8"/>
  <c r="L181" i="8"/>
  <c r="L37" i="8"/>
  <c r="L34" i="8"/>
  <c r="L197" i="8"/>
  <c r="L111" i="8"/>
  <c r="I14" i="11"/>
  <c r="L133" i="8"/>
  <c r="L29" i="8"/>
  <c r="L188" i="8"/>
  <c r="L33" i="8"/>
  <c r="L204" i="8"/>
  <c r="L166" i="8"/>
  <c r="L122" i="8"/>
  <c r="I21" i="8"/>
  <c r="I29" i="8" s="1"/>
  <c r="L191" i="8"/>
  <c r="L41" i="8"/>
  <c r="L146" i="8"/>
  <c r="L70" i="8"/>
  <c r="L36" i="8"/>
  <c r="L149" i="8"/>
  <c r="L101" i="8"/>
  <c r="L124" i="8"/>
  <c r="L135" i="8"/>
  <c r="L32" i="8"/>
  <c r="L75" i="8"/>
  <c r="L198" i="8"/>
  <c r="L89" i="8"/>
  <c r="L38" i="8"/>
  <c r="L187" i="8"/>
  <c r="L22" i="8"/>
  <c r="L123" i="8"/>
  <c r="L49" i="8"/>
  <c r="L165" i="8"/>
  <c r="L27" i="8"/>
  <c r="L199" i="8"/>
  <c r="L15" i="8"/>
  <c r="L193" i="8"/>
  <c r="L74" i="8"/>
  <c r="L12" i="8"/>
  <c r="L93" i="8"/>
  <c r="L25" i="8"/>
  <c r="L94" i="8"/>
  <c r="L60" i="8"/>
  <c r="L52" i="8"/>
  <c r="L56" i="8"/>
  <c r="L130" i="8"/>
  <c r="L134" i="8"/>
  <c r="L14" i="8"/>
  <c r="L106" i="8"/>
  <c r="L45" i="8"/>
  <c r="L64" i="8"/>
  <c r="L138" i="8"/>
  <c r="L48" i="8"/>
  <c r="L200" i="8"/>
  <c r="L185" i="8"/>
  <c r="L59" i="8"/>
  <c r="L91" i="8"/>
  <c r="L71" i="8"/>
  <c r="L144" i="8"/>
  <c r="L184" i="8"/>
  <c r="L46" i="8"/>
  <c r="L143" i="8"/>
  <c r="L139" i="8"/>
  <c r="L7" i="8"/>
  <c r="L150" i="8"/>
  <c r="L162" i="8"/>
  <c r="L136" i="8"/>
  <c r="L180" i="8"/>
  <c r="L161" i="8"/>
  <c r="L171" i="8"/>
  <c r="L78" i="8"/>
  <c r="L9" i="8"/>
  <c r="L148" i="8"/>
  <c r="L58" i="8"/>
  <c r="L50" i="8"/>
  <c r="L3" i="8"/>
  <c r="L86" i="8"/>
  <c r="L105" i="8"/>
  <c r="L112" i="8"/>
  <c r="L127" i="8"/>
  <c r="L186" i="8"/>
  <c r="L88" i="8"/>
  <c r="L160" i="8"/>
  <c r="L84" i="8"/>
  <c r="L11" i="8"/>
  <c r="L190" i="8"/>
  <c r="L167" i="8"/>
  <c r="L128" i="8"/>
  <c r="L39" i="8"/>
  <c r="L6" i="8"/>
  <c r="L109" i="8"/>
  <c r="L76" i="8"/>
  <c r="L153" i="8"/>
  <c r="L4" i="8"/>
  <c r="L119" i="8"/>
  <c r="L21" i="8"/>
  <c r="L18" i="8"/>
  <c r="L126" i="8"/>
  <c r="L79" i="8"/>
  <c r="L159" i="8"/>
  <c r="L152" i="8"/>
  <c r="L132" i="8"/>
  <c r="L10" i="8"/>
  <c r="L170" i="8"/>
  <c r="L97" i="8"/>
  <c r="L99" i="8"/>
  <c r="L61" i="8"/>
  <c r="L100" i="8"/>
  <c r="L55" i="8"/>
  <c r="L2" i="8"/>
  <c r="L201" i="8"/>
  <c r="L154" i="8"/>
  <c r="L68" i="8"/>
  <c r="L43" i="8"/>
  <c r="L189" i="8"/>
  <c r="I14" i="8"/>
  <c r="I28" i="8"/>
  <c r="H37" i="8" s="1"/>
  <c r="L66" i="8"/>
  <c r="L51" i="8"/>
  <c r="L194" i="8"/>
  <c r="L82" i="8"/>
  <c r="L118" i="8"/>
  <c r="L54" i="8"/>
  <c r="L83" i="8"/>
  <c r="L47" i="8"/>
  <c r="L202" i="8"/>
  <c r="L158" i="8"/>
  <c r="L92" i="8"/>
  <c r="L96" i="8"/>
  <c r="L131" i="8"/>
  <c r="L115" i="8"/>
  <c r="L125" i="8"/>
  <c r="L40" i="8"/>
  <c r="L80" i="8"/>
  <c r="L81" i="8"/>
  <c r="L140" i="8"/>
  <c r="L44" i="8"/>
  <c r="L164" i="8"/>
  <c r="L102" i="8"/>
  <c r="L42" i="8"/>
  <c r="L145" i="8"/>
  <c r="L108" i="8"/>
  <c r="L62" i="8"/>
  <c r="L156" i="8"/>
  <c r="L163" i="8"/>
  <c r="L31" i="8"/>
  <c r="L151" i="8"/>
  <c r="L179" i="8"/>
  <c r="L57" i="8"/>
  <c r="L129" i="8"/>
  <c r="L175" i="8"/>
  <c r="L85" i="8"/>
  <c r="L137" i="8"/>
  <c r="L65" i="8"/>
  <c r="L16" i="8"/>
  <c r="L178" i="8"/>
  <c r="L67" i="8"/>
  <c r="L98" i="8"/>
  <c r="L183" i="8"/>
  <c r="L5" i="8"/>
  <c r="L23" i="8"/>
  <c r="L192" i="8"/>
  <c r="L20" i="8"/>
  <c r="L172" i="8"/>
  <c r="L30" i="8"/>
  <c r="L147" i="8"/>
  <c r="L17" i="8"/>
  <c r="G2" i="40" l="1"/>
  <c r="I13" i="33"/>
  <c r="I28" i="33" s="1"/>
  <c r="I2" i="46"/>
  <c r="E2" i="46"/>
  <c r="I5" i="46" s="1"/>
  <c r="I25" i="46"/>
  <c r="I3" i="46"/>
  <c r="I24" i="46"/>
  <c r="G2" i="46"/>
  <c r="I7" i="46" s="1"/>
  <c r="G3" i="40"/>
  <c r="I7" i="40" s="1"/>
  <c r="E3" i="40"/>
  <c r="I5" i="40" s="1"/>
  <c r="I25" i="40"/>
  <c r="I3" i="40"/>
  <c r="I2" i="40"/>
  <c r="I24" i="40"/>
  <c r="I17" i="33"/>
  <c r="L64" i="33" s="1"/>
  <c r="I45" i="33"/>
  <c r="H37" i="33"/>
  <c r="E32" i="3" s="1"/>
  <c r="I14" i="33"/>
  <c r="K40" i="33" s="1"/>
  <c r="O40" i="33" s="1"/>
  <c r="I13" i="10"/>
  <c r="I15" i="10"/>
  <c r="N174" i="33"/>
  <c r="N160" i="33"/>
  <c r="N40" i="33"/>
  <c r="N118" i="33"/>
  <c r="K118" i="33"/>
  <c r="O118" i="33" s="1"/>
  <c r="N137" i="33"/>
  <c r="N144" i="33"/>
  <c r="N195" i="33"/>
  <c r="N44" i="33"/>
  <c r="L178" i="33"/>
  <c r="L203" i="33"/>
  <c r="M203" i="33" s="1"/>
  <c r="P203" i="33" s="1"/>
  <c r="L183" i="33"/>
  <c r="M183" i="33" s="1"/>
  <c r="P183" i="33" s="1"/>
  <c r="L193" i="33"/>
  <c r="M193" i="33" s="1"/>
  <c r="P193" i="33" s="1"/>
  <c r="L56" i="33"/>
  <c r="M56" i="33" s="1"/>
  <c r="P56" i="33" s="1"/>
  <c r="L12" i="33"/>
  <c r="M12" i="33" s="1"/>
  <c r="P12" i="33" s="1"/>
  <c r="L165" i="33"/>
  <c r="M165" i="33" s="1"/>
  <c r="P165" i="33" s="1"/>
  <c r="L155" i="33"/>
  <c r="M155" i="33" s="1"/>
  <c r="P155" i="33" s="1"/>
  <c r="L139" i="33"/>
  <c r="M139" i="33" s="1"/>
  <c r="P139" i="33" s="1"/>
  <c r="L66" i="33"/>
  <c r="M66" i="33" s="1"/>
  <c r="P66" i="33" s="1"/>
  <c r="L191" i="33"/>
  <c r="M191" i="33" s="1"/>
  <c r="P191" i="33" s="1"/>
  <c r="L61" i="33"/>
  <c r="M61" i="33" s="1"/>
  <c r="P61" i="33" s="1"/>
  <c r="E3" i="26"/>
  <c r="G3" i="26"/>
  <c r="K129" i="33"/>
  <c r="O129" i="33" s="1"/>
  <c r="K143" i="33"/>
  <c r="O143" i="33" s="1"/>
  <c r="K95" i="33"/>
  <c r="O95" i="33" s="1"/>
  <c r="K145" i="33"/>
  <c r="O145" i="33" s="1"/>
  <c r="K19" i="33"/>
  <c r="O19" i="33" s="1"/>
  <c r="K98" i="33"/>
  <c r="O98" i="33" s="1"/>
  <c r="K17" i="33"/>
  <c r="O17" i="33" s="1"/>
  <c r="I10" i="6"/>
  <c r="K52" i="33"/>
  <c r="O52" i="33" s="1"/>
  <c r="K161" i="33"/>
  <c r="O161" i="33" s="1"/>
  <c r="K198" i="33"/>
  <c r="O198" i="33" s="1"/>
  <c r="K136" i="33"/>
  <c r="O136" i="33" s="1"/>
  <c r="K170" i="33"/>
  <c r="O170" i="33" s="1"/>
  <c r="I19" i="6"/>
  <c r="I12" i="6"/>
  <c r="I9" i="6"/>
  <c r="I20" i="6"/>
  <c r="G3" i="39"/>
  <c r="E3" i="39"/>
  <c r="K144" i="33"/>
  <c r="O144" i="33" s="1"/>
  <c r="K79" i="33"/>
  <c r="O79" i="33" s="1"/>
  <c r="K64" i="33"/>
  <c r="O64" i="33" s="1"/>
  <c r="K176" i="33"/>
  <c r="O176" i="33" s="1"/>
  <c r="K132" i="33"/>
  <c r="O132" i="33" s="1"/>
  <c r="K25" i="33"/>
  <c r="O25" i="33" s="1"/>
  <c r="K45" i="33"/>
  <c r="O45" i="33" s="1"/>
  <c r="K50" i="33"/>
  <c r="O50" i="33" s="1"/>
  <c r="G2" i="26"/>
  <c r="I7" i="26" s="1"/>
  <c r="E2" i="26"/>
  <c r="I5" i="26" s="1"/>
  <c r="I24" i="26"/>
  <c r="I2" i="26"/>
  <c r="I25" i="26"/>
  <c r="I3" i="26"/>
  <c r="I11" i="26" s="1"/>
  <c r="K28" i="33"/>
  <c r="O28" i="33" s="1"/>
  <c r="G2" i="39"/>
  <c r="E2" i="39"/>
  <c r="I3" i="39"/>
  <c r="I2" i="39"/>
  <c r="I25" i="39"/>
  <c r="I24" i="39"/>
  <c r="I15" i="33"/>
  <c r="K87" i="33"/>
  <c r="O87" i="33" s="1"/>
  <c r="K140" i="33"/>
  <c r="O140" i="33" s="1"/>
  <c r="K47" i="33"/>
  <c r="O47" i="33" s="1"/>
  <c r="K91" i="33"/>
  <c r="O91" i="33" s="1"/>
  <c r="K92" i="33"/>
  <c r="O92" i="33" s="1"/>
  <c r="K124" i="33"/>
  <c r="O124" i="33" s="1"/>
  <c r="N39" i="33"/>
  <c r="I43" i="33"/>
  <c r="I5" i="6"/>
  <c r="I8" i="6" s="1"/>
  <c r="I17" i="10"/>
  <c r="J193" i="6"/>
  <c r="N193" i="6" s="1"/>
  <c r="J204" i="6"/>
  <c r="N204" i="6" s="1"/>
  <c r="J163" i="6"/>
  <c r="N163" i="6" s="1"/>
  <c r="J113" i="6"/>
  <c r="N113" i="6" s="1"/>
  <c r="J123" i="6"/>
  <c r="N123" i="6" s="1"/>
  <c r="J164" i="6"/>
  <c r="N164" i="6" s="1"/>
  <c r="J81" i="6"/>
  <c r="N81" i="6" s="1"/>
  <c r="J160" i="6"/>
  <c r="N160" i="6" s="1"/>
  <c r="J6" i="6"/>
  <c r="N6" i="6" s="1"/>
  <c r="J158" i="6"/>
  <c r="N158" i="6" s="1"/>
  <c r="J68" i="6"/>
  <c r="N68" i="6" s="1"/>
  <c r="J78" i="6"/>
  <c r="N78" i="6" s="1"/>
  <c r="J187" i="6"/>
  <c r="N187" i="6" s="1"/>
  <c r="J31" i="6"/>
  <c r="N31" i="6" s="1"/>
  <c r="J77" i="6"/>
  <c r="N77" i="6" s="1"/>
  <c r="J140" i="6"/>
  <c r="N140" i="6" s="1"/>
  <c r="J21" i="6"/>
  <c r="N21" i="6" s="1"/>
  <c r="J87" i="6"/>
  <c r="N87" i="6" s="1"/>
  <c r="J59" i="6"/>
  <c r="N59" i="6" s="1"/>
  <c r="J39" i="6"/>
  <c r="J4" i="6"/>
  <c r="N4" i="6" s="1"/>
  <c r="J142" i="6"/>
  <c r="N142" i="6" s="1"/>
  <c r="J109" i="6"/>
  <c r="N109" i="6" s="1"/>
  <c r="J55" i="6"/>
  <c r="N55" i="6" s="1"/>
  <c r="J62" i="6"/>
  <c r="N62" i="6" s="1"/>
  <c r="J134" i="6"/>
  <c r="N134" i="6" s="1"/>
  <c r="J26" i="6"/>
  <c r="N26" i="6" s="1"/>
  <c r="J100" i="6"/>
  <c r="N100" i="6" s="1"/>
  <c r="J156" i="6"/>
  <c r="N156" i="6" s="1"/>
  <c r="J98" i="6"/>
  <c r="N98" i="6" s="1"/>
  <c r="J203" i="6"/>
  <c r="N203" i="6" s="1"/>
  <c r="J150" i="6"/>
  <c r="N150" i="6" s="1"/>
  <c r="J16" i="6"/>
  <c r="N16" i="6" s="1"/>
  <c r="J70" i="6"/>
  <c r="N70" i="6" s="1"/>
  <c r="J137" i="6"/>
  <c r="N137" i="6" s="1"/>
  <c r="J20" i="6"/>
  <c r="N20" i="6" s="1"/>
  <c r="J185" i="6"/>
  <c r="N185" i="6" s="1"/>
  <c r="J176" i="6"/>
  <c r="N176" i="6" s="1"/>
  <c r="J50" i="6"/>
  <c r="N50" i="6" s="1"/>
  <c r="J182" i="6"/>
  <c r="N182" i="6" s="1"/>
  <c r="J197" i="6"/>
  <c r="N197" i="6" s="1"/>
  <c r="J188" i="6"/>
  <c r="N188" i="6" s="1"/>
  <c r="J89" i="6"/>
  <c r="N89" i="6" s="1"/>
  <c r="J184" i="6"/>
  <c r="N184" i="6" s="1"/>
  <c r="J88" i="6"/>
  <c r="N88" i="6" s="1"/>
  <c r="J43" i="6"/>
  <c r="N43" i="6" s="1"/>
  <c r="J101" i="6"/>
  <c r="N101" i="6" s="1"/>
  <c r="J45" i="6"/>
  <c r="N45" i="6" s="1"/>
  <c r="J132" i="6"/>
  <c r="N132" i="6" s="1"/>
  <c r="J138" i="6"/>
  <c r="N138" i="6" s="1"/>
  <c r="J34" i="6"/>
  <c r="N34" i="6" s="1"/>
  <c r="J180" i="6"/>
  <c r="N180" i="6" s="1"/>
  <c r="J58" i="6"/>
  <c r="N58" i="6" s="1"/>
  <c r="J201" i="6"/>
  <c r="N201" i="6" s="1"/>
  <c r="J80" i="6"/>
  <c r="N80" i="6" s="1"/>
  <c r="J122" i="6"/>
  <c r="N122" i="6" s="1"/>
  <c r="J44" i="6"/>
  <c r="N44" i="6" s="1"/>
  <c r="J131" i="6"/>
  <c r="N131" i="6" s="1"/>
  <c r="J151" i="6"/>
  <c r="N151" i="6" s="1"/>
  <c r="J94" i="6"/>
  <c r="N94" i="6" s="1"/>
  <c r="J28" i="6"/>
  <c r="N28" i="6" s="1"/>
  <c r="J13" i="6"/>
  <c r="N13" i="6" s="1"/>
  <c r="J143" i="6"/>
  <c r="N143" i="6" s="1"/>
  <c r="J162" i="6"/>
  <c r="N162" i="6" s="1"/>
  <c r="J22" i="6"/>
  <c r="N22" i="6" s="1"/>
  <c r="J37" i="6"/>
  <c r="N37" i="6" s="1"/>
  <c r="J116" i="6"/>
  <c r="N116" i="6" s="1"/>
  <c r="J157" i="6"/>
  <c r="N157" i="6" s="1"/>
  <c r="J120" i="6"/>
  <c r="N120" i="6" s="1"/>
  <c r="J148" i="6"/>
  <c r="N148" i="6" s="1"/>
  <c r="J53" i="6"/>
  <c r="N53" i="6" s="1"/>
  <c r="J76" i="6"/>
  <c r="N76" i="6" s="1"/>
  <c r="J124" i="6"/>
  <c r="N124" i="6" s="1"/>
  <c r="J141" i="6"/>
  <c r="N141" i="6" s="1"/>
  <c r="J152" i="6"/>
  <c r="N152" i="6" s="1"/>
  <c r="J7" i="6"/>
  <c r="N7" i="6" s="1"/>
  <c r="J95" i="6"/>
  <c r="N95" i="6" s="1"/>
  <c r="J112" i="6"/>
  <c r="N112" i="6" s="1"/>
  <c r="J75" i="6"/>
  <c r="N75" i="6" s="1"/>
  <c r="J106" i="6"/>
  <c r="N106" i="6" s="1"/>
  <c r="J111" i="6"/>
  <c r="N111" i="6" s="1"/>
  <c r="J9" i="6"/>
  <c r="N9" i="6" s="1"/>
  <c r="J144" i="6"/>
  <c r="N144" i="6" s="1"/>
  <c r="J23" i="6"/>
  <c r="N23" i="6" s="1"/>
  <c r="J118" i="6"/>
  <c r="N118" i="6" s="1"/>
  <c r="J11" i="6"/>
  <c r="N11" i="6" s="1"/>
  <c r="J63" i="6"/>
  <c r="N63" i="6" s="1"/>
  <c r="J92" i="6"/>
  <c r="N92" i="6" s="1"/>
  <c r="J194" i="6"/>
  <c r="N194" i="6" s="1"/>
  <c r="J96" i="6"/>
  <c r="N96" i="6" s="1"/>
  <c r="J14" i="6"/>
  <c r="N14" i="6" s="1"/>
  <c r="J74" i="6"/>
  <c r="N74" i="6" s="1"/>
  <c r="J104" i="6"/>
  <c r="N104" i="6" s="1"/>
  <c r="J91" i="6"/>
  <c r="N91" i="6" s="1"/>
  <c r="J128" i="6"/>
  <c r="N128" i="6" s="1"/>
  <c r="J69" i="6"/>
  <c r="N69" i="6" s="1"/>
  <c r="J121" i="6"/>
  <c r="N121" i="6" s="1"/>
  <c r="J97" i="6"/>
  <c r="N97" i="6" s="1"/>
  <c r="J82" i="6"/>
  <c r="N82" i="6" s="1"/>
  <c r="J51" i="6"/>
  <c r="N51" i="6" s="1"/>
  <c r="J67" i="6"/>
  <c r="N67" i="6" s="1"/>
  <c r="J52" i="6"/>
  <c r="N52" i="6" s="1"/>
  <c r="J172" i="6"/>
  <c r="N172" i="6" s="1"/>
  <c r="J183" i="6"/>
  <c r="N183" i="6" s="1"/>
  <c r="J90" i="6"/>
  <c r="N90" i="6" s="1"/>
  <c r="J64" i="6"/>
  <c r="N64" i="6" s="1"/>
  <c r="J161" i="6"/>
  <c r="N161" i="6" s="1"/>
  <c r="J61" i="6"/>
  <c r="N61" i="6" s="1"/>
  <c r="J12" i="6"/>
  <c r="N12" i="6" s="1"/>
  <c r="J149" i="6"/>
  <c r="N149" i="6" s="1"/>
  <c r="J186" i="6"/>
  <c r="N186" i="6" s="1"/>
  <c r="J56" i="6"/>
  <c r="N56" i="6" s="1"/>
  <c r="J83" i="6"/>
  <c r="N83" i="6" s="1"/>
  <c r="J119" i="6"/>
  <c r="N119" i="6" s="1"/>
  <c r="J115" i="6"/>
  <c r="N115" i="6" s="1"/>
  <c r="J73" i="6"/>
  <c r="N73" i="6" s="1"/>
  <c r="J202" i="6"/>
  <c r="N202" i="6" s="1"/>
  <c r="J114" i="6"/>
  <c r="N114" i="6" s="1"/>
  <c r="J35" i="6"/>
  <c r="N35" i="6" s="1"/>
  <c r="J168" i="6"/>
  <c r="N168" i="6" s="1"/>
  <c r="J48" i="6"/>
  <c r="N48" i="6" s="1"/>
  <c r="J49" i="6"/>
  <c r="N49" i="6" s="1"/>
  <c r="J173" i="6"/>
  <c r="N173" i="6" s="1"/>
  <c r="J27" i="6"/>
  <c r="N27" i="6" s="1"/>
  <c r="J126" i="6"/>
  <c r="N126" i="6" s="1"/>
  <c r="J8" i="6"/>
  <c r="N8" i="6" s="1"/>
  <c r="J189" i="6"/>
  <c r="N189" i="6" s="1"/>
  <c r="J129" i="6"/>
  <c r="N129" i="6" s="1"/>
  <c r="J57" i="6"/>
  <c r="N57" i="6" s="1"/>
  <c r="J181" i="6"/>
  <c r="N181" i="6" s="1"/>
  <c r="J41" i="6"/>
  <c r="N41" i="6" s="1"/>
  <c r="J170" i="6"/>
  <c r="N170" i="6" s="1"/>
  <c r="J2" i="6"/>
  <c r="N2" i="6" s="1"/>
  <c r="J130" i="6"/>
  <c r="N130" i="6" s="1"/>
  <c r="J30" i="6"/>
  <c r="N30" i="6" s="1"/>
  <c r="J127" i="6"/>
  <c r="N127" i="6" s="1"/>
  <c r="J177" i="6"/>
  <c r="N177" i="6" s="1"/>
  <c r="J3" i="6"/>
  <c r="N3" i="6" s="1"/>
  <c r="J192" i="6"/>
  <c r="N192" i="6" s="1"/>
  <c r="J38" i="6"/>
  <c r="N38" i="6" s="1"/>
  <c r="J24" i="6"/>
  <c r="N24" i="6" s="1"/>
  <c r="J60" i="6"/>
  <c r="N60" i="6" s="1"/>
  <c r="J178" i="6"/>
  <c r="N178" i="6" s="1"/>
  <c r="J72" i="6"/>
  <c r="N72" i="6" s="1"/>
  <c r="J102" i="6"/>
  <c r="N102" i="6" s="1"/>
  <c r="J199" i="6"/>
  <c r="N199" i="6" s="1"/>
  <c r="J17" i="6"/>
  <c r="N17" i="6" s="1"/>
  <c r="J166" i="6"/>
  <c r="N166" i="6" s="1"/>
  <c r="J175" i="6"/>
  <c r="N175" i="6" s="1"/>
  <c r="J154" i="6"/>
  <c r="N154" i="6" s="1"/>
  <c r="J171" i="6"/>
  <c r="N171" i="6" s="1"/>
  <c r="J198" i="6"/>
  <c r="N198" i="6" s="1"/>
  <c r="J169" i="6"/>
  <c r="N169" i="6" s="1"/>
  <c r="J29" i="6"/>
  <c r="N29" i="6" s="1"/>
  <c r="J15" i="6"/>
  <c r="N15" i="6" s="1"/>
  <c r="J125" i="6"/>
  <c r="N125" i="6" s="1"/>
  <c r="J84" i="6"/>
  <c r="N84" i="6" s="1"/>
  <c r="J10" i="6"/>
  <c r="N10" i="6" s="1"/>
  <c r="J196" i="6"/>
  <c r="N196" i="6" s="1"/>
  <c r="J195" i="6"/>
  <c r="N195" i="6" s="1"/>
  <c r="J179" i="6"/>
  <c r="N179" i="6" s="1"/>
  <c r="J200" i="6"/>
  <c r="N200" i="6" s="1"/>
  <c r="J146" i="6"/>
  <c r="N146" i="6" s="1"/>
  <c r="J174" i="6"/>
  <c r="N174" i="6" s="1"/>
  <c r="J19" i="6"/>
  <c r="N19" i="6" s="1"/>
  <c r="J25" i="6"/>
  <c r="N25" i="6" s="1"/>
  <c r="J86" i="6"/>
  <c r="N86" i="6" s="1"/>
  <c r="J108" i="6"/>
  <c r="N108" i="6" s="1"/>
  <c r="J47" i="6"/>
  <c r="N47" i="6" s="1"/>
  <c r="J133" i="6"/>
  <c r="N133" i="6" s="1"/>
  <c r="J18" i="6"/>
  <c r="N18" i="6" s="1"/>
  <c r="J66" i="6"/>
  <c r="N66" i="6" s="1"/>
  <c r="J33" i="6"/>
  <c r="N33" i="6" s="1"/>
  <c r="J107" i="6"/>
  <c r="N107" i="6" s="1"/>
  <c r="J191" i="6"/>
  <c r="N191" i="6" s="1"/>
  <c r="J99" i="6"/>
  <c r="N99" i="6" s="1"/>
  <c r="J147" i="6"/>
  <c r="N147" i="6" s="1"/>
  <c r="J93" i="6"/>
  <c r="N93" i="6" s="1"/>
  <c r="J117" i="6"/>
  <c r="N117" i="6" s="1"/>
  <c r="J165" i="6"/>
  <c r="N165" i="6" s="1"/>
  <c r="J5" i="6"/>
  <c r="N5" i="6" s="1"/>
  <c r="J135" i="6"/>
  <c r="N135" i="6" s="1"/>
  <c r="J190" i="6"/>
  <c r="N190" i="6" s="1"/>
  <c r="J36" i="6"/>
  <c r="N36" i="6" s="1"/>
  <c r="J110" i="6"/>
  <c r="N110" i="6" s="1"/>
  <c r="J155" i="6"/>
  <c r="N155" i="6" s="1"/>
  <c r="J105" i="6"/>
  <c r="N105" i="6" s="1"/>
  <c r="J54" i="6"/>
  <c r="N54" i="6" s="1"/>
  <c r="J32" i="6"/>
  <c r="N32" i="6" s="1"/>
  <c r="J139" i="6"/>
  <c r="N139" i="6" s="1"/>
  <c r="J71" i="6"/>
  <c r="N71" i="6" s="1"/>
  <c r="J159" i="6"/>
  <c r="N159" i="6" s="1"/>
  <c r="J40" i="6"/>
  <c r="N40" i="6" s="1"/>
  <c r="J153" i="6"/>
  <c r="N153" i="6" s="1"/>
  <c r="J65" i="6"/>
  <c r="N65" i="6" s="1"/>
  <c r="J145" i="6"/>
  <c r="N145" i="6" s="1"/>
  <c r="J79" i="6"/>
  <c r="N79" i="6" s="1"/>
  <c r="J85" i="6"/>
  <c r="N85" i="6" s="1"/>
  <c r="J136" i="6"/>
  <c r="N136" i="6" s="1"/>
  <c r="J167" i="6"/>
  <c r="N167" i="6" s="1"/>
  <c r="J46" i="6"/>
  <c r="N46" i="6" s="1"/>
  <c r="J42" i="6"/>
  <c r="N42" i="6" s="1"/>
  <c r="N39" i="10"/>
  <c r="I43" i="10"/>
  <c r="H37" i="11"/>
  <c r="I45" i="11"/>
  <c r="E5" i="36" s="1"/>
  <c r="M20" i="8"/>
  <c r="P20" i="8" s="1"/>
  <c r="M151" i="8"/>
  <c r="P151" i="8" s="1"/>
  <c r="M102" i="8"/>
  <c r="P102" i="8" s="1"/>
  <c r="M173" i="27"/>
  <c r="P173" i="27" s="1"/>
  <c r="M141" i="27"/>
  <c r="P141" i="27" s="1"/>
  <c r="M109" i="27"/>
  <c r="P109" i="27" s="1"/>
  <c r="K174" i="27"/>
  <c r="O174" i="27" s="1"/>
  <c r="K142" i="27"/>
  <c r="O142" i="27" s="1"/>
  <c r="K110" i="27"/>
  <c r="O110" i="27" s="1"/>
  <c r="M166" i="27"/>
  <c r="P166" i="27" s="1"/>
  <c r="K119" i="27"/>
  <c r="O119" i="27" s="1"/>
  <c r="M83" i="27"/>
  <c r="P83" i="27" s="1"/>
  <c r="K169" i="27"/>
  <c r="O169" i="27" s="1"/>
  <c r="M126" i="27"/>
  <c r="P126" i="27" s="1"/>
  <c r="K83" i="27"/>
  <c r="O83" i="27" s="1"/>
  <c r="M162" i="27"/>
  <c r="P162" i="27" s="1"/>
  <c r="M124" i="27"/>
  <c r="P124" i="27" s="1"/>
  <c r="K86" i="27"/>
  <c r="O86" i="27" s="1"/>
  <c r="K129" i="27"/>
  <c r="O129" i="27" s="1"/>
  <c r="M81" i="27"/>
  <c r="P81" i="27" s="1"/>
  <c r="K197" i="27"/>
  <c r="O197" i="27" s="1"/>
  <c r="K136" i="27"/>
  <c r="O136" i="27" s="1"/>
  <c r="K80" i="27"/>
  <c r="O80" i="27" s="1"/>
  <c r="K48" i="27"/>
  <c r="O48" i="27" s="1"/>
  <c r="M140" i="27"/>
  <c r="P140" i="27" s="1"/>
  <c r="M87" i="27"/>
  <c r="P87" i="27" s="1"/>
  <c r="M52" i="27"/>
  <c r="P52" i="27" s="1"/>
  <c r="K162" i="27"/>
  <c r="O162" i="27" s="1"/>
  <c r="K98" i="27"/>
  <c r="O98" i="27" s="1"/>
  <c r="K59" i="27"/>
  <c r="O59" i="27" s="1"/>
  <c r="K132" i="27"/>
  <c r="O132" i="27" s="1"/>
  <c r="M71" i="27"/>
  <c r="P71" i="27" s="1"/>
  <c r="M185" i="27"/>
  <c r="P185" i="27" s="1"/>
  <c r="K55" i="27"/>
  <c r="O55" i="27" s="1"/>
  <c r="K165" i="27"/>
  <c r="O165" i="27" s="1"/>
  <c r="M100" i="27"/>
  <c r="P100" i="27" s="1"/>
  <c r="M29" i="27"/>
  <c r="P29" i="27" s="1"/>
  <c r="M202" i="27"/>
  <c r="P202" i="27" s="1"/>
  <c r="M54" i="27"/>
  <c r="P54" i="27" s="1"/>
  <c r="M22" i="27"/>
  <c r="P22" i="27" s="1"/>
  <c r="M89" i="27"/>
  <c r="P89" i="27" s="1"/>
  <c r="M33" i="27"/>
  <c r="P33" i="27" s="1"/>
  <c r="K7" i="27"/>
  <c r="O7" i="27" s="1"/>
  <c r="M154" i="27"/>
  <c r="P154" i="27" s="1"/>
  <c r="K37" i="27"/>
  <c r="O37" i="27" s="1"/>
  <c r="K65" i="27"/>
  <c r="O65" i="27" s="1"/>
  <c r="M10" i="27"/>
  <c r="P10" i="27" s="1"/>
  <c r="K199" i="27"/>
  <c r="O199" i="27" s="1"/>
  <c r="M67" i="27"/>
  <c r="P67" i="27" s="1"/>
  <c r="I31" i="27"/>
  <c r="K2" i="27"/>
  <c r="O2" i="27" s="1"/>
  <c r="M20" i="27"/>
  <c r="P20" i="27" s="1"/>
  <c r="M11" i="27"/>
  <c r="P11" i="27" s="1"/>
  <c r="M92" i="27"/>
  <c r="P92" i="27" s="1"/>
  <c r="M14" i="27"/>
  <c r="P14" i="27" s="1"/>
  <c r="K179" i="27"/>
  <c r="O179" i="27" s="1"/>
  <c r="M131" i="27"/>
  <c r="P131" i="27" s="1"/>
  <c r="M127" i="27"/>
  <c r="P127" i="27" s="1"/>
  <c r="K167" i="27"/>
  <c r="O167" i="27" s="1"/>
  <c r="K77" i="27"/>
  <c r="O77" i="27" s="1"/>
  <c r="K26" i="27"/>
  <c r="O26" i="27" s="1"/>
  <c r="K68" i="27"/>
  <c r="O68" i="27" s="1"/>
  <c r="M24" i="27"/>
  <c r="P24" i="27" s="1"/>
  <c r="K203" i="27"/>
  <c r="O203" i="27" s="1"/>
  <c r="K171" i="27"/>
  <c r="O171" i="27" s="1"/>
  <c r="K139" i="27"/>
  <c r="O139" i="27" s="1"/>
  <c r="M200" i="27"/>
  <c r="P200" i="27" s="1"/>
  <c r="M168" i="27"/>
  <c r="P168" i="27" s="1"/>
  <c r="M136" i="27"/>
  <c r="P136" i="27" s="1"/>
  <c r="M201" i="27"/>
  <c r="P201" i="27" s="1"/>
  <c r="M163" i="27"/>
  <c r="P163" i="27" s="1"/>
  <c r="K116" i="27"/>
  <c r="O116" i="27" s="1"/>
  <c r="K204" i="27"/>
  <c r="O204" i="27" s="1"/>
  <c r="M161" i="27"/>
  <c r="P161" i="27" s="1"/>
  <c r="M123" i="27"/>
  <c r="P123" i="27" s="1"/>
  <c r="K202" i="27"/>
  <c r="O202" i="27" s="1"/>
  <c r="M159" i="27"/>
  <c r="P159" i="27" s="1"/>
  <c r="K112" i="27"/>
  <c r="O112" i="27" s="1"/>
  <c r="K185" i="27"/>
  <c r="O185" i="27" s="1"/>
  <c r="K124" i="27"/>
  <c r="O124" i="27" s="1"/>
  <c r="K79" i="27"/>
  <c r="O79" i="27" s="1"/>
  <c r="K192" i="27"/>
  <c r="O192" i="27" s="1"/>
  <c r="M121" i="27"/>
  <c r="P121" i="27" s="1"/>
  <c r="M74" i="27"/>
  <c r="P74" i="27" s="1"/>
  <c r="M196" i="27"/>
  <c r="P196" i="27" s="1"/>
  <c r="M135" i="27"/>
  <c r="P135" i="27" s="1"/>
  <c r="K82" i="27"/>
  <c r="O82" i="27" s="1"/>
  <c r="K50" i="27"/>
  <c r="O50" i="27" s="1"/>
  <c r="K157" i="27"/>
  <c r="O157" i="27" s="1"/>
  <c r="M94" i="27"/>
  <c r="P94" i="27" s="1"/>
  <c r="K193" i="27"/>
  <c r="O193" i="27" s="1"/>
  <c r="K127" i="27"/>
  <c r="O127" i="27" s="1"/>
  <c r="K69" i="27"/>
  <c r="O69" i="27" s="1"/>
  <c r="M172" i="27"/>
  <c r="P172" i="27" s="1"/>
  <c r="M51" i="27"/>
  <c r="P51" i="27" s="1"/>
  <c r="M145" i="27"/>
  <c r="P145" i="27" s="1"/>
  <c r="M78" i="27"/>
  <c r="P78" i="27" s="1"/>
  <c r="M28" i="27"/>
  <c r="P28" i="27" s="1"/>
  <c r="M150" i="27"/>
  <c r="P150" i="27" s="1"/>
  <c r="K47" i="27"/>
  <c r="O47" i="27" s="1"/>
  <c r="K20" i="27"/>
  <c r="O20" i="27" s="1"/>
  <c r="M62" i="27"/>
  <c r="P62" i="27" s="1"/>
  <c r="K30" i="27"/>
  <c r="O30" i="27" s="1"/>
  <c r="K32" i="27"/>
  <c r="O32" i="27" s="1"/>
  <c r="M115" i="27"/>
  <c r="P115" i="27" s="1"/>
  <c r="K35" i="27"/>
  <c r="O35" i="27" s="1"/>
  <c r="K62" i="27"/>
  <c r="O62" i="27" s="1"/>
  <c r="M2" i="27"/>
  <c r="P2" i="27" s="1"/>
  <c r="K186" i="27"/>
  <c r="O186" i="27" s="1"/>
  <c r="M64" i="27"/>
  <c r="P64" i="27" s="1"/>
  <c r="M25" i="27"/>
  <c r="P25" i="27" s="1"/>
  <c r="M6" i="27"/>
  <c r="P6" i="27" s="1"/>
  <c r="M3" i="27"/>
  <c r="P3" i="27" s="1"/>
  <c r="K25" i="27"/>
  <c r="O25" i="27" s="1"/>
  <c r="K40" i="27"/>
  <c r="O40" i="27" s="1"/>
  <c r="M5" i="27"/>
  <c r="P5" i="27" s="1"/>
  <c r="M112" i="27"/>
  <c r="P112" i="27" s="1"/>
  <c r="K170" i="27"/>
  <c r="O170" i="27" s="1"/>
  <c r="M138" i="27"/>
  <c r="P138" i="27" s="1"/>
  <c r="K58" i="27"/>
  <c r="O58" i="27" s="1"/>
  <c r="K45" i="27"/>
  <c r="O45" i="27" s="1"/>
  <c r="K60" i="27"/>
  <c r="O60" i="27" s="1"/>
  <c r="K39" i="27"/>
  <c r="O39" i="27" s="1"/>
  <c r="M4" i="27"/>
  <c r="P4" i="27" s="1"/>
  <c r="M197" i="27"/>
  <c r="P197" i="27" s="1"/>
  <c r="M165" i="27"/>
  <c r="P165" i="27" s="1"/>
  <c r="M133" i="27"/>
  <c r="P133" i="27" s="1"/>
  <c r="K198" i="27"/>
  <c r="O198" i="27" s="1"/>
  <c r="K166" i="27"/>
  <c r="O166" i="27" s="1"/>
  <c r="K134" i="27"/>
  <c r="O134" i="27" s="1"/>
  <c r="M198" i="27"/>
  <c r="P198" i="27" s="1"/>
  <c r="K151" i="27"/>
  <c r="O151" i="27" s="1"/>
  <c r="K113" i="27"/>
  <c r="O113" i="27" s="1"/>
  <c r="K201" i="27"/>
  <c r="O201" i="27" s="1"/>
  <c r="M158" i="27"/>
  <c r="P158" i="27" s="1"/>
  <c r="K111" i="27"/>
  <c r="O111" i="27" s="1"/>
  <c r="M194" i="27"/>
  <c r="P194" i="27" s="1"/>
  <c r="M156" i="27"/>
  <c r="P156" i="27" s="1"/>
  <c r="K109" i="27"/>
  <c r="O109" i="27" s="1"/>
  <c r="M180" i="27"/>
  <c r="P180" i="27" s="1"/>
  <c r="M119" i="27"/>
  <c r="P119" i="27" s="1"/>
  <c r="M73" i="27"/>
  <c r="P73" i="27" s="1"/>
  <c r="M182" i="27"/>
  <c r="P182" i="27" s="1"/>
  <c r="K114" i="27"/>
  <c r="O114" i="27" s="1"/>
  <c r="K72" i="27"/>
  <c r="O72" i="27" s="1"/>
  <c r="K194" i="27"/>
  <c r="O194" i="27" s="1"/>
  <c r="K133" i="27"/>
  <c r="O133" i="27" s="1"/>
  <c r="M76" i="27"/>
  <c r="P76" i="27" s="1"/>
  <c r="M44" i="27"/>
  <c r="P44" i="27" s="1"/>
  <c r="K152" i="27"/>
  <c r="O152" i="27" s="1"/>
  <c r="K87" i="27"/>
  <c r="O87" i="27" s="1"/>
  <c r="K188" i="27"/>
  <c r="O188" i="27" s="1"/>
  <c r="M122" i="27"/>
  <c r="P122" i="27" s="1"/>
  <c r="M63" i="27"/>
  <c r="P63" i="27" s="1"/>
  <c r="K159" i="27"/>
  <c r="O159" i="27" s="1"/>
  <c r="K43" i="27"/>
  <c r="O43" i="27" s="1"/>
  <c r="M132" i="27"/>
  <c r="P132" i="27" s="1"/>
  <c r="M75" i="27"/>
  <c r="P75" i="27" s="1"/>
  <c r="M21" i="27"/>
  <c r="P21" i="27" s="1"/>
  <c r="M111" i="27"/>
  <c r="P111" i="27" s="1"/>
  <c r="M45" i="27"/>
  <c r="P45" i="27" s="1"/>
  <c r="K14" i="27"/>
  <c r="O14" i="27" s="1"/>
  <c r="K54" i="27"/>
  <c r="O54" i="27" s="1"/>
  <c r="K29" i="27"/>
  <c r="O29" i="27" s="1"/>
  <c r="K31" i="27"/>
  <c r="O31" i="27" s="1"/>
  <c r="K93" i="27"/>
  <c r="O93" i="27" s="1"/>
  <c r="K33" i="27"/>
  <c r="O33" i="27" s="1"/>
  <c r="K52" i="27"/>
  <c r="O52" i="27" s="1"/>
  <c r="K161" i="27"/>
  <c r="O161" i="27" s="1"/>
  <c r="K160" i="27"/>
  <c r="O160" i="27" s="1"/>
  <c r="K57" i="27"/>
  <c r="O57" i="27" s="1"/>
  <c r="K23" i="27"/>
  <c r="O23" i="27" s="1"/>
  <c r="M27" i="27"/>
  <c r="P27" i="27" s="1"/>
  <c r="K51" i="27"/>
  <c r="O51" i="27" s="1"/>
  <c r="K12" i="27"/>
  <c r="O12" i="27" s="1"/>
  <c r="M36" i="27"/>
  <c r="P36" i="27" s="1"/>
  <c r="M86" i="27"/>
  <c r="P86" i="27" s="1"/>
  <c r="K115" i="27"/>
  <c r="O115" i="27" s="1"/>
  <c r="K172" i="27"/>
  <c r="O172" i="27" s="1"/>
  <c r="M88" i="27"/>
  <c r="P88" i="27" s="1"/>
  <c r="M50" i="27"/>
  <c r="P50" i="27" s="1"/>
  <c r="M61" i="27"/>
  <c r="P61" i="27" s="1"/>
  <c r="K125" i="27"/>
  <c r="O125" i="27" s="1"/>
  <c r="M9" i="27"/>
  <c r="P9" i="27" s="1"/>
  <c r="M70" i="27"/>
  <c r="P70" i="27" s="1"/>
  <c r="M26" i="27"/>
  <c r="P26" i="27" s="1"/>
  <c r="K195" i="27"/>
  <c r="O195" i="27" s="1"/>
  <c r="K163" i="27"/>
  <c r="O163" i="27" s="1"/>
  <c r="K131" i="27"/>
  <c r="O131" i="27" s="1"/>
  <c r="M192" i="27"/>
  <c r="P192" i="27" s="1"/>
  <c r="M160" i="27"/>
  <c r="P160" i="27" s="1"/>
  <c r="M128" i="27"/>
  <c r="P128" i="27" s="1"/>
  <c r="M195" i="27"/>
  <c r="P195" i="27" s="1"/>
  <c r="K148" i="27"/>
  <c r="O148" i="27" s="1"/>
  <c r="K106" i="27"/>
  <c r="O106" i="27" s="1"/>
  <c r="M193" i="27"/>
  <c r="P193" i="27" s="1"/>
  <c r="M155" i="27"/>
  <c r="P155" i="27" s="1"/>
  <c r="M101" i="27"/>
  <c r="P101" i="27" s="1"/>
  <c r="M191" i="27"/>
  <c r="P191" i="27" s="1"/>
  <c r="K144" i="27"/>
  <c r="O144" i="27" s="1"/>
  <c r="M105" i="27"/>
  <c r="P105" i="27" s="1"/>
  <c r="M175" i="27"/>
  <c r="P175" i="27" s="1"/>
  <c r="M114" i="27"/>
  <c r="P114" i="27" s="1"/>
  <c r="K71" i="27"/>
  <c r="O71" i="27" s="1"/>
  <c r="M177" i="27"/>
  <c r="P177" i="27" s="1"/>
  <c r="K107" i="27"/>
  <c r="O107" i="27" s="1"/>
  <c r="M66" i="27"/>
  <c r="P66" i="27" s="1"/>
  <c r="K189" i="27"/>
  <c r="O189" i="27" s="1"/>
  <c r="K128" i="27"/>
  <c r="O128" i="27" s="1"/>
  <c r="K74" i="27"/>
  <c r="O74" i="27" s="1"/>
  <c r="M203" i="27"/>
  <c r="P203" i="27" s="1"/>
  <c r="M147" i="27"/>
  <c r="P147" i="27" s="1"/>
  <c r="M77" i="27"/>
  <c r="P77" i="27" s="1"/>
  <c r="M183" i="27"/>
  <c r="P183" i="27" s="1"/>
  <c r="K104" i="27"/>
  <c r="O104" i="27" s="1"/>
  <c r="K61" i="27"/>
  <c r="O61" i="27" s="1"/>
  <c r="M146" i="27"/>
  <c r="P146" i="27" s="1"/>
  <c r="K42" i="27"/>
  <c r="O42" i="27" s="1"/>
  <c r="K101" i="27"/>
  <c r="O101" i="27" s="1"/>
  <c r="M72" i="27"/>
  <c r="P72" i="27" s="1"/>
  <c r="K19" i="27"/>
  <c r="O19" i="27" s="1"/>
  <c r="K90" i="27"/>
  <c r="O90" i="27" s="1"/>
  <c r="M38" i="27"/>
  <c r="P38" i="27" s="1"/>
  <c r="K156" i="27"/>
  <c r="O156" i="27" s="1"/>
  <c r="M40" i="27"/>
  <c r="P40" i="27" s="1"/>
  <c r="K28" i="27"/>
  <c r="O28" i="27" s="1"/>
  <c r="M23" i="27"/>
  <c r="P23" i="27" s="1"/>
  <c r="M59" i="27"/>
  <c r="P59" i="27" s="1"/>
  <c r="K181" i="27"/>
  <c r="O181" i="27" s="1"/>
  <c r="M48" i="27"/>
  <c r="P48" i="27" s="1"/>
  <c r="K122" i="27"/>
  <c r="O122" i="27" s="1"/>
  <c r="K121" i="27"/>
  <c r="O121" i="27" s="1"/>
  <c r="M53" i="27"/>
  <c r="P53" i="27" s="1"/>
  <c r="M18" i="27"/>
  <c r="P18" i="27" s="1"/>
  <c r="K4" i="27"/>
  <c r="O4" i="27" s="1"/>
  <c r="K16" i="27"/>
  <c r="O16" i="27" s="1"/>
  <c r="K11" i="27"/>
  <c r="O11" i="27" s="1"/>
  <c r="M80" i="27"/>
  <c r="P80" i="27" s="1"/>
  <c r="M176" i="27"/>
  <c r="P176" i="27" s="1"/>
  <c r="M129" i="27"/>
  <c r="P129" i="27" s="1"/>
  <c r="K146" i="27"/>
  <c r="O146" i="27" s="1"/>
  <c r="M82" i="27"/>
  <c r="P82" i="27" s="1"/>
  <c r="M106" i="27"/>
  <c r="P106" i="27" s="1"/>
  <c r="M171" i="27"/>
  <c r="P171" i="27" s="1"/>
  <c r="M34" i="27"/>
  <c r="P34" i="27" s="1"/>
  <c r="I30" i="27"/>
  <c r="M189" i="27"/>
  <c r="P189" i="27" s="1"/>
  <c r="M157" i="27"/>
  <c r="P157" i="27" s="1"/>
  <c r="M125" i="27"/>
  <c r="P125" i="27" s="1"/>
  <c r="K190" i="27"/>
  <c r="O190" i="27" s="1"/>
  <c r="K158" i="27"/>
  <c r="O158" i="27" s="1"/>
  <c r="K126" i="27"/>
  <c r="O126" i="27" s="1"/>
  <c r="K183" i="27"/>
  <c r="O183" i="27" s="1"/>
  <c r="K145" i="27"/>
  <c r="O145" i="27" s="1"/>
  <c r="M99" i="27"/>
  <c r="P99" i="27" s="1"/>
  <c r="M190" i="27"/>
  <c r="P190" i="27" s="1"/>
  <c r="K143" i="27"/>
  <c r="O143" i="27" s="1"/>
  <c r="K99" i="27"/>
  <c r="O99" i="27" s="1"/>
  <c r="M188" i="27"/>
  <c r="P188" i="27" s="1"/>
  <c r="K141" i="27"/>
  <c r="O141" i="27" s="1"/>
  <c r="K102" i="27"/>
  <c r="O102" i="27" s="1"/>
  <c r="M170" i="27"/>
  <c r="P170" i="27" s="1"/>
  <c r="M107" i="27"/>
  <c r="P107" i="27" s="1"/>
  <c r="M65" i="27"/>
  <c r="P65" i="27" s="1"/>
  <c r="K153" i="27"/>
  <c r="O153" i="27" s="1"/>
  <c r="M102" i="27"/>
  <c r="P102" i="27" s="1"/>
  <c r="K64" i="27"/>
  <c r="O64" i="27" s="1"/>
  <c r="K184" i="27"/>
  <c r="O184" i="27" s="1"/>
  <c r="M118" i="27"/>
  <c r="P118" i="27" s="1"/>
  <c r="M68" i="27"/>
  <c r="P68" i="27" s="1"/>
  <c r="K196" i="27"/>
  <c r="O196" i="27" s="1"/>
  <c r="M142" i="27"/>
  <c r="P142" i="27" s="1"/>
  <c r="K75" i="27"/>
  <c r="O75" i="27" s="1"/>
  <c r="M178" i="27"/>
  <c r="P178" i="27" s="1"/>
  <c r="K92" i="27"/>
  <c r="O92" i="27" s="1"/>
  <c r="M55" i="27"/>
  <c r="P55" i="27" s="1"/>
  <c r="K120" i="27"/>
  <c r="O120" i="27" s="1"/>
  <c r="K24" i="27"/>
  <c r="O24" i="27" s="1"/>
  <c r="K96" i="27"/>
  <c r="O96" i="27" s="1"/>
  <c r="M56" i="27"/>
  <c r="P56" i="27" s="1"/>
  <c r="M15" i="27"/>
  <c r="P15" i="27" s="1"/>
  <c r="K85" i="27"/>
  <c r="O85" i="27" s="1"/>
  <c r="M32" i="27"/>
  <c r="P32" i="27" s="1"/>
  <c r="K130" i="27"/>
  <c r="O130" i="27" s="1"/>
  <c r="M39" i="27"/>
  <c r="P39" i="27" s="1"/>
  <c r="K21" i="27"/>
  <c r="O21" i="27" s="1"/>
  <c r="M17" i="27"/>
  <c r="P17" i="27" s="1"/>
  <c r="M46" i="27"/>
  <c r="P46" i="27" s="1"/>
  <c r="M116" i="27"/>
  <c r="P116" i="27" s="1"/>
  <c r="M41" i="27"/>
  <c r="P41" i="27" s="1"/>
  <c r="M57" i="27"/>
  <c r="P57" i="27" s="1"/>
  <c r="K108" i="27"/>
  <c r="O108" i="27" s="1"/>
  <c r="K46" i="27"/>
  <c r="O46" i="27" s="1"/>
  <c r="K17" i="27"/>
  <c r="O17" i="27" s="1"/>
  <c r="K18" i="27"/>
  <c r="O18" i="27" s="1"/>
  <c r="K3" i="27"/>
  <c r="O3" i="27" s="1"/>
  <c r="K9" i="27"/>
  <c r="O9" i="27" s="1"/>
  <c r="K34" i="27"/>
  <c r="O34" i="27" s="1"/>
  <c r="K147" i="27"/>
  <c r="O147" i="27" s="1"/>
  <c r="K89" i="27"/>
  <c r="O89" i="27" s="1"/>
  <c r="M84" i="27"/>
  <c r="P84" i="27" s="1"/>
  <c r="M164" i="27"/>
  <c r="P164" i="27" s="1"/>
  <c r="K70" i="27"/>
  <c r="O70" i="27" s="1"/>
  <c r="K105" i="27"/>
  <c r="O105" i="27" s="1"/>
  <c r="K22" i="27"/>
  <c r="O22" i="27" s="1"/>
  <c r="M13" i="27"/>
  <c r="P13" i="27" s="1"/>
  <c r="K187" i="27"/>
  <c r="O187" i="27" s="1"/>
  <c r="K155" i="27"/>
  <c r="O155" i="27" s="1"/>
  <c r="K123" i="27"/>
  <c r="O123" i="27" s="1"/>
  <c r="M184" i="27"/>
  <c r="P184" i="27" s="1"/>
  <c r="M152" i="27"/>
  <c r="P152" i="27" s="1"/>
  <c r="M120" i="27"/>
  <c r="P120" i="27" s="1"/>
  <c r="K180" i="27"/>
  <c r="O180" i="27" s="1"/>
  <c r="M137" i="27"/>
  <c r="P137" i="27" s="1"/>
  <c r="K97" i="27"/>
  <c r="O97" i="27" s="1"/>
  <c r="M187" i="27"/>
  <c r="P187" i="27" s="1"/>
  <c r="K140" i="27"/>
  <c r="O140" i="27" s="1"/>
  <c r="M93" i="27"/>
  <c r="P93" i="27" s="1"/>
  <c r="K176" i="27"/>
  <c r="O176" i="27" s="1"/>
  <c r="K138" i="27"/>
  <c r="O138" i="27" s="1"/>
  <c r="M96" i="27"/>
  <c r="P96" i="27" s="1"/>
  <c r="K168" i="27"/>
  <c r="O168" i="27" s="1"/>
  <c r="M95" i="27"/>
  <c r="P95" i="27" s="1"/>
  <c r="K63" i="27"/>
  <c r="O63" i="27" s="1"/>
  <c r="M148" i="27"/>
  <c r="P148" i="27" s="1"/>
  <c r="K95" i="27"/>
  <c r="O95" i="27" s="1"/>
  <c r="M58" i="27"/>
  <c r="P58" i="27" s="1"/>
  <c r="M179" i="27"/>
  <c r="P179" i="27" s="1"/>
  <c r="M113" i="27"/>
  <c r="P113" i="27" s="1"/>
  <c r="K66" i="27"/>
  <c r="O66" i="27" s="1"/>
  <c r="K191" i="27"/>
  <c r="O191" i="27" s="1"/>
  <c r="K135" i="27"/>
  <c r="O135" i="27" s="1"/>
  <c r="M69" i="27"/>
  <c r="P69" i="27" s="1"/>
  <c r="K154" i="27"/>
  <c r="O154" i="27" s="1"/>
  <c r="M90" i="27"/>
  <c r="P90" i="27" s="1"/>
  <c r="K53" i="27"/>
  <c r="O53" i="27" s="1"/>
  <c r="K76" i="27"/>
  <c r="O76" i="27" s="1"/>
  <c r="M19" i="27"/>
  <c r="P19" i="27" s="1"/>
  <c r="K164" i="27"/>
  <c r="O164" i="27" s="1"/>
  <c r="K49" i="27"/>
  <c r="O49" i="27" s="1"/>
  <c r="K13" i="27"/>
  <c r="O13" i="27" s="1"/>
  <c r="K81" i="27"/>
  <c r="O81" i="27" s="1"/>
  <c r="M31" i="27"/>
  <c r="P31" i="27" s="1"/>
  <c r="K117" i="27"/>
  <c r="O117" i="27" s="1"/>
  <c r="M37" i="27"/>
  <c r="P37" i="27" s="1"/>
  <c r="M16" i="27"/>
  <c r="P16" i="27" s="1"/>
  <c r="K8" i="27"/>
  <c r="O8" i="27" s="1"/>
  <c r="M42" i="27"/>
  <c r="P42" i="27" s="1"/>
  <c r="M104" i="27"/>
  <c r="P104" i="27" s="1"/>
  <c r="K38" i="27"/>
  <c r="O38" i="27" s="1"/>
  <c r="M43" i="27"/>
  <c r="P43" i="27" s="1"/>
  <c r="M97" i="27"/>
  <c r="P97" i="27" s="1"/>
  <c r="K41" i="27"/>
  <c r="O41" i="27" s="1"/>
  <c r="M12" i="27"/>
  <c r="P12" i="27" s="1"/>
  <c r="K6" i="27"/>
  <c r="O6" i="27" s="1"/>
  <c r="M49" i="27"/>
  <c r="P49" i="27" s="1"/>
  <c r="M8" i="27"/>
  <c r="P8" i="27" s="1"/>
  <c r="K200" i="27"/>
  <c r="O200" i="27" s="1"/>
  <c r="K10" i="27"/>
  <c r="O10" i="27" s="1"/>
  <c r="M144" i="27"/>
  <c r="P144" i="27" s="1"/>
  <c r="M85" i="27"/>
  <c r="P85" i="27" s="1"/>
  <c r="M199" i="27"/>
  <c r="P199" i="27" s="1"/>
  <c r="M98" i="27"/>
  <c r="P98" i="27" s="1"/>
  <c r="M139" i="27"/>
  <c r="P139" i="27" s="1"/>
  <c r="K5" i="27"/>
  <c r="O5" i="27" s="1"/>
  <c r="M167" i="27"/>
  <c r="P167" i="27" s="1"/>
  <c r="I32" i="27"/>
  <c r="M181" i="27"/>
  <c r="P181" i="27" s="1"/>
  <c r="M149" i="27"/>
  <c r="P149" i="27" s="1"/>
  <c r="M117" i="27"/>
  <c r="P117" i="27" s="1"/>
  <c r="K182" i="27"/>
  <c r="O182" i="27" s="1"/>
  <c r="K150" i="27"/>
  <c r="O150" i="27" s="1"/>
  <c r="K118" i="27"/>
  <c r="O118" i="27" s="1"/>
  <c r="K177" i="27"/>
  <c r="O177" i="27" s="1"/>
  <c r="M134" i="27"/>
  <c r="P134" i="27" s="1"/>
  <c r="M91" i="27"/>
  <c r="P91" i="27" s="1"/>
  <c r="K175" i="27"/>
  <c r="O175" i="27" s="1"/>
  <c r="K137" i="27"/>
  <c r="O137" i="27" s="1"/>
  <c r="K91" i="27"/>
  <c r="O91" i="27" s="1"/>
  <c r="K173" i="27"/>
  <c r="O173" i="27" s="1"/>
  <c r="M130" i="27"/>
  <c r="P130" i="27" s="1"/>
  <c r="K94" i="27"/>
  <c r="O94" i="27" s="1"/>
  <c r="M153" i="27"/>
  <c r="P153" i="27" s="1"/>
  <c r="K88" i="27"/>
  <c r="O88" i="27" s="1"/>
  <c r="M204" i="27"/>
  <c r="P204" i="27" s="1"/>
  <c r="M143" i="27"/>
  <c r="P143" i="27" s="1"/>
  <c r="K84" i="27"/>
  <c r="O84" i="27" s="1"/>
  <c r="K56" i="27"/>
  <c r="O56" i="27" s="1"/>
  <c r="M174" i="27"/>
  <c r="P174" i="27" s="1"/>
  <c r="K100" i="27"/>
  <c r="O100" i="27" s="1"/>
  <c r="M60" i="27"/>
  <c r="P60" i="27" s="1"/>
  <c r="M186" i="27"/>
  <c r="P186" i="27" s="1"/>
  <c r="M108" i="27"/>
  <c r="P108" i="27" s="1"/>
  <c r="K67" i="27"/>
  <c r="O67" i="27" s="1"/>
  <c r="K149" i="27"/>
  <c r="O149" i="27" s="1"/>
  <c r="M79" i="27"/>
  <c r="P79" i="27" s="1"/>
  <c r="M47" i="27"/>
  <c r="P47" i="27" s="1"/>
  <c r="K73" i="27"/>
  <c r="O73" i="27" s="1"/>
  <c r="K178" i="27"/>
  <c r="O178" i="27" s="1"/>
  <c r="M151" i="27"/>
  <c r="P151" i="27" s="1"/>
  <c r="K44" i="27"/>
  <c r="O44" i="27" s="1"/>
  <c r="M7" i="27"/>
  <c r="P7" i="27" s="1"/>
  <c r="K78" i="27"/>
  <c r="O78" i="27" s="1"/>
  <c r="K27" i="27"/>
  <c r="O27" i="27" s="1"/>
  <c r="M110" i="27"/>
  <c r="P110" i="27" s="1"/>
  <c r="M35" i="27"/>
  <c r="P35" i="27" s="1"/>
  <c r="K15" i="27"/>
  <c r="O15" i="27" s="1"/>
  <c r="K36" i="27"/>
  <c r="O36" i="27" s="1"/>
  <c r="M169" i="27"/>
  <c r="P169" i="27" s="1"/>
  <c r="M30" i="27"/>
  <c r="P30" i="27" s="1"/>
  <c r="I27" i="27"/>
  <c r="E27" i="3"/>
  <c r="E21" i="3"/>
  <c r="I28" i="27"/>
  <c r="I29" i="27"/>
  <c r="M120" i="8"/>
  <c r="P120" i="8" s="1"/>
  <c r="I29" i="11"/>
  <c r="H38" i="11" s="1"/>
  <c r="I27" i="8"/>
  <c r="M17" i="8"/>
  <c r="P17" i="8" s="1"/>
  <c r="M183" i="8"/>
  <c r="P183" i="8" s="1"/>
  <c r="M175" i="8"/>
  <c r="P175" i="8" s="1"/>
  <c r="M147" i="8"/>
  <c r="P147" i="8" s="1"/>
  <c r="M98" i="8"/>
  <c r="P98" i="8" s="1"/>
  <c r="M129" i="8"/>
  <c r="P129" i="8" s="1"/>
  <c r="M108" i="8"/>
  <c r="P108" i="8" s="1"/>
  <c r="M30" i="8"/>
  <c r="P30" i="8" s="1"/>
  <c r="M67" i="8"/>
  <c r="P67" i="8" s="1"/>
  <c r="M57" i="8"/>
  <c r="P57" i="8" s="1"/>
  <c r="M145" i="8"/>
  <c r="P145" i="8" s="1"/>
  <c r="M40" i="8"/>
  <c r="P40" i="8" s="1"/>
  <c r="M90" i="8"/>
  <c r="P90" i="8" s="1"/>
  <c r="M172" i="8"/>
  <c r="P172" i="8" s="1"/>
  <c r="M179" i="8"/>
  <c r="P179" i="8" s="1"/>
  <c r="M125" i="8"/>
  <c r="P125" i="8" s="1"/>
  <c r="M83" i="8"/>
  <c r="P83" i="8" s="1"/>
  <c r="M197" i="8"/>
  <c r="P197" i="8" s="1"/>
  <c r="M177" i="11"/>
  <c r="P177" i="11" s="1"/>
  <c r="M145" i="11"/>
  <c r="P145" i="11" s="1"/>
  <c r="M202" i="11"/>
  <c r="P202" i="11" s="1"/>
  <c r="M170" i="11"/>
  <c r="P170" i="11" s="1"/>
  <c r="M138" i="11"/>
  <c r="P138" i="11" s="1"/>
  <c r="M203" i="11"/>
  <c r="P203" i="11" s="1"/>
  <c r="M204" i="11"/>
  <c r="P204" i="11" s="1"/>
  <c r="M172" i="11"/>
  <c r="P172" i="11" s="1"/>
  <c r="M140" i="11"/>
  <c r="P140" i="11" s="1"/>
  <c r="M108" i="11"/>
  <c r="P108" i="11" s="1"/>
  <c r="M173" i="11"/>
  <c r="P173" i="11" s="1"/>
  <c r="M141" i="11"/>
  <c r="P141" i="11" s="1"/>
  <c r="M174" i="11"/>
  <c r="P174" i="11" s="1"/>
  <c r="M142" i="11"/>
  <c r="P142" i="11" s="1"/>
  <c r="M110" i="11"/>
  <c r="P110" i="11" s="1"/>
  <c r="M175" i="11"/>
  <c r="P175" i="11" s="1"/>
  <c r="M143" i="11"/>
  <c r="P143" i="11" s="1"/>
  <c r="M111" i="11"/>
  <c r="P111" i="11" s="1"/>
  <c r="M192" i="11"/>
  <c r="P192" i="11" s="1"/>
  <c r="M107" i="11"/>
  <c r="P107" i="11" s="1"/>
  <c r="M74" i="11"/>
  <c r="P74" i="11" s="1"/>
  <c r="M41" i="11"/>
  <c r="P41" i="11" s="1"/>
  <c r="M125" i="11"/>
  <c r="P125" i="11" s="1"/>
  <c r="M84" i="11"/>
  <c r="P84" i="11" s="1"/>
  <c r="M52" i="11"/>
  <c r="P52" i="11" s="1"/>
  <c r="K134" i="11"/>
  <c r="O134" i="11" s="1"/>
  <c r="K100" i="11"/>
  <c r="O100" i="11" s="1"/>
  <c r="K68" i="11"/>
  <c r="O68" i="11" s="1"/>
  <c r="K121" i="11"/>
  <c r="O121" i="11" s="1"/>
  <c r="M63" i="11"/>
  <c r="P63" i="11" s="1"/>
  <c r="K19" i="11"/>
  <c r="O19" i="11" s="1"/>
  <c r="K81" i="11"/>
  <c r="O81" i="11" s="1"/>
  <c r="K31" i="11"/>
  <c r="O31" i="11" s="1"/>
  <c r="M117" i="11"/>
  <c r="P117" i="11" s="1"/>
  <c r="M75" i="11"/>
  <c r="P75" i="11" s="1"/>
  <c r="K33" i="11"/>
  <c r="O33" i="11" s="1"/>
  <c r="K25" i="11"/>
  <c r="O25" i="11" s="1"/>
  <c r="M73" i="11"/>
  <c r="P73" i="11" s="1"/>
  <c r="M26" i="11"/>
  <c r="P26" i="11" s="1"/>
  <c r="M123" i="11"/>
  <c r="P123" i="11" s="1"/>
  <c r="K24" i="11"/>
  <c r="O24" i="11" s="1"/>
  <c r="M81" i="11"/>
  <c r="P81" i="11" s="1"/>
  <c r="K49" i="11"/>
  <c r="O49" i="11" s="1"/>
  <c r="K115" i="11"/>
  <c r="O115" i="11" s="1"/>
  <c r="M48" i="11"/>
  <c r="P48" i="11" s="1"/>
  <c r="K10" i="11"/>
  <c r="O10" i="11" s="1"/>
  <c r="M51" i="11"/>
  <c r="P51" i="11" s="1"/>
  <c r="K65" i="11"/>
  <c r="O65" i="11" s="1"/>
  <c r="M37" i="11"/>
  <c r="P37" i="11" s="1"/>
  <c r="K5" i="11"/>
  <c r="O5" i="11" s="1"/>
  <c r="K16" i="11"/>
  <c r="O16" i="11" s="1"/>
  <c r="K173" i="11"/>
  <c r="O173" i="11" s="1"/>
  <c r="K38" i="11"/>
  <c r="O38" i="11" s="1"/>
  <c r="M113" i="11"/>
  <c r="P113" i="11" s="1"/>
  <c r="K50" i="11"/>
  <c r="O50" i="11" s="1"/>
  <c r="K131" i="11"/>
  <c r="O131" i="11" s="1"/>
  <c r="M94" i="11"/>
  <c r="P94" i="11" s="1"/>
  <c r="M62" i="11"/>
  <c r="P62" i="11" s="1"/>
  <c r="M104" i="11"/>
  <c r="P104" i="11" s="1"/>
  <c r="K47" i="11"/>
  <c r="O47" i="11" s="1"/>
  <c r="M77" i="11"/>
  <c r="P77" i="11" s="1"/>
  <c r="M23" i="11"/>
  <c r="P23" i="11" s="1"/>
  <c r="K110" i="11"/>
  <c r="O110" i="11" s="1"/>
  <c r="M64" i="11"/>
  <c r="P64" i="11" s="1"/>
  <c r="I30" i="11"/>
  <c r="M22" i="11"/>
  <c r="P22" i="11" s="1"/>
  <c r="M112" i="11"/>
  <c r="P112" i="11" s="1"/>
  <c r="K15" i="11"/>
  <c r="O15" i="11" s="1"/>
  <c r="K93" i="11"/>
  <c r="O93" i="11" s="1"/>
  <c r="M19" i="11"/>
  <c r="P19" i="11" s="1"/>
  <c r="K40" i="11"/>
  <c r="O40" i="11" s="1"/>
  <c r="K71" i="11"/>
  <c r="O71" i="11" s="1"/>
  <c r="K43" i="11"/>
  <c r="O43" i="11" s="1"/>
  <c r="K6" i="11"/>
  <c r="O6" i="11" s="1"/>
  <c r="M42" i="11"/>
  <c r="P42" i="11" s="1"/>
  <c r="K51" i="11"/>
  <c r="O51" i="11" s="1"/>
  <c r="K2" i="11"/>
  <c r="O2" i="11" s="1"/>
  <c r="K97" i="11"/>
  <c r="O97" i="11" s="1"/>
  <c r="M176" i="11"/>
  <c r="P176" i="11" s="1"/>
  <c r="K111" i="11"/>
  <c r="O111" i="11" s="1"/>
  <c r="M76" i="11"/>
  <c r="P76" i="11" s="1"/>
  <c r="K113" i="11"/>
  <c r="O113" i="11" s="1"/>
  <c r="K92" i="11"/>
  <c r="O92" i="11" s="1"/>
  <c r="K175" i="11"/>
  <c r="O175" i="11" s="1"/>
  <c r="K143" i="11"/>
  <c r="O143" i="11" s="1"/>
  <c r="K200" i="11"/>
  <c r="O200" i="11" s="1"/>
  <c r="K168" i="11"/>
  <c r="O168" i="11" s="1"/>
  <c r="K136" i="11"/>
  <c r="O136" i="11" s="1"/>
  <c r="K201" i="11"/>
  <c r="O201" i="11" s="1"/>
  <c r="K202" i="11"/>
  <c r="O202" i="11" s="1"/>
  <c r="K170" i="11"/>
  <c r="O170" i="11" s="1"/>
  <c r="K138" i="11"/>
  <c r="O138" i="11" s="1"/>
  <c r="K203" i="11"/>
  <c r="O203" i="11" s="1"/>
  <c r="K171" i="11"/>
  <c r="O171" i="11" s="1"/>
  <c r="K204" i="11"/>
  <c r="O204" i="11" s="1"/>
  <c r="K172" i="11"/>
  <c r="O172" i="11" s="1"/>
  <c r="K140" i="11"/>
  <c r="O140" i="11" s="1"/>
  <c r="K108" i="11"/>
  <c r="O108" i="11" s="1"/>
  <c r="K141" i="11"/>
  <c r="O141" i="11" s="1"/>
  <c r="K109" i="11"/>
  <c r="O109" i="11" s="1"/>
  <c r="K174" i="11"/>
  <c r="O174" i="11" s="1"/>
  <c r="K105" i="11"/>
  <c r="O105" i="11" s="1"/>
  <c r="K72" i="11"/>
  <c r="O72" i="11" s="1"/>
  <c r="K82" i="11"/>
  <c r="O82" i="11" s="1"/>
  <c r="M15" i="11"/>
  <c r="P15" i="11" s="1"/>
  <c r="M72" i="11"/>
  <c r="P72" i="11" s="1"/>
  <c r="M201" i="11"/>
  <c r="P201" i="11" s="1"/>
  <c r="M169" i="11"/>
  <c r="P169" i="11" s="1"/>
  <c r="M137" i="11"/>
  <c r="P137" i="11" s="1"/>
  <c r="M194" i="11"/>
  <c r="P194" i="11" s="1"/>
  <c r="M162" i="11"/>
  <c r="P162" i="11" s="1"/>
  <c r="M130" i="11"/>
  <c r="P130" i="11" s="1"/>
  <c r="M195" i="11"/>
  <c r="P195" i="11" s="1"/>
  <c r="M196" i="11"/>
  <c r="P196" i="11" s="1"/>
  <c r="M164" i="11"/>
  <c r="P164" i="11" s="1"/>
  <c r="M132" i="11"/>
  <c r="P132" i="11" s="1"/>
  <c r="M197" i="11"/>
  <c r="P197" i="11" s="1"/>
  <c r="M165" i="11"/>
  <c r="P165" i="11" s="1"/>
  <c r="M198" i="11"/>
  <c r="P198" i="11" s="1"/>
  <c r="M166" i="11"/>
  <c r="P166" i="11" s="1"/>
  <c r="M134" i="11"/>
  <c r="P134" i="11" s="1"/>
  <c r="M199" i="11"/>
  <c r="P199" i="11" s="1"/>
  <c r="M167" i="11"/>
  <c r="P167" i="11" s="1"/>
  <c r="M135" i="11"/>
  <c r="P135" i="11" s="1"/>
  <c r="M160" i="11"/>
  <c r="P160" i="11" s="1"/>
  <c r="M98" i="11"/>
  <c r="P98" i="11" s="1"/>
  <c r="M66" i="11"/>
  <c r="P66" i="11" s="1"/>
  <c r="M36" i="11"/>
  <c r="P36" i="11" s="1"/>
  <c r="M44" i="11"/>
  <c r="P44" i="11" s="1"/>
  <c r="K199" i="11"/>
  <c r="O199" i="11" s="1"/>
  <c r="K167" i="11"/>
  <c r="O167" i="11" s="1"/>
  <c r="K135" i="11"/>
  <c r="O135" i="11" s="1"/>
  <c r="K192" i="11"/>
  <c r="O192" i="11" s="1"/>
  <c r="K160" i="11"/>
  <c r="O160" i="11" s="1"/>
  <c r="K128" i="11"/>
  <c r="O128" i="11" s="1"/>
  <c r="K193" i="11"/>
  <c r="O193" i="11" s="1"/>
  <c r="K194" i="11"/>
  <c r="O194" i="11" s="1"/>
  <c r="K162" i="11"/>
  <c r="O162" i="11" s="1"/>
  <c r="K130" i="11"/>
  <c r="O130" i="11" s="1"/>
  <c r="K195" i="11"/>
  <c r="O195" i="11" s="1"/>
  <c r="K163" i="11"/>
  <c r="O163" i="11" s="1"/>
  <c r="M193" i="11"/>
  <c r="P193" i="11" s="1"/>
  <c r="M129" i="11"/>
  <c r="P129" i="11" s="1"/>
  <c r="M154" i="11"/>
  <c r="P154" i="11" s="1"/>
  <c r="M187" i="11"/>
  <c r="P187" i="11" s="1"/>
  <c r="M156" i="11"/>
  <c r="P156" i="11" s="1"/>
  <c r="M189" i="11"/>
  <c r="P189" i="11" s="1"/>
  <c r="K196" i="11"/>
  <c r="O196" i="11" s="1"/>
  <c r="M150" i="11"/>
  <c r="P150" i="11" s="1"/>
  <c r="M191" i="11"/>
  <c r="P191" i="11" s="1"/>
  <c r="K149" i="11"/>
  <c r="O149" i="11" s="1"/>
  <c r="K139" i="11"/>
  <c r="O139" i="11" s="1"/>
  <c r="K96" i="11"/>
  <c r="O96" i="11" s="1"/>
  <c r="M50" i="11"/>
  <c r="P50" i="11" s="1"/>
  <c r="M100" i="11"/>
  <c r="P100" i="11" s="1"/>
  <c r="K58" i="11"/>
  <c r="O58" i="11" s="1"/>
  <c r="M144" i="11"/>
  <c r="P144" i="11" s="1"/>
  <c r="K60" i="11"/>
  <c r="O60" i="11" s="1"/>
  <c r="M85" i="11"/>
  <c r="P85" i="11" s="1"/>
  <c r="M28" i="11"/>
  <c r="P28" i="11" s="1"/>
  <c r="K70" i="11"/>
  <c r="O70" i="11" s="1"/>
  <c r="M10" i="11"/>
  <c r="P10" i="11" s="1"/>
  <c r="K79" i="11"/>
  <c r="O79" i="11" s="1"/>
  <c r="M120" i="11"/>
  <c r="P120" i="11" s="1"/>
  <c r="K94" i="11"/>
  <c r="O94" i="11" s="1"/>
  <c r="M38" i="11"/>
  <c r="P38" i="11" s="1"/>
  <c r="M87" i="11"/>
  <c r="P87" i="11" s="1"/>
  <c r="M3" i="11"/>
  <c r="P3" i="11" s="1"/>
  <c r="M71" i="11"/>
  <c r="P71" i="11" s="1"/>
  <c r="K63" i="11"/>
  <c r="O63" i="11" s="1"/>
  <c r="M47" i="11"/>
  <c r="P47" i="11" s="1"/>
  <c r="M89" i="11"/>
  <c r="P89" i="11" s="1"/>
  <c r="I32" i="11"/>
  <c r="K37" i="11"/>
  <c r="O37" i="11" s="1"/>
  <c r="M18" i="11"/>
  <c r="P18" i="11" s="1"/>
  <c r="K127" i="11"/>
  <c r="O127" i="11" s="1"/>
  <c r="K185" i="11"/>
  <c r="O185" i="11" s="1"/>
  <c r="K154" i="11"/>
  <c r="O154" i="11" s="1"/>
  <c r="K187" i="11"/>
  <c r="O187" i="11" s="1"/>
  <c r="K148" i="11"/>
  <c r="O148" i="11" s="1"/>
  <c r="K189" i="11"/>
  <c r="O189" i="11" s="1"/>
  <c r="K133" i="11"/>
  <c r="O133" i="11" s="1"/>
  <c r="M105" i="11"/>
  <c r="P105" i="11" s="1"/>
  <c r="K48" i="11"/>
  <c r="O48" i="11" s="1"/>
  <c r="K98" i="11"/>
  <c r="O98" i="11" s="1"/>
  <c r="K41" i="11"/>
  <c r="O41" i="11" s="1"/>
  <c r="M115" i="11"/>
  <c r="P115" i="11" s="1"/>
  <c r="M54" i="11"/>
  <c r="P54" i="11" s="1"/>
  <c r="M21" i="11"/>
  <c r="P21" i="11" s="1"/>
  <c r="K59" i="11"/>
  <c r="O59" i="11" s="1"/>
  <c r="M184" i="11"/>
  <c r="P184" i="11" s="1"/>
  <c r="K77" i="11"/>
  <c r="O77" i="11" s="1"/>
  <c r="K69" i="11"/>
  <c r="O69" i="11" s="1"/>
  <c r="K91" i="11"/>
  <c r="O91" i="11" s="1"/>
  <c r="K36" i="11"/>
  <c r="O36" i="11" s="1"/>
  <c r="M171" i="11"/>
  <c r="P171" i="11" s="1"/>
  <c r="K54" i="11"/>
  <c r="O54" i="11" s="1"/>
  <c r="K53" i="11"/>
  <c r="O53" i="11" s="1"/>
  <c r="M35" i="11"/>
  <c r="P35" i="11" s="1"/>
  <c r="M56" i="11"/>
  <c r="P56" i="11" s="1"/>
  <c r="M20" i="11"/>
  <c r="P20" i="11" s="1"/>
  <c r="K30" i="11"/>
  <c r="O30" i="11" s="1"/>
  <c r="K90" i="11"/>
  <c r="O90" i="11" s="1"/>
  <c r="M55" i="11"/>
  <c r="P55" i="11" s="1"/>
  <c r="K8" i="11"/>
  <c r="O8" i="11" s="1"/>
  <c r="K28" i="11"/>
  <c r="O28" i="11" s="1"/>
  <c r="M13" i="11"/>
  <c r="P13" i="11" s="1"/>
  <c r="M149" i="11"/>
  <c r="P149" i="11" s="1"/>
  <c r="K166" i="11"/>
  <c r="O166" i="11" s="1"/>
  <c r="M101" i="11"/>
  <c r="P101" i="11" s="1"/>
  <c r="M99" i="11"/>
  <c r="P99" i="11" s="1"/>
  <c r="M67" i="11"/>
  <c r="P67" i="11" s="1"/>
  <c r="K21" i="11"/>
  <c r="O21" i="11" s="1"/>
  <c r="K178" i="11"/>
  <c r="O178" i="11" s="1"/>
  <c r="M151" i="11"/>
  <c r="P151" i="11" s="1"/>
  <c r="M60" i="11"/>
  <c r="P60" i="11" s="1"/>
  <c r="M29" i="11"/>
  <c r="P29" i="11" s="1"/>
  <c r="M139" i="11"/>
  <c r="P139" i="11" s="1"/>
  <c r="M91" i="11"/>
  <c r="P91" i="11" s="1"/>
  <c r="K191" i="11"/>
  <c r="O191" i="11" s="1"/>
  <c r="K152" i="11"/>
  <c r="O152" i="11" s="1"/>
  <c r="M190" i="11"/>
  <c r="P190" i="11" s="1"/>
  <c r="M90" i="11"/>
  <c r="P90" i="11" s="1"/>
  <c r="K78" i="11"/>
  <c r="O78" i="11" s="1"/>
  <c r="K61" i="11"/>
  <c r="O61" i="11" s="1"/>
  <c r="K18" i="11"/>
  <c r="O18" i="11" s="1"/>
  <c r="M79" i="11"/>
  <c r="P79" i="11" s="1"/>
  <c r="K23" i="11"/>
  <c r="O23" i="11" s="1"/>
  <c r="K12" i="11"/>
  <c r="O12" i="11" s="1"/>
  <c r="M153" i="11"/>
  <c r="P153" i="11" s="1"/>
  <c r="M158" i="11"/>
  <c r="P158" i="11" s="1"/>
  <c r="M58" i="11"/>
  <c r="P58" i="11" s="1"/>
  <c r="K76" i="11"/>
  <c r="O76" i="11" s="1"/>
  <c r="M97" i="11"/>
  <c r="P97" i="11" s="1"/>
  <c r="K17" i="11"/>
  <c r="O17" i="11" s="1"/>
  <c r="M5" i="11"/>
  <c r="P5" i="11" s="1"/>
  <c r="K176" i="11"/>
  <c r="O176" i="11" s="1"/>
  <c r="K197" i="11"/>
  <c r="O197" i="11" s="1"/>
  <c r="K158" i="11"/>
  <c r="O158" i="11" s="1"/>
  <c r="M88" i="11"/>
  <c r="P88" i="11" s="1"/>
  <c r="M61" i="11"/>
  <c r="P61" i="11" s="1"/>
  <c r="K3" i="11"/>
  <c r="O3" i="11" s="1"/>
  <c r="M185" i="11"/>
  <c r="P185" i="11" s="1"/>
  <c r="M121" i="11"/>
  <c r="P121" i="11" s="1"/>
  <c r="M146" i="11"/>
  <c r="P146" i="11" s="1"/>
  <c r="M179" i="11"/>
  <c r="P179" i="11" s="1"/>
  <c r="M148" i="11"/>
  <c r="P148" i="11" s="1"/>
  <c r="M181" i="11"/>
  <c r="P181" i="11" s="1"/>
  <c r="K188" i="11"/>
  <c r="O188" i="11" s="1"/>
  <c r="K132" i="11"/>
  <c r="O132" i="11" s="1"/>
  <c r="M183" i="11"/>
  <c r="P183" i="11" s="1"/>
  <c r="M127" i="11"/>
  <c r="P127" i="11" s="1"/>
  <c r="K102" i="11"/>
  <c r="O102" i="11" s="1"/>
  <c r="K88" i="11"/>
  <c r="O88" i="11" s="1"/>
  <c r="K190" i="11"/>
  <c r="O190" i="11" s="1"/>
  <c r="M92" i="11"/>
  <c r="P92" i="11" s="1"/>
  <c r="K198" i="11"/>
  <c r="O198" i="11" s="1"/>
  <c r="M102" i="11"/>
  <c r="P102" i="11" s="1"/>
  <c r="K52" i="11"/>
  <c r="O52" i="11" s="1"/>
  <c r="K67" i="11"/>
  <c r="O67" i="11" s="1"/>
  <c r="K13" i="11"/>
  <c r="O13" i="11" s="1"/>
  <c r="M57" i="11"/>
  <c r="P57" i="11" s="1"/>
  <c r="M155" i="11"/>
  <c r="P155" i="11" s="1"/>
  <c r="K57" i="11"/>
  <c r="O57" i="11" s="1"/>
  <c r="K101" i="11"/>
  <c r="O101" i="11" s="1"/>
  <c r="K85" i="11"/>
  <c r="O85" i="11" s="1"/>
  <c r="K11" i="11"/>
  <c r="O11" i="11" s="1"/>
  <c r="K55" i="11"/>
  <c r="O55" i="11" s="1"/>
  <c r="K104" i="11"/>
  <c r="O104" i="11" s="1"/>
  <c r="K29" i="11"/>
  <c r="O29" i="11" s="1"/>
  <c r="M33" i="11"/>
  <c r="P33" i="11" s="1"/>
  <c r="M32" i="11"/>
  <c r="P32" i="11" s="1"/>
  <c r="K14" i="11"/>
  <c r="O14" i="11" s="1"/>
  <c r="M7" i="11"/>
  <c r="P7" i="11" s="1"/>
  <c r="K20" i="11"/>
  <c r="O20" i="11" s="1"/>
  <c r="K183" i="11"/>
  <c r="O183" i="11" s="1"/>
  <c r="K144" i="11"/>
  <c r="O144" i="11" s="1"/>
  <c r="K177" i="11"/>
  <c r="O177" i="11" s="1"/>
  <c r="K146" i="11"/>
  <c r="O146" i="11" s="1"/>
  <c r="M182" i="11"/>
  <c r="P182" i="11" s="1"/>
  <c r="M126" i="11"/>
  <c r="P126" i="11" s="1"/>
  <c r="K125" i="11"/>
  <c r="O125" i="11" s="1"/>
  <c r="K142" i="11"/>
  <c r="O142" i="11" s="1"/>
  <c r="M168" i="11"/>
  <c r="P168" i="11" s="1"/>
  <c r="M163" i="11"/>
  <c r="P163" i="11" s="1"/>
  <c r="M46" i="11"/>
  <c r="P46" i="11" s="1"/>
  <c r="K169" i="11"/>
  <c r="O169" i="11" s="1"/>
  <c r="M133" i="11"/>
  <c r="P133" i="11" s="1"/>
  <c r="K83" i="11"/>
  <c r="O83" i="11" s="1"/>
  <c r="M49" i="11"/>
  <c r="P49" i="11" s="1"/>
  <c r="M14" i="11"/>
  <c r="P14" i="11" s="1"/>
  <c r="M11" i="11"/>
  <c r="P11" i="11" s="1"/>
  <c r="M180" i="11"/>
  <c r="P180" i="11" s="1"/>
  <c r="K157" i="11"/>
  <c r="O157" i="11" s="1"/>
  <c r="K66" i="11"/>
  <c r="O66" i="11" s="1"/>
  <c r="M30" i="11"/>
  <c r="P30" i="11" s="1"/>
  <c r="K182" i="11"/>
  <c r="O182" i="11" s="1"/>
  <c r="M24" i="11"/>
  <c r="P24" i="11" s="1"/>
  <c r="M6" i="11"/>
  <c r="P6" i="11" s="1"/>
  <c r="K112" i="11"/>
  <c r="O112" i="11" s="1"/>
  <c r="K156" i="11"/>
  <c r="O156" i="11" s="1"/>
  <c r="K56" i="11"/>
  <c r="O56" i="11" s="1"/>
  <c r="K89" i="11"/>
  <c r="O89" i="11" s="1"/>
  <c r="M95" i="11"/>
  <c r="P95" i="11" s="1"/>
  <c r="M136" i="11"/>
  <c r="P136" i="11" s="1"/>
  <c r="K86" i="11"/>
  <c r="O86" i="11" s="1"/>
  <c r="K119" i="11"/>
  <c r="O119" i="11" s="1"/>
  <c r="K179" i="11"/>
  <c r="O179" i="11" s="1"/>
  <c r="K181" i="11"/>
  <c r="O181" i="11" s="1"/>
  <c r="M82" i="11"/>
  <c r="P82" i="11" s="1"/>
  <c r="M86" i="11"/>
  <c r="P86" i="11" s="1"/>
  <c r="M65" i="11"/>
  <c r="P65" i="11" s="1"/>
  <c r="M53" i="11"/>
  <c r="P53" i="11" s="1"/>
  <c r="K87" i="11"/>
  <c r="O87" i="11" s="1"/>
  <c r="M114" i="11"/>
  <c r="P114" i="11" s="1"/>
  <c r="K116" i="11"/>
  <c r="O116" i="11" s="1"/>
  <c r="M128" i="11"/>
  <c r="P128" i="11" s="1"/>
  <c r="M96" i="11"/>
  <c r="P96" i="11" s="1"/>
  <c r="K35" i="11"/>
  <c r="O35" i="11" s="1"/>
  <c r="K95" i="11"/>
  <c r="O95" i="11" s="1"/>
  <c r="M40" i="11"/>
  <c r="P40" i="11" s="1"/>
  <c r="K151" i="11"/>
  <c r="O151" i="11" s="1"/>
  <c r="K147" i="11"/>
  <c r="O147" i="11" s="1"/>
  <c r="M109" i="11"/>
  <c r="P109" i="11" s="1"/>
  <c r="M70" i="11"/>
  <c r="P70" i="11" s="1"/>
  <c r="K34" i="11"/>
  <c r="O34" i="11" s="1"/>
  <c r="M16" i="11"/>
  <c r="P16" i="11" s="1"/>
  <c r="I31" i="11"/>
  <c r="I44" i="11" s="1"/>
  <c r="D5" i="36" s="1"/>
  <c r="M161" i="11"/>
  <c r="P161" i="11" s="1"/>
  <c r="M186" i="11"/>
  <c r="P186" i="11" s="1"/>
  <c r="M122" i="11"/>
  <c r="P122" i="11" s="1"/>
  <c r="M188" i="11"/>
  <c r="P188" i="11" s="1"/>
  <c r="M124" i="11"/>
  <c r="P124" i="11" s="1"/>
  <c r="M157" i="11"/>
  <c r="P157" i="11" s="1"/>
  <c r="K180" i="11"/>
  <c r="O180" i="11" s="1"/>
  <c r="K124" i="11"/>
  <c r="O124" i="11" s="1"/>
  <c r="K165" i="11"/>
  <c r="O165" i="11" s="1"/>
  <c r="M119" i="11"/>
  <c r="P119" i="11" s="1"/>
  <c r="K129" i="11"/>
  <c r="O129" i="11" s="1"/>
  <c r="K80" i="11"/>
  <c r="O80" i="11" s="1"/>
  <c r="K150" i="11"/>
  <c r="O150" i="11" s="1"/>
  <c r="K74" i="11"/>
  <c r="O74" i="11" s="1"/>
  <c r="K145" i="11"/>
  <c r="O145" i="11" s="1"/>
  <c r="K84" i="11"/>
  <c r="O84" i="11" s="1"/>
  <c r="K44" i="11"/>
  <c r="O44" i="11" s="1"/>
  <c r="K45" i="11"/>
  <c r="O45" i="11" s="1"/>
  <c r="K118" i="11"/>
  <c r="O118" i="11" s="1"/>
  <c r="M39" i="11"/>
  <c r="P39" i="11" s="1"/>
  <c r="K106" i="11"/>
  <c r="O106" i="11" s="1"/>
  <c r="K46" i="11"/>
  <c r="O46" i="11" s="1"/>
  <c r="K42" i="11"/>
  <c r="O42" i="11" s="1"/>
  <c r="M93" i="11"/>
  <c r="P93" i="11" s="1"/>
  <c r="M2" i="11"/>
  <c r="P2" i="11" s="1"/>
  <c r="M34" i="11"/>
  <c r="P34" i="11" s="1"/>
  <c r="M69" i="11"/>
  <c r="P69" i="11" s="1"/>
  <c r="K27" i="11"/>
  <c r="O27" i="11" s="1"/>
  <c r="M80" i="11"/>
  <c r="P80" i="11" s="1"/>
  <c r="M27" i="11"/>
  <c r="P27" i="11" s="1"/>
  <c r="M12" i="11"/>
  <c r="P12" i="11" s="1"/>
  <c r="K7" i="11"/>
  <c r="O7" i="11" s="1"/>
  <c r="M59" i="11"/>
  <c r="P59" i="11" s="1"/>
  <c r="K159" i="11"/>
  <c r="O159" i="11" s="1"/>
  <c r="K184" i="11"/>
  <c r="O184" i="11" s="1"/>
  <c r="K120" i="11"/>
  <c r="O120" i="11" s="1"/>
  <c r="K186" i="11"/>
  <c r="O186" i="11" s="1"/>
  <c r="K122" i="11"/>
  <c r="O122" i="11" s="1"/>
  <c r="K155" i="11"/>
  <c r="O155" i="11" s="1"/>
  <c r="K164" i="11"/>
  <c r="O164" i="11" s="1"/>
  <c r="M118" i="11"/>
  <c r="P118" i="11" s="1"/>
  <c r="M159" i="11"/>
  <c r="P159" i="11" s="1"/>
  <c r="K117" i="11"/>
  <c r="O117" i="11" s="1"/>
  <c r="K126" i="11"/>
  <c r="O126" i="11" s="1"/>
  <c r="K64" i="11"/>
  <c r="O64" i="11" s="1"/>
  <c r="M131" i="11"/>
  <c r="P131" i="11" s="1"/>
  <c r="M68" i="11"/>
  <c r="P68" i="11" s="1"/>
  <c r="K137" i="11"/>
  <c r="O137" i="11" s="1"/>
  <c r="M78" i="11"/>
  <c r="P78" i="11" s="1"/>
  <c r="K161" i="11"/>
  <c r="O161" i="11" s="1"/>
  <c r="M43" i="11"/>
  <c r="P43" i="11" s="1"/>
  <c r="M106" i="11"/>
  <c r="P106" i="11" s="1"/>
  <c r="K32" i="11"/>
  <c r="O32" i="11" s="1"/>
  <c r="K99" i="11"/>
  <c r="O99" i="11" s="1"/>
  <c r="K39" i="11"/>
  <c r="O39" i="11" s="1"/>
  <c r="M31" i="11"/>
  <c r="P31" i="11" s="1"/>
  <c r="K73" i="11"/>
  <c r="O73" i="11" s="1"/>
  <c r="K75" i="11"/>
  <c r="O75" i="11" s="1"/>
  <c r="K26" i="11"/>
  <c r="O26" i="11" s="1"/>
  <c r="M200" i="11"/>
  <c r="P200" i="11" s="1"/>
  <c r="M25" i="11"/>
  <c r="P25" i="11" s="1"/>
  <c r="K62" i="11"/>
  <c r="O62" i="11" s="1"/>
  <c r="M8" i="11"/>
  <c r="P8" i="11" s="1"/>
  <c r="K9" i="11"/>
  <c r="O9" i="11" s="1"/>
  <c r="M4" i="11"/>
  <c r="P4" i="11" s="1"/>
  <c r="M45" i="11"/>
  <c r="P45" i="11" s="1"/>
  <c r="M178" i="11"/>
  <c r="P178" i="11" s="1"/>
  <c r="K123" i="11"/>
  <c r="O123" i="11" s="1"/>
  <c r="K22" i="11"/>
  <c r="O22" i="11" s="1"/>
  <c r="K4" i="11"/>
  <c r="O4" i="11" s="1"/>
  <c r="K114" i="11"/>
  <c r="O114" i="11" s="1"/>
  <c r="K107" i="11"/>
  <c r="O107" i="11" s="1"/>
  <c r="M17" i="11"/>
  <c r="P17" i="11" s="1"/>
  <c r="M147" i="11"/>
  <c r="P147" i="11" s="1"/>
  <c r="M152" i="11"/>
  <c r="P152" i="11" s="1"/>
  <c r="M83" i="11"/>
  <c r="P83" i="11" s="1"/>
  <c r="M116" i="11"/>
  <c r="P116" i="11" s="1"/>
  <c r="K153" i="11"/>
  <c r="O153" i="11" s="1"/>
  <c r="M9" i="11"/>
  <c r="P9" i="11" s="1"/>
  <c r="M154" i="8"/>
  <c r="P154" i="8" s="1"/>
  <c r="M170" i="8"/>
  <c r="P170" i="8" s="1"/>
  <c r="M21" i="8"/>
  <c r="P21" i="8" s="1"/>
  <c r="M127" i="8"/>
  <c r="P127" i="8" s="1"/>
  <c r="M7" i="8"/>
  <c r="P7" i="8" s="1"/>
  <c r="M59" i="8"/>
  <c r="P59" i="8" s="1"/>
  <c r="M14" i="8"/>
  <c r="P14" i="8" s="1"/>
  <c r="M115" i="8"/>
  <c r="P115" i="8" s="1"/>
  <c r="M141" i="8"/>
  <c r="P141" i="8" s="1"/>
  <c r="M201" i="8"/>
  <c r="P201" i="8" s="1"/>
  <c r="M8" i="8"/>
  <c r="P8" i="8" s="1"/>
  <c r="M192" i="8"/>
  <c r="P192" i="8" s="1"/>
  <c r="M65" i="8"/>
  <c r="P65" i="8" s="1"/>
  <c r="M164" i="8"/>
  <c r="P164" i="8" s="1"/>
  <c r="M118" i="8"/>
  <c r="P118" i="8" s="1"/>
  <c r="M195" i="8"/>
  <c r="P195" i="8" s="1"/>
  <c r="M173" i="8"/>
  <c r="P173" i="8" s="1"/>
  <c r="M2" i="8"/>
  <c r="P2" i="8" s="1"/>
  <c r="M190" i="8"/>
  <c r="P190" i="8" s="1"/>
  <c r="M171" i="8"/>
  <c r="P171" i="8" s="1"/>
  <c r="M143" i="8"/>
  <c r="P143" i="8" s="1"/>
  <c r="M130" i="8"/>
  <c r="P130" i="8" s="1"/>
  <c r="M23" i="8"/>
  <c r="P23" i="8" s="1"/>
  <c r="M137" i="8"/>
  <c r="P137" i="8" s="1"/>
  <c r="M163" i="8"/>
  <c r="P163" i="8" s="1"/>
  <c r="M44" i="8"/>
  <c r="P44" i="8" s="1"/>
  <c r="M96" i="8"/>
  <c r="P96" i="8" s="1"/>
  <c r="M113" i="8"/>
  <c r="P113" i="8" s="1"/>
  <c r="M177" i="8"/>
  <c r="P177" i="8" s="1"/>
  <c r="M74" i="8"/>
  <c r="P74" i="8" s="1"/>
  <c r="M22" i="8"/>
  <c r="P22" i="8" s="1"/>
  <c r="M5" i="8"/>
  <c r="P5" i="8" s="1"/>
  <c r="M156" i="8"/>
  <c r="P156" i="8" s="1"/>
  <c r="M140" i="8"/>
  <c r="P140" i="8" s="1"/>
  <c r="M92" i="8"/>
  <c r="P92" i="8" s="1"/>
  <c r="M194" i="8"/>
  <c r="P194" i="8" s="1"/>
  <c r="M122" i="8"/>
  <c r="P122" i="8" s="1"/>
  <c r="M121" i="8"/>
  <c r="P121" i="8" s="1"/>
  <c r="M100" i="8"/>
  <c r="P100" i="8" s="1"/>
  <c r="M63" i="8"/>
  <c r="P63" i="8" s="1"/>
  <c r="M81" i="8"/>
  <c r="P81" i="8" s="1"/>
  <c r="M158" i="8"/>
  <c r="P158" i="8" s="1"/>
  <c r="M51" i="8"/>
  <c r="P51" i="8" s="1"/>
  <c r="M166" i="8"/>
  <c r="P166" i="8" s="1"/>
  <c r="M157" i="8"/>
  <c r="P157" i="8" s="1"/>
  <c r="M15" i="8"/>
  <c r="P15" i="8" s="1"/>
  <c r="M38" i="8"/>
  <c r="P38" i="8" s="1"/>
  <c r="M149" i="8"/>
  <c r="P149" i="8" s="1"/>
  <c r="M119" i="8"/>
  <c r="P119" i="8" s="1"/>
  <c r="M167" i="8"/>
  <c r="P167" i="8" s="1"/>
  <c r="M78" i="8"/>
  <c r="P78" i="8" s="1"/>
  <c r="M139" i="8"/>
  <c r="P139" i="8" s="1"/>
  <c r="M185" i="8"/>
  <c r="P185" i="8" s="1"/>
  <c r="I32" i="8"/>
  <c r="M193" i="8"/>
  <c r="P193" i="8" s="1"/>
  <c r="H38" i="8"/>
  <c r="H40" i="8" s="1"/>
  <c r="K175" i="8"/>
  <c r="O175" i="8" s="1"/>
  <c r="K127" i="8"/>
  <c r="O127" i="8" s="1"/>
  <c r="K168" i="8"/>
  <c r="O168" i="8" s="1"/>
  <c r="K112" i="8"/>
  <c r="O112" i="8" s="1"/>
  <c r="M155" i="8"/>
  <c r="P155" i="8" s="1"/>
  <c r="K202" i="8"/>
  <c r="O202" i="8" s="1"/>
  <c r="M189" i="8"/>
  <c r="P189" i="8" s="1"/>
  <c r="M133" i="8"/>
  <c r="P133" i="8" s="1"/>
  <c r="M148" i="8"/>
  <c r="P148" i="8" s="1"/>
  <c r="M150" i="8"/>
  <c r="P150" i="8" s="1"/>
  <c r="K141" i="8"/>
  <c r="O141" i="8" s="1"/>
  <c r="K83" i="8"/>
  <c r="O83" i="8" s="1"/>
  <c r="M136" i="8"/>
  <c r="P136" i="8" s="1"/>
  <c r="K68" i="8"/>
  <c r="O68" i="8" s="1"/>
  <c r="K122" i="8"/>
  <c r="O122" i="8" s="1"/>
  <c r="K69" i="8"/>
  <c r="O69" i="8" s="1"/>
  <c r="K124" i="8"/>
  <c r="O124" i="8" s="1"/>
  <c r="K149" i="8"/>
  <c r="O149" i="8" s="1"/>
  <c r="M89" i="8"/>
  <c r="P89" i="8" s="1"/>
  <c r="K82" i="8"/>
  <c r="O82" i="8" s="1"/>
  <c r="K86" i="8"/>
  <c r="O86" i="8" s="1"/>
  <c r="K98" i="8"/>
  <c r="O98" i="8" s="1"/>
  <c r="K12" i="8"/>
  <c r="O12" i="8" s="1"/>
  <c r="K49" i="8"/>
  <c r="O49" i="8" s="1"/>
  <c r="K74" i="8"/>
  <c r="O74" i="8" s="1"/>
  <c r="K36" i="8"/>
  <c r="O36" i="8" s="1"/>
  <c r="K107" i="8"/>
  <c r="O107" i="8" s="1"/>
  <c r="K29" i="8"/>
  <c r="O29" i="8" s="1"/>
  <c r="K56" i="8"/>
  <c r="O56" i="8" s="1"/>
  <c r="K17" i="8"/>
  <c r="O17" i="8" s="1"/>
  <c r="M4" i="8"/>
  <c r="P4" i="8" s="1"/>
  <c r="M9" i="8"/>
  <c r="P9" i="8" s="1"/>
  <c r="M18" i="8"/>
  <c r="P18" i="8" s="1"/>
  <c r="M16" i="8"/>
  <c r="P16" i="8" s="1"/>
  <c r="K163" i="8"/>
  <c r="O163" i="8" s="1"/>
  <c r="K116" i="8"/>
  <c r="O116" i="8" s="1"/>
  <c r="K93" i="8"/>
  <c r="O93" i="8" s="1"/>
  <c r="K63" i="8"/>
  <c r="O63" i="8" s="1"/>
  <c r="K48" i="8"/>
  <c r="O48" i="8" s="1"/>
  <c r="K50" i="8"/>
  <c r="O50" i="8" s="1"/>
  <c r="K32" i="8"/>
  <c r="O32" i="8" s="1"/>
  <c r="K23" i="8"/>
  <c r="O23" i="8" s="1"/>
  <c r="K150" i="8"/>
  <c r="O150" i="8" s="1"/>
  <c r="M116" i="8"/>
  <c r="P116" i="8" s="1"/>
  <c r="K9" i="8"/>
  <c r="O9" i="8" s="1"/>
  <c r="K167" i="8"/>
  <c r="O167" i="8" s="1"/>
  <c r="K119" i="8"/>
  <c r="O119" i="8" s="1"/>
  <c r="K160" i="8"/>
  <c r="O160" i="8" s="1"/>
  <c r="K201" i="8"/>
  <c r="O201" i="8" s="1"/>
  <c r="K153" i="8"/>
  <c r="O153" i="8" s="1"/>
  <c r="K194" i="8"/>
  <c r="O194" i="8" s="1"/>
  <c r="K187" i="8"/>
  <c r="O187" i="8" s="1"/>
  <c r="K131" i="8"/>
  <c r="O131" i="8" s="1"/>
  <c r="K146" i="8"/>
  <c r="O146" i="8" s="1"/>
  <c r="K148" i="8"/>
  <c r="O148" i="8" s="1"/>
  <c r="K125" i="8"/>
  <c r="O125" i="8" s="1"/>
  <c r="K75" i="8"/>
  <c r="O75" i="8" s="1"/>
  <c r="K134" i="8"/>
  <c r="O134" i="8" s="1"/>
  <c r="M62" i="8"/>
  <c r="P62" i="8" s="1"/>
  <c r="K111" i="8"/>
  <c r="O111" i="8" s="1"/>
  <c r="K61" i="8"/>
  <c r="O61" i="8" s="1"/>
  <c r="K109" i="8"/>
  <c r="O109" i="8" s="1"/>
  <c r="M135" i="8"/>
  <c r="P135" i="8" s="1"/>
  <c r="K87" i="8"/>
  <c r="O87" i="8" s="1"/>
  <c r="K66" i="8"/>
  <c r="O66" i="8" s="1"/>
  <c r="K70" i="8"/>
  <c r="O70" i="8" s="1"/>
  <c r="K72" i="8"/>
  <c r="O72" i="8" s="1"/>
  <c r="M6" i="8"/>
  <c r="P6" i="8" s="1"/>
  <c r="K42" i="8"/>
  <c r="O42" i="8" s="1"/>
  <c r="M60" i="8"/>
  <c r="P60" i="8" s="1"/>
  <c r="M32" i="8"/>
  <c r="P32" i="8" s="1"/>
  <c r="M80" i="8"/>
  <c r="P80" i="8" s="1"/>
  <c r="K28" i="8"/>
  <c r="O28" i="8" s="1"/>
  <c r="K52" i="8"/>
  <c r="O52" i="8" s="1"/>
  <c r="K6" i="8"/>
  <c r="O6" i="8" s="1"/>
  <c r="K2" i="8"/>
  <c r="O2" i="8" s="1"/>
  <c r="K53" i="8"/>
  <c r="O53" i="8" s="1"/>
  <c r="K14" i="8"/>
  <c r="O14" i="8" s="1"/>
  <c r="M131" i="8"/>
  <c r="P131" i="8" s="1"/>
  <c r="K99" i="8"/>
  <c r="O99" i="8" s="1"/>
  <c r="K156" i="8"/>
  <c r="O156" i="8" s="1"/>
  <c r="K33" i="8"/>
  <c r="O33" i="8" s="1"/>
  <c r="K88" i="8"/>
  <c r="O88" i="8" s="1"/>
  <c r="M82" i="8"/>
  <c r="P82" i="8" s="1"/>
  <c r="K16" i="8"/>
  <c r="O16" i="8" s="1"/>
  <c r="K135" i="8"/>
  <c r="O135" i="8" s="1"/>
  <c r="K162" i="8"/>
  <c r="O162" i="8" s="1"/>
  <c r="M124" i="8"/>
  <c r="P124" i="8" s="1"/>
  <c r="K110" i="8"/>
  <c r="O110" i="8" s="1"/>
  <c r="K97" i="8"/>
  <c r="O97" i="8" s="1"/>
  <c r="M47" i="8"/>
  <c r="P47" i="8" s="1"/>
  <c r="M161" i="8"/>
  <c r="P161" i="8" s="1"/>
  <c r="M202" i="8"/>
  <c r="P202" i="8" s="1"/>
  <c r="K152" i="8"/>
  <c r="O152" i="8" s="1"/>
  <c r="K193" i="8"/>
  <c r="O193" i="8" s="1"/>
  <c r="K145" i="8"/>
  <c r="O145" i="8" s="1"/>
  <c r="M188" i="8"/>
  <c r="P188" i="8" s="1"/>
  <c r="K179" i="8"/>
  <c r="O179" i="8" s="1"/>
  <c r="K123" i="8"/>
  <c r="O123" i="8" s="1"/>
  <c r="M132" i="8"/>
  <c r="P132" i="8" s="1"/>
  <c r="M134" i="8"/>
  <c r="P134" i="8" s="1"/>
  <c r="K108" i="8"/>
  <c r="O108" i="8" s="1"/>
  <c r="K67" i="8"/>
  <c r="O67" i="8" s="1"/>
  <c r="K118" i="8"/>
  <c r="O118" i="8" s="1"/>
  <c r="K60" i="8"/>
  <c r="O60" i="8" s="1"/>
  <c r="K101" i="8"/>
  <c r="O101" i="8" s="1"/>
  <c r="K190" i="8"/>
  <c r="O190" i="8" s="1"/>
  <c r="M105" i="8"/>
  <c r="P105" i="8" s="1"/>
  <c r="K133" i="8"/>
  <c r="O133" i="8" s="1"/>
  <c r="K79" i="8"/>
  <c r="O79" i="8" s="1"/>
  <c r="K54" i="8"/>
  <c r="O54" i="8" s="1"/>
  <c r="K57" i="8"/>
  <c r="O57" i="8" s="1"/>
  <c r="M58" i="8"/>
  <c r="P58" i="8" s="1"/>
  <c r="K189" i="8"/>
  <c r="O189" i="8" s="1"/>
  <c r="M29" i="8"/>
  <c r="P29" i="8" s="1"/>
  <c r="K58" i="8"/>
  <c r="O58" i="8" s="1"/>
  <c r="M31" i="8"/>
  <c r="P31" i="8" s="1"/>
  <c r="K78" i="8"/>
  <c r="O78" i="8" s="1"/>
  <c r="K142" i="8"/>
  <c r="O142" i="8" s="1"/>
  <c r="K44" i="8"/>
  <c r="O44" i="8" s="1"/>
  <c r="K158" i="8"/>
  <c r="O158" i="8" s="1"/>
  <c r="K90" i="8"/>
  <c r="O90" i="8" s="1"/>
  <c r="K40" i="8"/>
  <c r="O40" i="8" s="1"/>
  <c r="K5" i="8"/>
  <c r="O5" i="8" s="1"/>
  <c r="M180" i="8"/>
  <c r="P180" i="8" s="1"/>
  <c r="K92" i="8"/>
  <c r="O92" i="8" s="1"/>
  <c r="M110" i="8"/>
  <c r="P110" i="8" s="1"/>
  <c r="K19" i="8"/>
  <c r="O19" i="8" s="1"/>
  <c r="M19" i="8"/>
  <c r="P19" i="8" s="1"/>
  <c r="K161" i="8"/>
  <c r="O161" i="8" s="1"/>
  <c r="K195" i="8"/>
  <c r="O195" i="8" s="1"/>
  <c r="M85" i="8"/>
  <c r="P85" i="8" s="1"/>
  <c r="K77" i="8"/>
  <c r="O77" i="8" s="1"/>
  <c r="K18" i="8"/>
  <c r="O18" i="8" s="1"/>
  <c r="K30" i="8"/>
  <c r="O30" i="8" s="1"/>
  <c r="K22" i="8"/>
  <c r="O22" i="8" s="1"/>
  <c r="K159" i="8"/>
  <c r="O159" i="8" s="1"/>
  <c r="K200" i="8"/>
  <c r="O200" i="8" s="1"/>
  <c r="K144" i="8"/>
  <c r="O144" i="8" s="1"/>
  <c r="M187" i="8"/>
  <c r="P187" i="8" s="1"/>
  <c r="K137" i="8"/>
  <c r="O137" i="8" s="1"/>
  <c r="K186" i="8"/>
  <c r="O186" i="8" s="1"/>
  <c r="K171" i="8"/>
  <c r="O171" i="8" s="1"/>
  <c r="K115" i="8"/>
  <c r="O115" i="8" s="1"/>
  <c r="K130" i="8"/>
  <c r="O130" i="8" s="1"/>
  <c r="K132" i="8"/>
  <c r="O132" i="8" s="1"/>
  <c r="M101" i="8"/>
  <c r="P101" i="8" s="1"/>
  <c r="K59" i="8"/>
  <c r="O59" i="8" s="1"/>
  <c r="K100" i="8"/>
  <c r="O100" i="8" s="1"/>
  <c r="K181" i="8"/>
  <c r="O181" i="8" s="1"/>
  <c r="M95" i="8"/>
  <c r="P95" i="8" s="1"/>
  <c r="K172" i="8"/>
  <c r="O172" i="8" s="1"/>
  <c r="K102" i="8"/>
  <c r="O102" i="8" s="1"/>
  <c r="K117" i="8"/>
  <c r="O117" i="8" s="1"/>
  <c r="K71" i="8"/>
  <c r="O71" i="8" s="1"/>
  <c r="K46" i="8"/>
  <c r="O46" i="8" s="1"/>
  <c r="K47" i="8"/>
  <c r="O47" i="8" s="1"/>
  <c r="M50" i="8"/>
  <c r="P50" i="8" s="1"/>
  <c r="M107" i="8"/>
  <c r="P107" i="8" s="1"/>
  <c r="M28" i="8"/>
  <c r="P28" i="8" s="1"/>
  <c r="M52" i="8"/>
  <c r="P52" i="8" s="1"/>
  <c r="K27" i="8"/>
  <c r="O27" i="8" s="1"/>
  <c r="K62" i="8"/>
  <c r="O62" i="8" s="1"/>
  <c r="K96" i="8"/>
  <c r="O96" i="8" s="1"/>
  <c r="K39" i="8"/>
  <c r="O39" i="8" s="1"/>
  <c r="K73" i="8"/>
  <c r="O73" i="8" s="1"/>
  <c r="K45" i="8"/>
  <c r="O45" i="8" s="1"/>
  <c r="K7" i="8"/>
  <c r="O7" i="8" s="1"/>
  <c r="K24" i="8"/>
  <c r="O24" i="8" s="1"/>
  <c r="K197" i="8"/>
  <c r="O197" i="8" s="1"/>
  <c r="K198" i="8"/>
  <c r="O198" i="8" s="1"/>
  <c r="K94" i="8"/>
  <c r="O94" i="8" s="1"/>
  <c r="M42" i="8"/>
  <c r="P42" i="8" s="1"/>
  <c r="M53" i="8"/>
  <c r="P53" i="8" s="1"/>
  <c r="K4" i="8"/>
  <c r="O4" i="8" s="1"/>
  <c r="K183" i="8"/>
  <c r="O183" i="8" s="1"/>
  <c r="K164" i="8"/>
  <c r="O164" i="8" s="1"/>
  <c r="M126" i="8"/>
  <c r="P126" i="8" s="1"/>
  <c r="K55" i="8"/>
  <c r="O55" i="8" s="1"/>
  <c r="K64" i="8"/>
  <c r="O64" i="8" s="1"/>
  <c r="K8" i="8"/>
  <c r="O8" i="8" s="1"/>
  <c r="M153" i="8"/>
  <c r="P153" i="8" s="1"/>
  <c r="K192" i="8"/>
  <c r="O192" i="8" s="1"/>
  <c r="K136" i="8"/>
  <c r="O136" i="8" s="1"/>
  <c r="K185" i="8"/>
  <c r="O185" i="8" s="1"/>
  <c r="M191" i="8"/>
  <c r="P191" i="8" s="1"/>
  <c r="K170" i="8"/>
  <c r="O170" i="8" s="1"/>
  <c r="K26" i="8"/>
  <c r="O26" i="8" s="1"/>
  <c r="K199" i="8"/>
  <c r="O199" i="8" s="1"/>
  <c r="K151" i="8"/>
  <c r="O151" i="8" s="1"/>
  <c r="K184" i="8"/>
  <c r="O184" i="8" s="1"/>
  <c r="K128" i="8"/>
  <c r="O128" i="8" s="1"/>
  <c r="K177" i="8"/>
  <c r="O177" i="8" s="1"/>
  <c r="K129" i="8"/>
  <c r="O129" i="8" s="1"/>
  <c r="K178" i="8"/>
  <c r="O178" i="8" s="1"/>
  <c r="K155" i="8"/>
  <c r="O155" i="8" s="1"/>
  <c r="K204" i="8"/>
  <c r="O204" i="8" s="1"/>
  <c r="K188" i="8"/>
  <c r="O188" i="8" s="1"/>
  <c r="K182" i="8"/>
  <c r="O182" i="8" s="1"/>
  <c r="M93" i="8"/>
  <c r="P93" i="8" s="1"/>
  <c r="M168" i="8"/>
  <c r="P168" i="8" s="1"/>
  <c r="M86" i="8"/>
  <c r="P86" i="8" s="1"/>
  <c r="K154" i="8"/>
  <c r="O154" i="8" s="1"/>
  <c r="K85" i="8"/>
  <c r="O85" i="8" s="1"/>
  <c r="M142" i="8"/>
  <c r="P142" i="8" s="1"/>
  <c r="K196" i="8"/>
  <c r="O196" i="8" s="1"/>
  <c r="M106" i="8"/>
  <c r="P106" i="8" s="1"/>
  <c r="M200" i="8"/>
  <c r="P200" i="8" s="1"/>
  <c r="I31" i="8"/>
  <c r="K41" i="8"/>
  <c r="O41" i="8" s="1"/>
  <c r="K35" i="8"/>
  <c r="O35" i="8" s="1"/>
  <c r="K81" i="8"/>
  <c r="O81" i="8" s="1"/>
  <c r="M128" i="8"/>
  <c r="P128" i="8" s="1"/>
  <c r="K43" i="8"/>
  <c r="O43" i="8" s="1"/>
  <c r="K20" i="8"/>
  <c r="O20" i="8" s="1"/>
  <c r="K51" i="8"/>
  <c r="O51" i="8" s="1"/>
  <c r="K80" i="8"/>
  <c r="O80" i="8" s="1"/>
  <c r="K31" i="8"/>
  <c r="O31" i="8" s="1"/>
  <c r="K15" i="8"/>
  <c r="O15" i="8" s="1"/>
  <c r="K13" i="8"/>
  <c r="O13" i="8" s="1"/>
  <c r="K10" i="8"/>
  <c r="O10" i="8" s="1"/>
  <c r="K21" i="8"/>
  <c r="O21" i="8" s="1"/>
  <c r="K176" i="8"/>
  <c r="O176" i="8" s="1"/>
  <c r="K139" i="8"/>
  <c r="O139" i="8" s="1"/>
  <c r="K76" i="8"/>
  <c r="O76" i="8" s="1"/>
  <c r="K95" i="8"/>
  <c r="O95" i="8" s="1"/>
  <c r="M112" i="8"/>
  <c r="P112" i="8" s="1"/>
  <c r="K191" i="8"/>
  <c r="O191" i="8" s="1"/>
  <c r="K143" i="8"/>
  <c r="O143" i="8" s="1"/>
  <c r="M178" i="8"/>
  <c r="P178" i="8" s="1"/>
  <c r="K120" i="8"/>
  <c r="O120" i="8" s="1"/>
  <c r="K169" i="8"/>
  <c r="O169" i="8" s="1"/>
  <c r="K121" i="8"/>
  <c r="O121" i="8" s="1"/>
  <c r="K203" i="8"/>
  <c r="O203" i="8" s="1"/>
  <c r="K147" i="8"/>
  <c r="O147" i="8" s="1"/>
  <c r="M182" i="8"/>
  <c r="P182" i="8" s="1"/>
  <c r="M176" i="8"/>
  <c r="P176" i="8" s="1"/>
  <c r="K173" i="8"/>
  <c r="O173" i="8" s="1"/>
  <c r="K91" i="8"/>
  <c r="O91" i="8" s="1"/>
  <c r="K166" i="8"/>
  <c r="O166" i="8" s="1"/>
  <c r="K84" i="8"/>
  <c r="O84" i="8" s="1"/>
  <c r="K138" i="8"/>
  <c r="O138" i="8" s="1"/>
  <c r="M79" i="8"/>
  <c r="P79" i="8" s="1"/>
  <c r="K140" i="8"/>
  <c r="O140" i="8" s="1"/>
  <c r="K180" i="8"/>
  <c r="O180" i="8" s="1"/>
  <c r="K104" i="8"/>
  <c r="O104" i="8" s="1"/>
  <c r="K174" i="8"/>
  <c r="O174" i="8" s="1"/>
  <c r="K105" i="8"/>
  <c r="O105" i="8" s="1"/>
  <c r="K34" i="8"/>
  <c r="O34" i="8" s="1"/>
  <c r="K25" i="8"/>
  <c r="O25" i="8" s="1"/>
  <c r="K65" i="8"/>
  <c r="O65" i="8" s="1"/>
  <c r="K114" i="8"/>
  <c r="O114" i="8" s="1"/>
  <c r="K38" i="8"/>
  <c r="O38" i="8" s="1"/>
  <c r="K126" i="8"/>
  <c r="O126" i="8" s="1"/>
  <c r="M45" i="8"/>
  <c r="P45" i="8" s="1"/>
  <c r="M66" i="8"/>
  <c r="P66" i="8" s="1"/>
  <c r="M75" i="8"/>
  <c r="P75" i="8" s="1"/>
  <c r="M13" i="8"/>
  <c r="P13" i="8" s="1"/>
  <c r="M10" i="8"/>
  <c r="P10" i="8" s="1"/>
  <c r="K106" i="8"/>
  <c r="O106" i="8" s="1"/>
  <c r="K11" i="8"/>
  <c r="O11" i="8" s="1"/>
  <c r="M114" i="8"/>
  <c r="P114" i="8" s="1"/>
  <c r="K113" i="8"/>
  <c r="O113" i="8" s="1"/>
  <c r="K157" i="8"/>
  <c r="O157" i="8" s="1"/>
  <c r="K165" i="8"/>
  <c r="O165" i="8" s="1"/>
  <c r="K89" i="8"/>
  <c r="O89" i="8" s="1"/>
  <c r="K37" i="8"/>
  <c r="O37" i="8" s="1"/>
  <c r="K3" i="8"/>
  <c r="O3" i="8" s="1"/>
  <c r="I30" i="8"/>
  <c r="M26" i="8"/>
  <c r="P26" i="8" s="1"/>
  <c r="M55" i="8"/>
  <c r="P55" i="8" s="1"/>
  <c r="M152" i="8"/>
  <c r="P152" i="8" s="1"/>
  <c r="M11" i="8"/>
  <c r="P11" i="8" s="1"/>
  <c r="M46" i="8"/>
  <c r="P46" i="8" s="1"/>
  <c r="M48" i="8"/>
  <c r="P48" i="8" s="1"/>
  <c r="M56" i="8"/>
  <c r="P56" i="8" s="1"/>
  <c r="M174" i="8"/>
  <c r="P174" i="8" s="1"/>
  <c r="M199" i="8"/>
  <c r="P199" i="8" s="1"/>
  <c r="M36" i="8"/>
  <c r="P36" i="8" s="1"/>
  <c r="M203" i="8"/>
  <c r="P203" i="8" s="1"/>
  <c r="M159" i="8"/>
  <c r="P159" i="8" s="1"/>
  <c r="M76" i="8"/>
  <c r="P76" i="8" s="1"/>
  <c r="M84" i="8"/>
  <c r="P84" i="8" s="1"/>
  <c r="M3" i="8"/>
  <c r="P3" i="8" s="1"/>
  <c r="M184" i="8"/>
  <c r="P184" i="8" s="1"/>
  <c r="M138" i="8"/>
  <c r="P138" i="8" s="1"/>
  <c r="M204" i="8"/>
  <c r="P204" i="8" s="1"/>
  <c r="M27" i="8"/>
  <c r="P27" i="8" s="1"/>
  <c r="M198" i="8"/>
  <c r="P198" i="8" s="1"/>
  <c r="M70" i="8"/>
  <c r="P70" i="8" s="1"/>
  <c r="M34" i="8"/>
  <c r="P34" i="8" s="1"/>
  <c r="M54" i="8"/>
  <c r="P54" i="8" s="1"/>
  <c r="M35" i="8"/>
  <c r="P35" i="8" s="1"/>
  <c r="M73" i="8"/>
  <c r="P73" i="8" s="1"/>
  <c r="M111" i="8"/>
  <c r="P111" i="8" s="1"/>
  <c r="M87" i="8"/>
  <c r="P87" i="8" s="1"/>
  <c r="M61" i="8"/>
  <c r="P61" i="8" s="1"/>
  <c r="M109" i="8"/>
  <c r="P109" i="8" s="1"/>
  <c r="M160" i="8"/>
  <c r="P160" i="8" s="1"/>
  <c r="M144" i="8"/>
  <c r="P144" i="8" s="1"/>
  <c r="M64" i="8"/>
  <c r="P64" i="8" s="1"/>
  <c r="M69" i="8"/>
  <c r="P69" i="8" s="1"/>
  <c r="M165" i="8"/>
  <c r="P165" i="8" s="1"/>
  <c r="M146" i="8"/>
  <c r="P146" i="8" s="1"/>
  <c r="M181" i="8"/>
  <c r="P181" i="8" s="1"/>
  <c r="M72" i="8"/>
  <c r="P72" i="8" s="1"/>
  <c r="M33" i="8"/>
  <c r="P33" i="8" s="1"/>
  <c r="M104" i="8"/>
  <c r="P104" i="8" s="1"/>
  <c r="M43" i="8"/>
  <c r="P43" i="8" s="1"/>
  <c r="M99" i="8"/>
  <c r="P99" i="8" s="1"/>
  <c r="M88" i="8"/>
  <c r="P88" i="8" s="1"/>
  <c r="M162" i="8"/>
  <c r="P162" i="8" s="1"/>
  <c r="M71" i="8"/>
  <c r="P71" i="8" s="1"/>
  <c r="M94" i="8"/>
  <c r="P94" i="8" s="1"/>
  <c r="M117" i="8"/>
  <c r="P117" i="8" s="1"/>
  <c r="M49" i="8"/>
  <c r="P49" i="8" s="1"/>
  <c r="M41" i="8"/>
  <c r="P41" i="8" s="1"/>
  <c r="M77" i="8"/>
  <c r="P77" i="8" s="1"/>
  <c r="M37" i="8"/>
  <c r="P37" i="8" s="1"/>
  <c r="M24" i="8"/>
  <c r="P24" i="8" s="1"/>
  <c r="M169" i="8"/>
  <c r="P169" i="8" s="1"/>
  <c r="M68" i="8"/>
  <c r="P68" i="8" s="1"/>
  <c r="M97" i="8"/>
  <c r="P97" i="8" s="1"/>
  <c r="M39" i="8"/>
  <c r="P39" i="8" s="1"/>
  <c r="M186" i="8"/>
  <c r="P186" i="8" s="1"/>
  <c r="M91" i="8"/>
  <c r="P91" i="8" s="1"/>
  <c r="M25" i="8"/>
  <c r="P25" i="8" s="1"/>
  <c r="M12" i="8"/>
  <c r="P12" i="8" s="1"/>
  <c r="M123" i="8"/>
  <c r="P123" i="8" s="1"/>
  <c r="M196" i="8"/>
  <c r="P196" i="8" s="1"/>
  <c r="I44" i="27" l="1"/>
  <c r="H37" i="27"/>
  <c r="I45" i="27"/>
  <c r="I10" i="40"/>
  <c r="L163" i="33"/>
  <c r="M163" i="33" s="1"/>
  <c r="P163" i="33" s="1"/>
  <c r="L88" i="33"/>
  <c r="M88" i="33" s="1"/>
  <c r="P88" i="33" s="1"/>
  <c r="L10" i="33"/>
  <c r="M10" i="33" s="1"/>
  <c r="P10" i="33" s="1"/>
  <c r="L169" i="33"/>
  <c r="M169" i="33" s="1"/>
  <c r="P169" i="33" s="1"/>
  <c r="L86" i="33"/>
  <c r="M86" i="33" s="1"/>
  <c r="P86" i="33" s="1"/>
  <c r="L113" i="33"/>
  <c r="M113" i="33" s="1"/>
  <c r="P113" i="33" s="1"/>
  <c r="L144" i="33"/>
  <c r="M144" i="33" s="1"/>
  <c r="P144" i="33" s="1"/>
  <c r="L28" i="33"/>
  <c r="M28" i="33" s="1"/>
  <c r="P28" i="33" s="1"/>
  <c r="L15" i="33"/>
  <c r="M15" i="33" s="1"/>
  <c r="P15" i="33" s="1"/>
  <c r="L202" i="33"/>
  <c r="M202" i="33" s="1"/>
  <c r="P202" i="33" s="1"/>
  <c r="L186" i="33"/>
  <c r="M186" i="33" s="1"/>
  <c r="P186" i="33" s="1"/>
  <c r="L93" i="33"/>
  <c r="M93" i="33" s="1"/>
  <c r="P93" i="33" s="1"/>
  <c r="L204" i="33"/>
  <c r="I10" i="46"/>
  <c r="L189" i="33"/>
  <c r="M189" i="33" s="1"/>
  <c r="P189" i="33" s="1"/>
  <c r="L151" i="33"/>
  <c r="L55" i="33"/>
  <c r="L48" i="33"/>
  <c r="L192" i="33"/>
  <c r="L89" i="33"/>
  <c r="L149" i="33"/>
  <c r="L2" i="33"/>
  <c r="L84" i="33"/>
  <c r="M84" i="33" s="1"/>
  <c r="P84" i="33" s="1"/>
  <c r="L130" i="33"/>
  <c r="L87" i="33"/>
  <c r="L71" i="33"/>
  <c r="L117" i="33"/>
  <c r="L121" i="33"/>
  <c r="L16" i="33"/>
  <c r="L58" i="33"/>
  <c r="M58" i="33" s="1"/>
  <c r="P58" i="33" s="1"/>
  <c r="L198" i="33"/>
  <c r="M198" i="33" s="1"/>
  <c r="P198" i="33" s="1"/>
  <c r="L171" i="33"/>
  <c r="L142" i="33"/>
  <c r="L62" i="33"/>
  <c r="L74" i="33"/>
  <c r="L70" i="33"/>
  <c r="L137" i="33"/>
  <c r="L140" i="33"/>
  <c r="M140" i="33" s="1"/>
  <c r="P140" i="33" s="1"/>
  <c r="L124" i="33"/>
  <c r="M124" i="33" s="1"/>
  <c r="P124" i="33" s="1"/>
  <c r="L185" i="33"/>
  <c r="L154" i="33"/>
  <c r="L148" i="33"/>
  <c r="L200" i="33"/>
  <c r="L161" i="33"/>
  <c r="L166" i="33"/>
  <c r="L126" i="33"/>
  <c r="L184" i="33"/>
  <c r="M184" i="33" s="1"/>
  <c r="P184" i="33" s="1"/>
  <c r="L91" i="33"/>
  <c r="L153" i="33"/>
  <c r="L18" i="33"/>
  <c r="L174" i="33"/>
  <c r="L101" i="33"/>
  <c r="L195" i="33"/>
  <c r="L110" i="33"/>
  <c r="L24" i="33"/>
  <c r="M24" i="33" s="1"/>
  <c r="P24" i="33" s="1"/>
  <c r="L182" i="33"/>
  <c r="L179" i="33"/>
  <c r="L83" i="33"/>
  <c r="L82" i="33"/>
  <c r="L99" i="33"/>
  <c r="L180" i="33"/>
  <c r="L31" i="33"/>
  <c r="L201" i="33"/>
  <c r="M201" i="33" s="1"/>
  <c r="P201" i="33" s="1"/>
  <c r="L188" i="33"/>
  <c r="L30" i="33"/>
  <c r="L134" i="33"/>
  <c r="L65" i="33"/>
  <c r="L85" i="33"/>
  <c r="L32" i="33"/>
  <c r="L98" i="33"/>
  <c r="L132" i="33"/>
  <c r="M132" i="33" s="1"/>
  <c r="P132" i="33" s="1"/>
  <c r="L37" i="33"/>
  <c r="L128" i="33"/>
  <c r="L77" i="33"/>
  <c r="M77" i="33" s="1"/>
  <c r="P77" i="33" s="1"/>
  <c r="L127" i="33"/>
  <c r="L108" i="33"/>
  <c r="I8" i="40"/>
  <c r="I13" i="40" s="1"/>
  <c r="L52" i="33"/>
  <c r="M52" i="33" s="1"/>
  <c r="P52" i="33" s="1"/>
  <c r="L67" i="33"/>
  <c r="L76" i="33"/>
  <c r="L42" i="33"/>
  <c r="L118" i="33"/>
  <c r="L143" i="33"/>
  <c r="L3" i="33"/>
  <c r="L181" i="33"/>
  <c r="L27" i="33"/>
  <c r="L63" i="33"/>
  <c r="L136" i="33"/>
  <c r="L114" i="33"/>
  <c r="L106" i="33"/>
  <c r="L92" i="33"/>
  <c r="K71" i="33"/>
  <c r="O71" i="33" s="1"/>
  <c r="K181" i="33"/>
  <c r="O181" i="33" s="1"/>
  <c r="M32" i="33"/>
  <c r="P32" i="33" s="1"/>
  <c r="K8" i="33"/>
  <c r="O8" i="33" s="1"/>
  <c r="K61" i="33"/>
  <c r="O61" i="33" s="1"/>
  <c r="K152" i="33"/>
  <c r="O152" i="33" s="1"/>
  <c r="K151" i="33"/>
  <c r="O151" i="33" s="1"/>
  <c r="K97" i="33"/>
  <c r="O97" i="33" s="1"/>
  <c r="K66" i="33"/>
  <c r="O66" i="33" s="1"/>
  <c r="K106" i="33"/>
  <c r="O106" i="33" s="1"/>
  <c r="K80" i="33"/>
  <c r="O80" i="33" s="1"/>
  <c r="M37" i="33"/>
  <c r="P37" i="33" s="1"/>
  <c r="K27" i="33"/>
  <c r="O27" i="33" s="1"/>
  <c r="M48" i="33"/>
  <c r="P48" i="33" s="1"/>
  <c r="M192" i="33"/>
  <c r="P192" i="33" s="1"/>
  <c r="M89" i="33"/>
  <c r="P89" i="33" s="1"/>
  <c r="M130" i="33"/>
  <c r="P130" i="33" s="1"/>
  <c r="M87" i="33"/>
  <c r="P87" i="33" s="1"/>
  <c r="M71" i="33"/>
  <c r="P71" i="33" s="1"/>
  <c r="M117" i="33"/>
  <c r="P117" i="33" s="1"/>
  <c r="K32" i="33"/>
  <c r="O32" i="33" s="1"/>
  <c r="K201" i="33"/>
  <c r="O201" i="33" s="1"/>
  <c r="K178" i="33"/>
  <c r="O178" i="33" s="1"/>
  <c r="K113" i="33"/>
  <c r="O113" i="33" s="1"/>
  <c r="M149" i="33"/>
  <c r="P149" i="33" s="1"/>
  <c r="K34" i="33"/>
  <c r="O34" i="33" s="1"/>
  <c r="K4" i="33"/>
  <c r="O4" i="33" s="1"/>
  <c r="K48" i="33"/>
  <c r="O48" i="33" s="1"/>
  <c r="K196" i="33"/>
  <c r="O196" i="33" s="1"/>
  <c r="K127" i="33"/>
  <c r="O127" i="33" s="1"/>
  <c r="K164" i="33"/>
  <c r="O164" i="33" s="1"/>
  <c r="K195" i="33"/>
  <c r="O195" i="33" s="1"/>
  <c r="M121" i="33"/>
  <c r="P121" i="33" s="1"/>
  <c r="M16" i="33"/>
  <c r="P16" i="33" s="1"/>
  <c r="M171" i="33"/>
  <c r="P171" i="33" s="1"/>
  <c r="M142" i="33"/>
  <c r="P142" i="33" s="1"/>
  <c r="M62" i="33"/>
  <c r="P62" i="33" s="1"/>
  <c r="M74" i="33"/>
  <c r="P74" i="33" s="1"/>
  <c r="M70" i="33"/>
  <c r="P70" i="33" s="1"/>
  <c r="M137" i="33"/>
  <c r="P137" i="33" s="1"/>
  <c r="M64" i="33"/>
  <c r="P64" i="33" s="1"/>
  <c r="J105" i="46"/>
  <c r="N105" i="46" s="1"/>
  <c r="J91" i="46"/>
  <c r="N91" i="46" s="1"/>
  <c r="J104" i="46"/>
  <c r="N104" i="46" s="1"/>
  <c r="J130" i="46"/>
  <c r="N130" i="46" s="1"/>
  <c r="J29" i="46"/>
  <c r="N29" i="46" s="1"/>
  <c r="J118" i="46"/>
  <c r="N118" i="46" s="1"/>
  <c r="J132" i="46"/>
  <c r="N132" i="46" s="1"/>
  <c r="J19" i="46"/>
  <c r="N19" i="46" s="1"/>
  <c r="J204" i="46"/>
  <c r="N204" i="46" s="1"/>
  <c r="J27" i="46"/>
  <c r="N27" i="46" s="1"/>
  <c r="J64" i="46"/>
  <c r="N64" i="46" s="1"/>
  <c r="J123" i="46"/>
  <c r="N123" i="46" s="1"/>
  <c r="J44" i="46"/>
  <c r="N44" i="46" s="1"/>
  <c r="J9" i="46"/>
  <c r="N9" i="46" s="1"/>
  <c r="J100" i="46"/>
  <c r="N100" i="46" s="1"/>
  <c r="J151" i="46"/>
  <c r="N151" i="46" s="1"/>
  <c r="J162" i="46"/>
  <c r="N162" i="46" s="1"/>
  <c r="J170" i="46"/>
  <c r="N170" i="46" s="1"/>
  <c r="J101" i="46"/>
  <c r="N101" i="46" s="1"/>
  <c r="J133" i="46"/>
  <c r="N133" i="46" s="1"/>
  <c r="J77" i="46"/>
  <c r="N77" i="46" s="1"/>
  <c r="J102" i="46"/>
  <c r="N102" i="46" s="1"/>
  <c r="J31" i="46"/>
  <c r="N31" i="46" s="1"/>
  <c r="J121" i="46"/>
  <c r="N121" i="46" s="1"/>
  <c r="J141" i="46"/>
  <c r="N141" i="46" s="1"/>
  <c r="J200" i="46"/>
  <c r="N200" i="46" s="1"/>
  <c r="J50" i="46"/>
  <c r="N50" i="46" s="1"/>
  <c r="J135" i="46"/>
  <c r="N135" i="46" s="1"/>
  <c r="J152" i="46"/>
  <c r="N152" i="46" s="1"/>
  <c r="J53" i="46"/>
  <c r="N53" i="46" s="1"/>
  <c r="J8" i="46"/>
  <c r="N8" i="46" s="1"/>
  <c r="J48" i="46"/>
  <c r="N48" i="46" s="1"/>
  <c r="J62" i="46"/>
  <c r="N62" i="46" s="1"/>
  <c r="J194" i="46"/>
  <c r="N194" i="46" s="1"/>
  <c r="J20" i="46"/>
  <c r="N20" i="46" s="1"/>
  <c r="J113" i="46"/>
  <c r="N113" i="46" s="1"/>
  <c r="J196" i="46"/>
  <c r="N196" i="46" s="1"/>
  <c r="J54" i="46"/>
  <c r="N54" i="46" s="1"/>
  <c r="J179" i="46"/>
  <c r="N179" i="46" s="1"/>
  <c r="J52" i="46"/>
  <c r="N52" i="46" s="1"/>
  <c r="J160" i="46"/>
  <c r="N160" i="46" s="1"/>
  <c r="J187" i="46"/>
  <c r="N187" i="46" s="1"/>
  <c r="J51" i="46"/>
  <c r="N51" i="46" s="1"/>
  <c r="J24" i="46"/>
  <c r="N24" i="46" s="1"/>
  <c r="J67" i="46"/>
  <c r="N67" i="46" s="1"/>
  <c r="J94" i="46"/>
  <c r="N94" i="46" s="1"/>
  <c r="J40" i="46"/>
  <c r="N40" i="46" s="1"/>
  <c r="J57" i="46"/>
  <c r="N57" i="46" s="1"/>
  <c r="J90" i="46"/>
  <c r="N90" i="46" s="1"/>
  <c r="J197" i="46"/>
  <c r="N197" i="46" s="1"/>
  <c r="J108" i="46"/>
  <c r="N108" i="46" s="1"/>
  <c r="J161" i="46"/>
  <c r="N161" i="46" s="1"/>
  <c r="J39" i="46"/>
  <c r="J21" i="46"/>
  <c r="N21" i="46" s="1"/>
  <c r="J92" i="46"/>
  <c r="N92" i="46" s="1"/>
  <c r="J116" i="46"/>
  <c r="N116" i="46" s="1"/>
  <c r="J60" i="46"/>
  <c r="N60" i="46" s="1"/>
  <c r="J142" i="46"/>
  <c r="N142" i="46" s="1"/>
  <c r="J13" i="46"/>
  <c r="N13" i="46" s="1"/>
  <c r="J128" i="46"/>
  <c r="N128" i="46" s="1"/>
  <c r="J171" i="46"/>
  <c r="N171" i="46" s="1"/>
  <c r="J75" i="46"/>
  <c r="N75" i="46" s="1"/>
  <c r="J98" i="46"/>
  <c r="N98" i="46" s="1"/>
  <c r="J154" i="46"/>
  <c r="N154" i="46" s="1"/>
  <c r="J4" i="46"/>
  <c r="N4" i="46" s="1"/>
  <c r="J145" i="46"/>
  <c r="N145" i="46" s="1"/>
  <c r="J15" i="46"/>
  <c r="N15" i="46" s="1"/>
  <c r="J168" i="46"/>
  <c r="N168" i="46" s="1"/>
  <c r="J172" i="46"/>
  <c r="N172" i="46" s="1"/>
  <c r="J73" i="46"/>
  <c r="N73" i="46" s="1"/>
  <c r="J125" i="46"/>
  <c r="N125" i="46" s="1"/>
  <c r="J11" i="46"/>
  <c r="N11" i="46" s="1"/>
  <c r="J6" i="46"/>
  <c r="N6" i="46" s="1"/>
  <c r="J74" i="46"/>
  <c r="N74" i="46" s="1"/>
  <c r="J180" i="46"/>
  <c r="N180" i="46" s="1"/>
  <c r="J188" i="46"/>
  <c r="N188" i="46" s="1"/>
  <c r="J198" i="46"/>
  <c r="N198" i="46" s="1"/>
  <c r="J26" i="46"/>
  <c r="N26" i="46" s="1"/>
  <c r="J131" i="46"/>
  <c r="N131" i="46" s="1"/>
  <c r="J112" i="46"/>
  <c r="N112" i="46" s="1"/>
  <c r="J203" i="46"/>
  <c r="N203" i="46" s="1"/>
  <c r="J126" i="46"/>
  <c r="N126" i="46" s="1"/>
  <c r="J14" i="46"/>
  <c r="N14" i="46" s="1"/>
  <c r="J106" i="46"/>
  <c r="N106" i="46" s="1"/>
  <c r="J163" i="46"/>
  <c r="N163" i="46" s="1"/>
  <c r="J42" i="46"/>
  <c r="N42" i="46" s="1"/>
  <c r="J157" i="46"/>
  <c r="N157" i="46" s="1"/>
  <c r="J140" i="46"/>
  <c r="N140" i="46" s="1"/>
  <c r="J185" i="46"/>
  <c r="N185" i="46" s="1"/>
  <c r="J176" i="46"/>
  <c r="N176" i="46" s="1"/>
  <c r="J80" i="46"/>
  <c r="N80" i="46" s="1"/>
  <c r="J177" i="46"/>
  <c r="N177" i="46" s="1"/>
  <c r="J167" i="46"/>
  <c r="N167" i="46" s="1"/>
  <c r="J5" i="46"/>
  <c r="N5" i="46" s="1"/>
  <c r="J153" i="46"/>
  <c r="N153" i="46" s="1"/>
  <c r="J166" i="46"/>
  <c r="N166" i="46" s="1"/>
  <c r="J3" i="46"/>
  <c r="N3" i="46" s="1"/>
  <c r="J56" i="46"/>
  <c r="N56" i="46" s="1"/>
  <c r="J110" i="46"/>
  <c r="N110" i="46" s="1"/>
  <c r="J138" i="46"/>
  <c r="N138" i="46" s="1"/>
  <c r="J150" i="46"/>
  <c r="N150" i="46" s="1"/>
  <c r="J134" i="46"/>
  <c r="N134" i="46" s="1"/>
  <c r="J61" i="46"/>
  <c r="N61" i="46" s="1"/>
  <c r="J86" i="46"/>
  <c r="N86" i="46" s="1"/>
  <c r="J25" i="46"/>
  <c r="N25" i="46" s="1"/>
  <c r="J119" i="46"/>
  <c r="N119" i="46" s="1"/>
  <c r="J32" i="46"/>
  <c r="N32" i="46" s="1"/>
  <c r="J97" i="46"/>
  <c r="N97" i="46" s="1"/>
  <c r="J117" i="46"/>
  <c r="N117" i="46" s="1"/>
  <c r="J7" i="46"/>
  <c r="N7" i="46" s="1"/>
  <c r="J47" i="46"/>
  <c r="N47" i="46" s="1"/>
  <c r="J88" i="46"/>
  <c r="N88" i="46" s="1"/>
  <c r="J147" i="46"/>
  <c r="N147" i="46" s="1"/>
  <c r="J99" i="46"/>
  <c r="N99" i="46" s="1"/>
  <c r="J189" i="46"/>
  <c r="N189" i="46" s="1"/>
  <c r="J55" i="46"/>
  <c r="N55" i="46" s="1"/>
  <c r="J68" i="46"/>
  <c r="N68" i="46" s="1"/>
  <c r="J96" i="46"/>
  <c r="N96" i="46" s="1"/>
  <c r="J155" i="46"/>
  <c r="N155" i="46" s="1"/>
  <c r="J58" i="46"/>
  <c r="N58" i="46" s="1"/>
  <c r="J165" i="46"/>
  <c r="N165" i="46" s="1"/>
  <c r="J143" i="46"/>
  <c r="N143" i="46" s="1"/>
  <c r="J183" i="46"/>
  <c r="N183" i="46" s="1"/>
  <c r="J137" i="46"/>
  <c r="N137" i="46" s="1"/>
  <c r="J12" i="46"/>
  <c r="N12" i="46" s="1"/>
  <c r="J199" i="46"/>
  <c r="N199" i="46" s="1"/>
  <c r="J28" i="46"/>
  <c r="N28" i="46" s="1"/>
  <c r="J182" i="46"/>
  <c r="N182" i="46" s="1"/>
  <c r="J59" i="46"/>
  <c r="N59" i="46" s="1"/>
  <c r="J146" i="46"/>
  <c r="N146" i="46" s="1"/>
  <c r="J72" i="46"/>
  <c r="N72" i="46" s="1"/>
  <c r="J84" i="46"/>
  <c r="N84" i="46" s="1"/>
  <c r="J192" i="46"/>
  <c r="N192" i="46" s="1"/>
  <c r="J111" i="46"/>
  <c r="N111" i="46" s="1"/>
  <c r="J79" i="46"/>
  <c r="N79" i="46" s="1"/>
  <c r="J2" i="46"/>
  <c r="N2" i="46" s="1"/>
  <c r="J184" i="46"/>
  <c r="N184" i="46" s="1"/>
  <c r="J149" i="46"/>
  <c r="N149" i="46" s="1"/>
  <c r="J16" i="46"/>
  <c r="N16" i="46" s="1"/>
  <c r="J46" i="46"/>
  <c r="N46" i="46" s="1"/>
  <c r="J70" i="46"/>
  <c r="N70" i="46" s="1"/>
  <c r="J202" i="46"/>
  <c r="N202" i="46" s="1"/>
  <c r="J144" i="46"/>
  <c r="N144" i="46" s="1"/>
  <c r="J93" i="46"/>
  <c r="N93" i="46" s="1"/>
  <c r="J45" i="46"/>
  <c r="N45" i="46" s="1"/>
  <c r="J190" i="46"/>
  <c r="N190" i="46" s="1"/>
  <c r="J41" i="46"/>
  <c r="N41" i="46" s="1"/>
  <c r="J174" i="46"/>
  <c r="N174" i="46" s="1"/>
  <c r="J89" i="46"/>
  <c r="N89" i="46" s="1"/>
  <c r="J63" i="46"/>
  <c r="N63" i="46" s="1"/>
  <c r="J181" i="46"/>
  <c r="N181" i="46" s="1"/>
  <c r="J38" i="46"/>
  <c r="N38" i="46" s="1"/>
  <c r="J120" i="46"/>
  <c r="N120" i="46" s="1"/>
  <c r="J87" i="46"/>
  <c r="N87" i="46" s="1"/>
  <c r="J114" i="46"/>
  <c r="N114" i="46" s="1"/>
  <c r="J66" i="46"/>
  <c r="N66" i="46" s="1"/>
  <c r="J164" i="46"/>
  <c r="N164" i="46" s="1"/>
  <c r="J83" i="46"/>
  <c r="N83" i="46" s="1"/>
  <c r="J33" i="46"/>
  <c r="N33" i="46" s="1"/>
  <c r="J95" i="46"/>
  <c r="N95" i="46" s="1"/>
  <c r="J122" i="46"/>
  <c r="N122" i="46" s="1"/>
  <c r="J129" i="46"/>
  <c r="N129" i="46" s="1"/>
  <c r="J124" i="46"/>
  <c r="N124" i="46" s="1"/>
  <c r="J36" i="46"/>
  <c r="N36" i="46" s="1"/>
  <c r="J201" i="46"/>
  <c r="N201" i="46" s="1"/>
  <c r="J158" i="46"/>
  <c r="N158" i="46" s="1"/>
  <c r="J18" i="46"/>
  <c r="N18" i="46" s="1"/>
  <c r="J78" i="46"/>
  <c r="N78" i="46" s="1"/>
  <c r="J23" i="46"/>
  <c r="N23" i="46" s="1"/>
  <c r="J81" i="46"/>
  <c r="N81" i="46" s="1"/>
  <c r="J109" i="46"/>
  <c r="N109" i="46" s="1"/>
  <c r="J76" i="46"/>
  <c r="N76" i="46" s="1"/>
  <c r="J49" i="46"/>
  <c r="N49" i="46" s="1"/>
  <c r="J191" i="46"/>
  <c r="N191" i="46" s="1"/>
  <c r="J156" i="46"/>
  <c r="N156" i="46" s="1"/>
  <c r="J169" i="46"/>
  <c r="N169" i="46" s="1"/>
  <c r="J178" i="46"/>
  <c r="N178" i="46" s="1"/>
  <c r="J139" i="46"/>
  <c r="N139" i="46" s="1"/>
  <c r="J175" i="46"/>
  <c r="N175" i="46" s="1"/>
  <c r="J186" i="46"/>
  <c r="N186" i="46" s="1"/>
  <c r="J115" i="46"/>
  <c r="N115" i="46" s="1"/>
  <c r="J10" i="46"/>
  <c r="N10" i="46" s="1"/>
  <c r="J69" i="46"/>
  <c r="N69" i="46" s="1"/>
  <c r="J17" i="46"/>
  <c r="N17" i="46" s="1"/>
  <c r="J82" i="46"/>
  <c r="N82" i="46" s="1"/>
  <c r="J173" i="46"/>
  <c r="N173" i="46" s="1"/>
  <c r="J35" i="46"/>
  <c r="N35" i="46" s="1"/>
  <c r="J107" i="46"/>
  <c r="N107" i="46" s="1"/>
  <c r="J37" i="46"/>
  <c r="N37" i="46" s="1"/>
  <c r="J22" i="46"/>
  <c r="N22" i="46" s="1"/>
  <c r="J71" i="46"/>
  <c r="N71" i="46" s="1"/>
  <c r="J30" i="46"/>
  <c r="N30" i="46" s="1"/>
  <c r="J34" i="46"/>
  <c r="N34" i="46" s="1"/>
  <c r="J65" i="46"/>
  <c r="N65" i="46" s="1"/>
  <c r="J85" i="46"/>
  <c r="N85" i="46" s="1"/>
  <c r="J195" i="46"/>
  <c r="N195" i="46" s="1"/>
  <c r="J136" i="46"/>
  <c r="N136" i="46" s="1"/>
  <c r="J43" i="46"/>
  <c r="N43" i="46" s="1"/>
  <c r="J148" i="46"/>
  <c r="N148" i="46" s="1"/>
  <c r="J127" i="46"/>
  <c r="N127" i="46" s="1"/>
  <c r="J159" i="46"/>
  <c r="N159" i="46" s="1"/>
  <c r="J193" i="46"/>
  <c r="N193" i="46" s="1"/>
  <c r="K162" i="33"/>
  <c r="O162" i="33" s="1"/>
  <c r="K29" i="33"/>
  <c r="O29" i="33" s="1"/>
  <c r="K120" i="33"/>
  <c r="O120" i="33" s="1"/>
  <c r="K157" i="33"/>
  <c r="O157" i="33" s="1"/>
  <c r="M55" i="33"/>
  <c r="P55" i="33" s="1"/>
  <c r="K173" i="33"/>
  <c r="O173" i="33" s="1"/>
  <c r="K187" i="33"/>
  <c r="O187" i="33" s="1"/>
  <c r="K15" i="33"/>
  <c r="O15" i="33" s="1"/>
  <c r="K203" i="33"/>
  <c r="O203" i="33" s="1"/>
  <c r="K188" i="33"/>
  <c r="O188" i="33" s="1"/>
  <c r="M65" i="33"/>
  <c r="P65" i="33" s="1"/>
  <c r="K22" i="33"/>
  <c r="O22" i="33" s="1"/>
  <c r="M185" i="33"/>
  <c r="P185" i="33" s="1"/>
  <c r="M154" i="33"/>
  <c r="P154" i="33" s="1"/>
  <c r="M148" i="33"/>
  <c r="P148" i="33" s="1"/>
  <c r="M200" i="33"/>
  <c r="P200" i="33" s="1"/>
  <c r="M161" i="33"/>
  <c r="P161" i="33" s="1"/>
  <c r="M166" i="33"/>
  <c r="P166" i="33" s="1"/>
  <c r="M126" i="33"/>
  <c r="P126" i="33" s="1"/>
  <c r="M91" i="33"/>
  <c r="P91" i="33" s="1"/>
  <c r="M153" i="33"/>
  <c r="P153" i="33" s="1"/>
  <c r="M18" i="33"/>
  <c r="P18" i="33" s="1"/>
  <c r="M174" i="33"/>
  <c r="P174" i="33" s="1"/>
  <c r="K174" i="33"/>
  <c r="O174" i="33" s="1"/>
  <c r="I11" i="46"/>
  <c r="K168" i="33"/>
  <c r="O168" i="33" s="1"/>
  <c r="M151" i="33"/>
  <c r="P151" i="33" s="1"/>
  <c r="K119" i="33"/>
  <c r="O119" i="33" s="1"/>
  <c r="K86" i="33"/>
  <c r="O86" i="33" s="1"/>
  <c r="K135" i="33"/>
  <c r="O135" i="33" s="1"/>
  <c r="K101" i="33"/>
  <c r="O101" i="33" s="1"/>
  <c r="K23" i="33"/>
  <c r="O23" i="33" s="1"/>
  <c r="K128" i="33"/>
  <c r="O128" i="33" s="1"/>
  <c r="K125" i="33"/>
  <c r="O125" i="33" s="1"/>
  <c r="K147" i="33"/>
  <c r="O147" i="33" s="1"/>
  <c r="K141" i="33"/>
  <c r="O141" i="33" s="1"/>
  <c r="K126" i="33"/>
  <c r="O126" i="33" s="1"/>
  <c r="K74" i="33"/>
  <c r="O74" i="33" s="1"/>
  <c r="K204" i="33"/>
  <c r="O204" i="33" s="1"/>
  <c r="M101" i="33"/>
  <c r="P101" i="33" s="1"/>
  <c r="M195" i="33"/>
  <c r="P195" i="33" s="1"/>
  <c r="M110" i="33"/>
  <c r="P110" i="33" s="1"/>
  <c r="M182" i="33"/>
  <c r="P182" i="33" s="1"/>
  <c r="M179" i="33"/>
  <c r="P179" i="33" s="1"/>
  <c r="M83" i="33"/>
  <c r="P83" i="33" s="1"/>
  <c r="M82" i="33"/>
  <c r="P82" i="33" s="1"/>
  <c r="M99" i="33"/>
  <c r="P99" i="33" s="1"/>
  <c r="M180" i="33"/>
  <c r="P180" i="33" s="1"/>
  <c r="M31" i="33"/>
  <c r="P31" i="33" s="1"/>
  <c r="K57" i="33"/>
  <c r="O57" i="33" s="1"/>
  <c r="M98" i="33"/>
  <c r="P98" i="33" s="1"/>
  <c r="K24" i="33"/>
  <c r="O24" i="33" s="1"/>
  <c r="K82" i="33"/>
  <c r="O82" i="33" s="1"/>
  <c r="K105" i="33"/>
  <c r="O105" i="33" s="1"/>
  <c r="K179" i="33"/>
  <c r="O179" i="33" s="1"/>
  <c r="K169" i="33"/>
  <c r="O169" i="33" s="1"/>
  <c r="K69" i="33"/>
  <c r="O69" i="33" s="1"/>
  <c r="K182" i="33"/>
  <c r="O182" i="33" s="1"/>
  <c r="K85" i="33"/>
  <c r="O85" i="33" s="1"/>
  <c r="K46" i="33"/>
  <c r="O46" i="33" s="1"/>
  <c r="K20" i="33"/>
  <c r="O20" i="33" s="1"/>
  <c r="K142" i="33"/>
  <c r="O142" i="33" s="1"/>
  <c r="M188" i="33"/>
  <c r="P188" i="33" s="1"/>
  <c r="M30" i="33"/>
  <c r="P30" i="33" s="1"/>
  <c r="M134" i="33"/>
  <c r="P134" i="33" s="1"/>
  <c r="M85" i="33"/>
  <c r="P85" i="33" s="1"/>
  <c r="M128" i="33"/>
  <c r="P128" i="33" s="1"/>
  <c r="M127" i="33"/>
  <c r="P127" i="33" s="1"/>
  <c r="M108" i="33"/>
  <c r="P108" i="33" s="1"/>
  <c r="K158" i="33"/>
  <c r="O158" i="33" s="1"/>
  <c r="I8" i="46"/>
  <c r="K100" i="33"/>
  <c r="O100" i="33" s="1"/>
  <c r="K121" i="33"/>
  <c r="O121" i="33" s="1"/>
  <c r="K134" i="33"/>
  <c r="O134" i="33" s="1"/>
  <c r="K26" i="33"/>
  <c r="O26" i="33" s="1"/>
  <c r="K202" i="33"/>
  <c r="O202" i="33" s="1"/>
  <c r="K7" i="33"/>
  <c r="O7" i="33" s="1"/>
  <c r="K117" i="33"/>
  <c r="O117" i="33" s="1"/>
  <c r="K21" i="33"/>
  <c r="O21" i="33" s="1"/>
  <c r="K72" i="33"/>
  <c r="O72" i="33" s="1"/>
  <c r="K102" i="33"/>
  <c r="O102" i="33" s="1"/>
  <c r="K88" i="33"/>
  <c r="O88" i="33" s="1"/>
  <c r="M2" i="33"/>
  <c r="P2" i="33" s="1"/>
  <c r="K148" i="33"/>
  <c r="O148" i="33" s="1"/>
  <c r="K62" i="33"/>
  <c r="O62" i="33" s="1"/>
  <c r="M67" i="33"/>
  <c r="P67" i="33" s="1"/>
  <c r="M76" i="33"/>
  <c r="P76" i="33" s="1"/>
  <c r="M42" i="33"/>
  <c r="P42" i="33" s="1"/>
  <c r="M118" i="33"/>
  <c r="P118" i="33" s="1"/>
  <c r="M143" i="33"/>
  <c r="P143" i="33" s="1"/>
  <c r="M3" i="33"/>
  <c r="P3" i="33" s="1"/>
  <c r="M181" i="33"/>
  <c r="P181" i="33" s="1"/>
  <c r="M27" i="33"/>
  <c r="P27" i="33" s="1"/>
  <c r="M63" i="33"/>
  <c r="P63" i="33" s="1"/>
  <c r="M136" i="33"/>
  <c r="P136" i="33" s="1"/>
  <c r="M114" i="33"/>
  <c r="P114" i="33" s="1"/>
  <c r="M106" i="33"/>
  <c r="P106" i="33" s="1"/>
  <c r="I20" i="46"/>
  <c r="I19" i="46"/>
  <c r="I12" i="46"/>
  <c r="I9" i="46"/>
  <c r="L102" i="33"/>
  <c r="M102" i="33" s="1"/>
  <c r="P102" i="33" s="1"/>
  <c r="L146" i="33"/>
  <c r="M146" i="33" s="1"/>
  <c r="P146" i="33" s="1"/>
  <c r="L135" i="33"/>
  <c r="M135" i="33" s="1"/>
  <c r="P135" i="33" s="1"/>
  <c r="L51" i="33"/>
  <c r="M51" i="33" s="1"/>
  <c r="P51" i="33" s="1"/>
  <c r="L133" i="33"/>
  <c r="M133" i="33" s="1"/>
  <c r="P133" i="33" s="1"/>
  <c r="L95" i="33"/>
  <c r="M95" i="33" s="1"/>
  <c r="P95" i="33" s="1"/>
  <c r="L19" i="33"/>
  <c r="M19" i="33" s="1"/>
  <c r="P19" i="33" s="1"/>
  <c r="L125" i="33"/>
  <c r="M125" i="33" s="1"/>
  <c r="P125" i="33" s="1"/>
  <c r="L100" i="33"/>
  <c r="M100" i="33" s="1"/>
  <c r="P100" i="33" s="1"/>
  <c r="L7" i="33"/>
  <c r="M7" i="33" s="1"/>
  <c r="P7" i="33" s="1"/>
  <c r="L6" i="33"/>
  <c r="M6" i="33" s="1"/>
  <c r="P6" i="33" s="1"/>
  <c r="L44" i="33"/>
  <c r="M44" i="33" s="1"/>
  <c r="P44" i="33" s="1"/>
  <c r="L26" i="33"/>
  <c r="M26" i="33" s="1"/>
  <c r="P26" i="33" s="1"/>
  <c r="L73" i="33"/>
  <c r="M73" i="33" s="1"/>
  <c r="P73" i="33" s="1"/>
  <c r="L54" i="33"/>
  <c r="M54" i="33" s="1"/>
  <c r="P54" i="33" s="1"/>
  <c r="L119" i="33"/>
  <c r="M119" i="33" s="1"/>
  <c r="P119" i="33" s="1"/>
  <c r="L116" i="33"/>
  <c r="M116" i="33" s="1"/>
  <c r="P116" i="33" s="1"/>
  <c r="L196" i="33"/>
  <c r="M196" i="33" s="1"/>
  <c r="P196" i="33" s="1"/>
  <c r="L25" i="33"/>
  <c r="M25" i="33" s="1"/>
  <c r="P25" i="33" s="1"/>
  <c r="L68" i="33"/>
  <c r="M68" i="33" s="1"/>
  <c r="P68" i="33" s="1"/>
  <c r="L59" i="33"/>
  <c r="M59" i="33" s="1"/>
  <c r="P59" i="33" s="1"/>
  <c r="L17" i="33"/>
  <c r="M17" i="33" s="1"/>
  <c r="P17" i="33" s="1"/>
  <c r="L122" i="33"/>
  <c r="M122" i="33" s="1"/>
  <c r="P122" i="33" s="1"/>
  <c r="L158" i="33"/>
  <c r="M158" i="33" s="1"/>
  <c r="P158" i="33" s="1"/>
  <c r="L78" i="33"/>
  <c r="M78" i="33" s="1"/>
  <c r="P78" i="33" s="1"/>
  <c r="J182" i="40"/>
  <c r="N182" i="40" s="1"/>
  <c r="J118" i="40"/>
  <c r="N118" i="40" s="1"/>
  <c r="J151" i="40"/>
  <c r="N151" i="40" s="1"/>
  <c r="J184" i="40"/>
  <c r="N184" i="40" s="1"/>
  <c r="J120" i="40"/>
  <c r="N120" i="40" s="1"/>
  <c r="J153" i="40"/>
  <c r="N153" i="40" s="1"/>
  <c r="J186" i="40"/>
  <c r="N186" i="40" s="1"/>
  <c r="J122" i="40"/>
  <c r="N122" i="40" s="1"/>
  <c r="J155" i="40"/>
  <c r="N155" i="40" s="1"/>
  <c r="J181" i="40"/>
  <c r="N181" i="40" s="1"/>
  <c r="J117" i="40"/>
  <c r="N117" i="40" s="1"/>
  <c r="J69" i="40"/>
  <c r="N69" i="40" s="1"/>
  <c r="J71" i="40"/>
  <c r="N71" i="40" s="1"/>
  <c r="J89" i="40"/>
  <c r="N89" i="40" s="1"/>
  <c r="J116" i="40"/>
  <c r="N116" i="40" s="1"/>
  <c r="J50" i="40"/>
  <c r="N50" i="40" s="1"/>
  <c r="J68" i="40"/>
  <c r="N68" i="40" s="1"/>
  <c r="J25" i="40"/>
  <c r="N25" i="40" s="1"/>
  <c r="J96" i="40"/>
  <c r="N96" i="40" s="1"/>
  <c r="J56" i="40"/>
  <c r="N56" i="40" s="1"/>
  <c r="J83" i="40"/>
  <c r="N83" i="40" s="1"/>
  <c r="J15" i="40"/>
  <c r="N15" i="40" s="1"/>
  <c r="J8" i="40"/>
  <c r="N8" i="40" s="1"/>
  <c r="J94" i="40"/>
  <c r="N94" i="40" s="1"/>
  <c r="J51" i="40"/>
  <c r="N51" i="40" s="1"/>
  <c r="J174" i="40"/>
  <c r="N174" i="40" s="1"/>
  <c r="J110" i="40"/>
  <c r="N110" i="40" s="1"/>
  <c r="J143" i="40"/>
  <c r="N143" i="40" s="1"/>
  <c r="J176" i="40"/>
  <c r="N176" i="40" s="1"/>
  <c r="J112" i="40"/>
  <c r="N112" i="40" s="1"/>
  <c r="J145" i="40"/>
  <c r="N145" i="40" s="1"/>
  <c r="J178" i="40"/>
  <c r="N178" i="40" s="1"/>
  <c r="J114" i="40"/>
  <c r="N114" i="40" s="1"/>
  <c r="J147" i="40"/>
  <c r="N147" i="40" s="1"/>
  <c r="J173" i="40"/>
  <c r="N173" i="40" s="1"/>
  <c r="J109" i="40"/>
  <c r="N109" i="40" s="1"/>
  <c r="J61" i="40"/>
  <c r="N61" i="40" s="1"/>
  <c r="J63" i="40"/>
  <c r="N63" i="40" s="1"/>
  <c r="J81" i="40"/>
  <c r="N81" i="40" s="1"/>
  <c r="J107" i="40"/>
  <c r="N107" i="40" s="1"/>
  <c r="J196" i="40"/>
  <c r="N196" i="40" s="1"/>
  <c r="J60" i="40"/>
  <c r="N60" i="40" s="1"/>
  <c r="J18" i="40"/>
  <c r="N18" i="40" s="1"/>
  <c r="J42" i="40"/>
  <c r="N42" i="40" s="1"/>
  <c r="J48" i="40"/>
  <c r="N48" i="40" s="1"/>
  <c r="J80" i="40"/>
  <c r="N80" i="40" s="1"/>
  <c r="J7" i="40"/>
  <c r="N7" i="40" s="1"/>
  <c r="J70" i="40"/>
  <c r="N70" i="40" s="1"/>
  <c r="J91" i="40"/>
  <c r="N91" i="40" s="1"/>
  <c r="J36" i="40"/>
  <c r="N36" i="40" s="1"/>
  <c r="J166" i="40"/>
  <c r="N166" i="40" s="1"/>
  <c r="J199" i="40"/>
  <c r="N199" i="40" s="1"/>
  <c r="J135" i="40"/>
  <c r="N135" i="40" s="1"/>
  <c r="J168" i="40"/>
  <c r="N168" i="40" s="1"/>
  <c r="J201" i="40"/>
  <c r="N201" i="40" s="1"/>
  <c r="J137" i="40"/>
  <c r="N137" i="40" s="1"/>
  <c r="J170" i="40"/>
  <c r="N170" i="40" s="1"/>
  <c r="J203" i="40"/>
  <c r="N203" i="40" s="1"/>
  <c r="J139" i="40"/>
  <c r="N139" i="40" s="1"/>
  <c r="J165" i="40"/>
  <c r="N165" i="40" s="1"/>
  <c r="J204" i="40"/>
  <c r="N204" i="40" s="1"/>
  <c r="J53" i="40"/>
  <c r="N53" i="40" s="1"/>
  <c r="J55" i="40"/>
  <c r="N55" i="40" s="1"/>
  <c r="J73" i="40"/>
  <c r="N73" i="40" s="1"/>
  <c r="J98" i="40"/>
  <c r="N98" i="40" s="1"/>
  <c r="J132" i="40"/>
  <c r="N132" i="40" s="1"/>
  <c r="J52" i="40"/>
  <c r="N52" i="40" s="1"/>
  <c r="J12" i="40"/>
  <c r="N12" i="40" s="1"/>
  <c r="J38" i="40"/>
  <c r="N38" i="40" s="1"/>
  <c r="J27" i="40"/>
  <c r="N27" i="40" s="1"/>
  <c r="J41" i="40"/>
  <c r="N41" i="40" s="1"/>
  <c r="J105" i="40"/>
  <c r="N105" i="40" s="1"/>
  <c r="J67" i="40"/>
  <c r="N67" i="40" s="1"/>
  <c r="J88" i="40"/>
  <c r="N88" i="40" s="1"/>
  <c r="J47" i="40"/>
  <c r="N47" i="40" s="1"/>
  <c r="J49" i="40"/>
  <c r="N49" i="40" s="1"/>
  <c r="J198" i="40"/>
  <c r="N198" i="40" s="1"/>
  <c r="J136" i="40"/>
  <c r="N136" i="40" s="1"/>
  <c r="J197" i="40"/>
  <c r="N197" i="40" s="1"/>
  <c r="J40" i="40"/>
  <c r="N40" i="40" s="1"/>
  <c r="J10" i="40"/>
  <c r="N10" i="40" s="1"/>
  <c r="J158" i="40"/>
  <c r="N158" i="40" s="1"/>
  <c r="J191" i="40"/>
  <c r="N191" i="40" s="1"/>
  <c r="J127" i="40"/>
  <c r="N127" i="40" s="1"/>
  <c r="J160" i="40"/>
  <c r="N160" i="40" s="1"/>
  <c r="J193" i="40"/>
  <c r="N193" i="40" s="1"/>
  <c r="J129" i="40"/>
  <c r="N129" i="40" s="1"/>
  <c r="J162" i="40"/>
  <c r="N162" i="40" s="1"/>
  <c r="J195" i="40"/>
  <c r="N195" i="40" s="1"/>
  <c r="J131" i="40"/>
  <c r="N131" i="40" s="1"/>
  <c r="J157" i="40"/>
  <c r="N157" i="40" s="1"/>
  <c r="J140" i="40"/>
  <c r="N140" i="40" s="1"/>
  <c r="J156" i="40"/>
  <c r="N156" i="40" s="1"/>
  <c r="J45" i="40"/>
  <c r="N45" i="40" s="1"/>
  <c r="J65" i="40"/>
  <c r="N65" i="40" s="1"/>
  <c r="J90" i="40"/>
  <c r="N90" i="40" s="1"/>
  <c r="J108" i="40"/>
  <c r="N108" i="40" s="1"/>
  <c r="J35" i="40"/>
  <c r="N35" i="40" s="1"/>
  <c r="J4" i="40"/>
  <c r="N4" i="40" s="1"/>
  <c r="J19" i="40"/>
  <c r="N19" i="40" s="1"/>
  <c r="J26" i="40"/>
  <c r="N26" i="40" s="1"/>
  <c r="J34" i="40"/>
  <c r="N34" i="40" s="1"/>
  <c r="J46" i="40"/>
  <c r="N46" i="40" s="1"/>
  <c r="J64" i="40"/>
  <c r="N64" i="40" s="1"/>
  <c r="J33" i="40"/>
  <c r="N33" i="40" s="1"/>
  <c r="J39" i="40"/>
  <c r="J142" i="40"/>
  <c r="N142" i="40" s="1"/>
  <c r="J111" i="40"/>
  <c r="N111" i="40" s="1"/>
  <c r="J177" i="40"/>
  <c r="N177" i="40" s="1"/>
  <c r="J146" i="40"/>
  <c r="N146" i="40" s="1"/>
  <c r="J179" i="40"/>
  <c r="N179" i="40" s="1"/>
  <c r="J141" i="40"/>
  <c r="N141" i="40" s="1"/>
  <c r="J172" i="40"/>
  <c r="N172" i="40" s="1"/>
  <c r="J92" i="40"/>
  <c r="N92" i="40" s="1"/>
  <c r="J14" i="40"/>
  <c r="N14" i="40" s="1"/>
  <c r="J17" i="40"/>
  <c r="N17" i="40" s="1"/>
  <c r="J134" i="40"/>
  <c r="N134" i="40" s="1"/>
  <c r="J169" i="40"/>
  <c r="N169" i="40" s="1"/>
  <c r="J202" i="40"/>
  <c r="N202" i="40" s="1"/>
  <c r="J133" i="40"/>
  <c r="N133" i="40" s="1"/>
  <c r="J85" i="40"/>
  <c r="N85" i="40" s="1"/>
  <c r="J87" i="40"/>
  <c r="N87" i="40" s="1"/>
  <c r="J106" i="40"/>
  <c r="N106" i="40" s="1"/>
  <c r="J72" i="40"/>
  <c r="N72" i="40" s="1"/>
  <c r="J102" i="40"/>
  <c r="N102" i="40" s="1"/>
  <c r="J62" i="40"/>
  <c r="N62" i="40" s="1"/>
  <c r="J6" i="40"/>
  <c r="N6" i="40" s="1"/>
  <c r="J28" i="40"/>
  <c r="N28" i="40" s="1"/>
  <c r="J31" i="40"/>
  <c r="N31" i="40" s="1"/>
  <c r="J150" i="40"/>
  <c r="N150" i="40" s="1"/>
  <c r="J183" i="40"/>
  <c r="N183" i="40" s="1"/>
  <c r="J119" i="40"/>
  <c r="N119" i="40" s="1"/>
  <c r="J152" i="40"/>
  <c r="N152" i="40" s="1"/>
  <c r="J185" i="40"/>
  <c r="N185" i="40" s="1"/>
  <c r="J121" i="40"/>
  <c r="N121" i="40" s="1"/>
  <c r="J154" i="40"/>
  <c r="N154" i="40" s="1"/>
  <c r="J187" i="40"/>
  <c r="N187" i="40" s="1"/>
  <c r="J123" i="40"/>
  <c r="N123" i="40" s="1"/>
  <c r="J149" i="40"/>
  <c r="N149" i="40" s="1"/>
  <c r="J101" i="40"/>
  <c r="N101" i="40" s="1"/>
  <c r="J104" i="40"/>
  <c r="N104" i="40" s="1"/>
  <c r="J44" i="40"/>
  <c r="N44" i="40" s="1"/>
  <c r="J57" i="40"/>
  <c r="N57" i="40" s="1"/>
  <c r="J82" i="40"/>
  <c r="N82" i="40" s="1"/>
  <c r="J100" i="40"/>
  <c r="N100" i="40" s="1"/>
  <c r="J78" i="40"/>
  <c r="N78" i="40" s="1"/>
  <c r="J188" i="40"/>
  <c r="N188" i="40" s="1"/>
  <c r="J13" i="40"/>
  <c r="N13" i="40" s="1"/>
  <c r="J20" i="40"/>
  <c r="N20" i="40" s="1"/>
  <c r="J30" i="40"/>
  <c r="N30" i="40" s="1"/>
  <c r="J37" i="40"/>
  <c r="N37" i="40" s="1"/>
  <c r="J16" i="40"/>
  <c r="N16" i="40" s="1"/>
  <c r="J23" i="40"/>
  <c r="N23" i="40" s="1"/>
  <c r="J11" i="40"/>
  <c r="N11" i="40" s="1"/>
  <c r="J93" i="40"/>
  <c r="N93" i="40" s="1"/>
  <c r="J75" i="40"/>
  <c r="N75" i="40" s="1"/>
  <c r="J5" i="40"/>
  <c r="N5" i="40" s="1"/>
  <c r="J32" i="40"/>
  <c r="N32" i="40" s="1"/>
  <c r="J54" i="40"/>
  <c r="N54" i="40" s="1"/>
  <c r="J200" i="40"/>
  <c r="N200" i="40" s="1"/>
  <c r="J138" i="40"/>
  <c r="N138" i="40" s="1"/>
  <c r="J84" i="40"/>
  <c r="N84" i="40" s="1"/>
  <c r="J24" i="40"/>
  <c r="N24" i="40" s="1"/>
  <c r="J190" i="40"/>
  <c r="N190" i="40" s="1"/>
  <c r="J126" i="40"/>
  <c r="N126" i="40" s="1"/>
  <c r="J159" i="40"/>
  <c r="N159" i="40" s="1"/>
  <c r="J192" i="40"/>
  <c r="N192" i="40" s="1"/>
  <c r="J128" i="40"/>
  <c r="N128" i="40" s="1"/>
  <c r="J161" i="40"/>
  <c r="N161" i="40" s="1"/>
  <c r="J194" i="40"/>
  <c r="N194" i="40" s="1"/>
  <c r="J130" i="40"/>
  <c r="N130" i="40" s="1"/>
  <c r="J163" i="40"/>
  <c r="N163" i="40" s="1"/>
  <c r="J189" i="40"/>
  <c r="N189" i="40" s="1"/>
  <c r="J125" i="40"/>
  <c r="N125" i="40" s="1"/>
  <c r="J77" i="40"/>
  <c r="N77" i="40" s="1"/>
  <c r="J79" i="40"/>
  <c r="N79" i="40" s="1"/>
  <c r="J97" i="40"/>
  <c r="N97" i="40" s="1"/>
  <c r="J180" i="40"/>
  <c r="N180" i="40" s="1"/>
  <c r="J58" i="40"/>
  <c r="N58" i="40" s="1"/>
  <c r="J76" i="40"/>
  <c r="N76" i="40" s="1"/>
  <c r="J43" i="40"/>
  <c r="N43" i="40" s="1"/>
  <c r="J99" i="40"/>
  <c r="N99" i="40" s="1"/>
  <c r="J59" i="40"/>
  <c r="N59" i="40" s="1"/>
  <c r="J86" i="40"/>
  <c r="N86" i="40" s="1"/>
  <c r="J21" i="40"/>
  <c r="N21" i="40" s="1"/>
  <c r="J22" i="40"/>
  <c r="N22" i="40" s="1"/>
  <c r="J124" i="40"/>
  <c r="N124" i="40" s="1"/>
  <c r="J2" i="40"/>
  <c r="N2" i="40" s="1"/>
  <c r="J3" i="40"/>
  <c r="N3" i="40" s="1"/>
  <c r="J175" i="40"/>
  <c r="N175" i="40" s="1"/>
  <c r="J144" i="40"/>
  <c r="N144" i="40" s="1"/>
  <c r="J113" i="40"/>
  <c r="N113" i="40" s="1"/>
  <c r="J115" i="40"/>
  <c r="N115" i="40" s="1"/>
  <c r="J95" i="40"/>
  <c r="N95" i="40" s="1"/>
  <c r="J74" i="40"/>
  <c r="N74" i="40" s="1"/>
  <c r="J164" i="40"/>
  <c r="N164" i="40" s="1"/>
  <c r="J29" i="40"/>
  <c r="N29" i="40" s="1"/>
  <c r="J9" i="40"/>
  <c r="N9" i="40" s="1"/>
  <c r="J167" i="40"/>
  <c r="N167" i="40" s="1"/>
  <c r="J171" i="40"/>
  <c r="N171" i="40" s="1"/>
  <c r="J66" i="40"/>
  <c r="N66" i="40" s="1"/>
  <c r="J148" i="40"/>
  <c r="N148" i="40" s="1"/>
  <c r="I11" i="40"/>
  <c r="I5" i="39"/>
  <c r="I8" i="39" s="1"/>
  <c r="L141" i="33"/>
  <c r="M141" i="33" s="1"/>
  <c r="P141" i="33" s="1"/>
  <c r="L167" i="33"/>
  <c r="M167" i="33" s="1"/>
  <c r="P167" i="33" s="1"/>
  <c r="L199" i="33"/>
  <c r="M199" i="33" s="1"/>
  <c r="P199" i="33" s="1"/>
  <c r="L39" i="33"/>
  <c r="M39" i="33" s="1"/>
  <c r="P39" i="33" s="1"/>
  <c r="L111" i="33"/>
  <c r="M111" i="33" s="1"/>
  <c r="P111" i="33" s="1"/>
  <c r="L156" i="33"/>
  <c r="M156" i="33" s="1"/>
  <c r="P156" i="33" s="1"/>
  <c r="L160" i="33"/>
  <c r="M160" i="33" s="1"/>
  <c r="P160" i="33" s="1"/>
  <c r="L170" i="33"/>
  <c r="M170" i="33" s="1"/>
  <c r="P170" i="33" s="1"/>
  <c r="L162" i="33"/>
  <c r="M162" i="33" s="1"/>
  <c r="P162" i="33" s="1"/>
  <c r="L9" i="33"/>
  <c r="M9" i="33" s="1"/>
  <c r="P9" i="33" s="1"/>
  <c r="L34" i="33"/>
  <c r="M34" i="33" s="1"/>
  <c r="P34" i="33" s="1"/>
  <c r="L75" i="33"/>
  <c r="M75" i="33" s="1"/>
  <c r="P75" i="33" s="1"/>
  <c r="L53" i="33"/>
  <c r="M53" i="33" s="1"/>
  <c r="P53" i="33" s="1"/>
  <c r="L60" i="33"/>
  <c r="M60" i="33" s="1"/>
  <c r="P60" i="33" s="1"/>
  <c r="L109" i="33"/>
  <c r="M109" i="33" s="1"/>
  <c r="P109" i="33" s="1"/>
  <c r="L11" i="33"/>
  <c r="M11" i="33" s="1"/>
  <c r="P11" i="33" s="1"/>
  <c r="L190" i="33"/>
  <c r="M190" i="33" s="1"/>
  <c r="P190" i="33" s="1"/>
  <c r="L14" i="33"/>
  <c r="M14" i="33" s="1"/>
  <c r="P14" i="33" s="1"/>
  <c r="L20" i="33"/>
  <c r="M20" i="33" s="1"/>
  <c r="P20" i="33" s="1"/>
  <c r="L50" i="33"/>
  <c r="M50" i="33" s="1"/>
  <c r="P50" i="33" s="1"/>
  <c r="L49" i="33"/>
  <c r="M49" i="33" s="1"/>
  <c r="P49" i="33" s="1"/>
  <c r="L97" i="33"/>
  <c r="M97" i="33" s="1"/>
  <c r="P97" i="33" s="1"/>
  <c r="L129" i="33"/>
  <c r="M129" i="33" s="1"/>
  <c r="P129" i="33" s="1"/>
  <c r="L177" i="33"/>
  <c r="M177" i="33" s="1"/>
  <c r="P177" i="33" s="1"/>
  <c r="L36" i="33"/>
  <c r="M36" i="33" s="1"/>
  <c r="P36" i="33" s="1"/>
  <c r="I7" i="39"/>
  <c r="I22" i="33"/>
  <c r="I32" i="33" s="1"/>
  <c r="L23" i="33"/>
  <c r="M23" i="33" s="1"/>
  <c r="P23" i="33" s="1"/>
  <c r="L41" i="33"/>
  <c r="M41" i="33" s="1"/>
  <c r="P41" i="33" s="1"/>
  <c r="L13" i="33"/>
  <c r="M13" i="33" s="1"/>
  <c r="P13" i="33" s="1"/>
  <c r="L8" i="33"/>
  <c r="M8" i="33" s="1"/>
  <c r="P8" i="33" s="1"/>
  <c r="L176" i="33"/>
  <c r="M176" i="33" s="1"/>
  <c r="P176" i="33" s="1"/>
  <c r="L197" i="33"/>
  <c r="M197" i="33" s="1"/>
  <c r="P197" i="33" s="1"/>
  <c r="L123" i="33"/>
  <c r="M123" i="33" s="1"/>
  <c r="P123" i="33" s="1"/>
  <c r="L175" i="33"/>
  <c r="M175" i="33" s="1"/>
  <c r="P175" i="33" s="1"/>
  <c r="L4" i="33"/>
  <c r="M4" i="33" s="1"/>
  <c r="P4" i="33" s="1"/>
  <c r="L131" i="33"/>
  <c r="M131" i="33" s="1"/>
  <c r="P131" i="33" s="1"/>
  <c r="L5" i="33"/>
  <c r="M5" i="33" s="1"/>
  <c r="P5" i="33" s="1"/>
  <c r="L69" i="33"/>
  <c r="M69" i="33" s="1"/>
  <c r="P69" i="33" s="1"/>
  <c r="L40" i="33"/>
  <c r="M40" i="33" s="1"/>
  <c r="P40" i="33" s="1"/>
  <c r="L35" i="33"/>
  <c r="M35" i="33" s="1"/>
  <c r="P35" i="33" s="1"/>
  <c r="L72" i="33"/>
  <c r="M72" i="33" s="1"/>
  <c r="P72" i="33" s="1"/>
  <c r="L45" i="33"/>
  <c r="M45" i="33" s="1"/>
  <c r="P45" i="33" s="1"/>
  <c r="L194" i="33"/>
  <c r="M194" i="33" s="1"/>
  <c r="P194" i="33" s="1"/>
  <c r="L147" i="33"/>
  <c r="M147" i="33" s="1"/>
  <c r="P147" i="33" s="1"/>
  <c r="L104" i="33"/>
  <c r="M104" i="33" s="1"/>
  <c r="P104" i="33" s="1"/>
  <c r="L105" i="33"/>
  <c r="M105" i="33" s="1"/>
  <c r="P105" i="33" s="1"/>
  <c r="L138" i="33"/>
  <c r="M138" i="33" s="1"/>
  <c r="P138" i="33" s="1"/>
  <c r="L150" i="33"/>
  <c r="M150" i="33" s="1"/>
  <c r="P150" i="33" s="1"/>
  <c r="L187" i="33"/>
  <c r="M187" i="33" s="1"/>
  <c r="P187" i="33" s="1"/>
  <c r="L168" i="33"/>
  <c r="M168" i="33" s="1"/>
  <c r="P168" i="33" s="1"/>
  <c r="L29" i="33"/>
  <c r="M29" i="33" s="1"/>
  <c r="P29" i="33" s="1"/>
  <c r="I19" i="40"/>
  <c r="I20" i="40"/>
  <c r="I12" i="40"/>
  <c r="I9" i="40"/>
  <c r="I21" i="33"/>
  <c r="K37" i="33"/>
  <c r="O37" i="33" s="1"/>
  <c r="K59" i="33"/>
  <c r="O59" i="33" s="1"/>
  <c r="L94" i="33"/>
  <c r="M94" i="33" s="1"/>
  <c r="P94" i="33" s="1"/>
  <c r="L112" i="33"/>
  <c r="M112" i="33" s="1"/>
  <c r="P112" i="33" s="1"/>
  <c r="L152" i="33"/>
  <c r="M152" i="33" s="1"/>
  <c r="P152" i="33" s="1"/>
  <c r="L107" i="33"/>
  <c r="M107" i="33" s="1"/>
  <c r="P107" i="33" s="1"/>
  <c r="L81" i="33"/>
  <c r="M81" i="33" s="1"/>
  <c r="P81" i="33" s="1"/>
  <c r="L80" i="33"/>
  <c r="M80" i="33" s="1"/>
  <c r="P80" i="33" s="1"/>
  <c r="L43" i="33"/>
  <c r="M43" i="33" s="1"/>
  <c r="P43" i="33" s="1"/>
  <c r="L21" i="33"/>
  <c r="M21" i="33" s="1"/>
  <c r="P21" i="33" s="1"/>
  <c r="L33" i="33"/>
  <c r="M33" i="33" s="1"/>
  <c r="P33" i="33" s="1"/>
  <c r="L172" i="33"/>
  <c r="M172" i="33" s="1"/>
  <c r="P172" i="33" s="1"/>
  <c r="L159" i="33"/>
  <c r="M159" i="33" s="1"/>
  <c r="P159" i="33" s="1"/>
  <c r="L22" i="33"/>
  <c r="M22" i="33" s="1"/>
  <c r="P22" i="33" s="1"/>
  <c r="L120" i="33"/>
  <c r="M120" i="33" s="1"/>
  <c r="P120" i="33" s="1"/>
  <c r="L96" i="33"/>
  <c r="M96" i="33" s="1"/>
  <c r="P96" i="33" s="1"/>
  <c r="L79" i="33"/>
  <c r="M79" i="33" s="1"/>
  <c r="P79" i="33" s="1"/>
  <c r="L164" i="33"/>
  <c r="M164" i="33" s="1"/>
  <c r="P164" i="33" s="1"/>
  <c r="L145" i="33"/>
  <c r="M145" i="33" s="1"/>
  <c r="P145" i="33" s="1"/>
  <c r="L57" i="33"/>
  <c r="M57" i="33" s="1"/>
  <c r="P57" i="33" s="1"/>
  <c r="L173" i="33"/>
  <c r="M173" i="33" s="1"/>
  <c r="P173" i="33" s="1"/>
  <c r="L115" i="33"/>
  <c r="M115" i="33" s="1"/>
  <c r="P115" i="33" s="1"/>
  <c r="L157" i="33"/>
  <c r="M157" i="33" s="1"/>
  <c r="P157" i="33" s="1"/>
  <c r="L46" i="33"/>
  <c r="M46" i="33" s="1"/>
  <c r="P46" i="33" s="1"/>
  <c r="L90" i="33"/>
  <c r="M90" i="33" s="1"/>
  <c r="P90" i="33" s="1"/>
  <c r="L38" i="33"/>
  <c r="M38" i="33" s="1"/>
  <c r="P38" i="33" s="1"/>
  <c r="L47" i="33"/>
  <c r="M92" i="33"/>
  <c r="P92" i="33" s="1"/>
  <c r="K70" i="33"/>
  <c r="O70" i="33" s="1"/>
  <c r="I38" i="27"/>
  <c r="K44" i="33"/>
  <c r="O44" i="33" s="1"/>
  <c r="M204" i="33"/>
  <c r="P204" i="33" s="1"/>
  <c r="M178" i="33"/>
  <c r="P178" i="33" s="1"/>
  <c r="I11" i="39"/>
  <c r="K167" i="33"/>
  <c r="O167" i="33" s="1"/>
  <c r="K186" i="33"/>
  <c r="O186" i="33" s="1"/>
  <c r="K190" i="33"/>
  <c r="O190" i="33" s="1"/>
  <c r="K10" i="33"/>
  <c r="O10" i="33" s="1"/>
  <c r="K191" i="33"/>
  <c r="O191" i="33" s="1"/>
  <c r="K5" i="33"/>
  <c r="O5" i="33" s="1"/>
  <c r="K163" i="33"/>
  <c r="O163" i="33" s="1"/>
  <c r="K84" i="33"/>
  <c r="O84" i="33" s="1"/>
  <c r="K53" i="33"/>
  <c r="O53" i="33" s="1"/>
  <c r="K165" i="33"/>
  <c r="O165" i="33" s="1"/>
  <c r="K153" i="33"/>
  <c r="O153" i="33" s="1"/>
  <c r="K166" i="33"/>
  <c r="O166" i="33" s="1"/>
  <c r="K99" i="33"/>
  <c r="O99" i="33" s="1"/>
  <c r="K197" i="33"/>
  <c r="O197" i="33" s="1"/>
  <c r="K33" i="33"/>
  <c r="O33" i="33" s="1"/>
  <c r="K55" i="33"/>
  <c r="O55" i="33" s="1"/>
  <c r="K175" i="33"/>
  <c r="O175" i="33" s="1"/>
  <c r="K2" i="33"/>
  <c r="O2" i="33" s="1"/>
  <c r="K67" i="33"/>
  <c r="O67" i="33" s="1"/>
  <c r="K114" i="33"/>
  <c r="O114" i="33" s="1"/>
  <c r="K159" i="33"/>
  <c r="O159" i="33" s="1"/>
  <c r="K38" i="33"/>
  <c r="O38" i="33" s="1"/>
  <c r="K93" i="33"/>
  <c r="O93" i="33" s="1"/>
  <c r="K171" i="33"/>
  <c r="O171" i="33" s="1"/>
  <c r="K42" i="33"/>
  <c r="O42" i="33" s="1"/>
  <c r="K150" i="33"/>
  <c r="O150" i="33" s="1"/>
  <c r="K199" i="33"/>
  <c r="O199" i="33" s="1"/>
  <c r="K133" i="33"/>
  <c r="O133" i="33" s="1"/>
  <c r="K78" i="33"/>
  <c r="O78" i="33" s="1"/>
  <c r="K146" i="33"/>
  <c r="O146" i="33" s="1"/>
  <c r="K194" i="33"/>
  <c r="O194" i="33" s="1"/>
  <c r="K30" i="33"/>
  <c r="O30" i="33" s="1"/>
  <c r="K77" i="33"/>
  <c r="O77" i="33" s="1"/>
  <c r="K185" i="33"/>
  <c r="O185" i="33" s="1"/>
  <c r="K11" i="33"/>
  <c r="O11" i="33" s="1"/>
  <c r="K139" i="33"/>
  <c r="O139" i="33" s="1"/>
  <c r="K56" i="33"/>
  <c r="O56" i="33" s="1"/>
  <c r="K111" i="33"/>
  <c r="O111" i="33" s="1"/>
  <c r="K9" i="33"/>
  <c r="O9" i="33" s="1"/>
  <c r="K18" i="33"/>
  <c r="O18" i="33" s="1"/>
  <c r="K73" i="33"/>
  <c r="O73" i="33" s="1"/>
  <c r="K16" i="33"/>
  <c r="O16" i="33" s="1"/>
  <c r="K104" i="33"/>
  <c r="O104" i="33" s="1"/>
  <c r="K131" i="33"/>
  <c r="O131" i="33" s="1"/>
  <c r="K177" i="33"/>
  <c r="O177" i="33" s="1"/>
  <c r="K35" i="33"/>
  <c r="O35" i="33" s="1"/>
  <c r="K115" i="33"/>
  <c r="O115" i="33" s="1"/>
  <c r="K63" i="33"/>
  <c r="O63" i="33" s="1"/>
  <c r="K154" i="33"/>
  <c r="O154" i="33" s="1"/>
  <c r="K172" i="33"/>
  <c r="O172" i="33" s="1"/>
  <c r="K41" i="33"/>
  <c r="O41" i="33" s="1"/>
  <c r="K200" i="33"/>
  <c r="O200" i="33" s="1"/>
  <c r="K156" i="33"/>
  <c r="O156" i="33" s="1"/>
  <c r="K89" i="33"/>
  <c r="O89" i="33" s="1"/>
  <c r="I31" i="33"/>
  <c r="K83" i="33"/>
  <c r="O83" i="33" s="1"/>
  <c r="K155" i="33"/>
  <c r="O155" i="33" s="1"/>
  <c r="K184" i="33"/>
  <c r="O184" i="33" s="1"/>
  <c r="K68" i="33"/>
  <c r="O68" i="33" s="1"/>
  <c r="K65" i="33"/>
  <c r="O65" i="33" s="1"/>
  <c r="K3" i="33"/>
  <c r="O3" i="33" s="1"/>
  <c r="K180" i="33"/>
  <c r="O180" i="33" s="1"/>
  <c r="K96" i="33"/>
  <c r="O96" i="33" s="1"/>
  <c r="K49" i="33"/>
  <c r="O49" i="33" s="1"/>
  <c r="K108" i="33"/>
  <c r="O108" i="33" s="1"/>
  <c r="K31" i="33"/>
  <c r="O31" i="33" s="1"/>
  <c r="K138" i="33"/>
  <c r="O138" i="33" s="1"/>
  <c r="K43" i="33"/>
  <c r="O43" i="33" s="1"/>
  <c r="K12" i="33"/>
  <c r="O12" i="33" s="1"/>
  <c r="K189" i="33"/>
  <c r="O189" i="33" s="1"/>
  <c r="K75" i="33"/>
  <c r="O75" i="33" s="1"/>
  <c r="K14" i="33"/>
  <c r="O14" i="33" s="1"/>
  <c r="K51" i="33"/>
  <c r="O51" i="33" s="1"/>
  <c r="K123" i="33"/>
  <c r="O123" i="33" s="1"/>
  <c r="K193" i="33"/>
  <c r="O193" i="33" s="1"/>
  <c r="K54" i="33"/>
  <c r="O54" i="33" s="1"/>
  <c r="K107" i="33"/>
  <c r="O107" i="33" s="1"/>
  <c r="K183" i="33"/>
  <c r="O183" i="33" s="1"/>
  <c r="K116" i="33"/>
  <c r="O116" i="33" s="1"/>
  <c r="K192" i="33"/>
  <c r="O192" i="33" s="1"/>
  <c r="K36" i="33"/>
  <c r="O36" i="33" s="1"/>
  <c r="K109" i="33"/>
  <c r="O109" i="33" s="1"/>
  <c r="K6" i="33"/>
  <c r="O6" i="33" s="1"/>
  <c r="K81" i="33"/>
  <c r="O81" i="33" s="1"/>
  <c r="K13" i="33"/>
  <c r="O13" i="33" s="1"/>
  <c r="K112" i="33"/>
  <c r="O112" i="33" s="1"/>
  <c r="K122" i="33"/>
  <c r="O122" i="33" s="1"/>
  <c r="K130" i="33"/>
  <c r="O130" i="33" s="1"/>
  <c r="K39" i="33"/>
  <c r="O39" i="33" s="1"/>
  <c r="K90" i="33"/>
  <c r="O90" i="33" s="1"/>
  <c r="K58" i="33"/>
  <c r="O58" i="33" s="1"/>
  <c r="K60" i="33"/>
  <c r="O60" i="33" s="1"/>
  <c r="K149" i="33"/>
  <c r="O149" i="33" s="1"/>
  <c r="K110" i="33"/>
  <c r="O110" i="33" s="1"/>
  <c r="K76" i="33"/>
  <c r="O76" i="33" s="1"/>
  <c r="K94" i="33"/>
  <c r="O94" i="33" s="1"/>
  <c r="M47" i="33"/>
  <c r="P47" i="33" s="1"/>
  <c r="K137" i="33"/>
  <c r="O137" i="33" s="1"/>
  <c r="K160" i="33"/>
  <c r="O160" i="33" s="1"/>
  <c r="J123" i="39"/>
  <c r="N123" i="39" s="1"/>
  <c r="J160" i="39"/>
  <c r="N160" i="39" s="1"/>
  <c r="J36" i="39"/>
  <c r="N36" i="39" s="1"/>
  <c r="J122" i="39"/>
  <c r="N122" i="39" s="1"/>
  <c r="J97" i="39"/>
  <c r="N97" i="39" s="1"/>
  <c r="J99" i="39"/>
  <c r="N99" i="39" s="1"/>
  <c r="J46" i="39"/>
  <c r="N46" i="39" s="1"/>
  <c r="J179" i="39"/>
  <c r="N179" i="39" s="1"/>
  <c r="J86" i="39"/>
  <c r="N86" i="39" s="1"/>
  <c r="J55" i="39"/>
  <c r="N55" i="39" s="1"/>
  <c r="J62" i="39"/>
  <c r="N62" i="39" s="1"/>
  <c r="J100" i="39"/>
  <c r="N100" i="39" s="1"/>
  <c r="J138" i="39"/>
  <c r="N138" i="39" s="1"/>
  <c r="J182" i="39"/>
  <c r="N182" i="39" s="1"/>
  <c r="J12" i="39"/>
  <c r="N12" i="39" s="1"/>
  <c r="J102" i="39"/>
  <c r="N102" i="39" s="1"/>
  <c r="J132" i="39"/>
  <c r="N132" i="39" s="1"/>
  <c r="J134" i="39"/>
  <c r="N134" i="39" s="1"/>
  <c r="J59" i="39"/>
  <c r="N59" i="39" s="1"/>
  <c r="J147" i="39"/>
  <c r="N147" i="39" s="1"/>
  <c r="J54" i="39"/>
  <c r="N54" i="39" s="1"/>
  <c r="J13" i="39"/>
  <c r="N13" i="39" s="1"/>
  <c r="J203" i="39"/>
  <c r="N203" i="39" s="1"/>
  <c r="J121" i="39"/>
  <c r="N121" i="39" s="1"/>
  <c r="J35" i="39"/>
  <c r="N35" i="39" s="1"/>
  <c r="J181" i="39"/>
  <c r="N181" i="39" s="1"/>
  <c r="J39" i="39"/>
  <c r="J50" i="39"/>
  <c r="N50" i="39" s="1"/>
  <c r="J188" i="39"/>
  <c r="N188" i="39" s="1"/>
  <c r="J184" i="39"/>
  <c r="N184" i="39" s="1"/>
  <c r="J195" i="39"/>
  <c r="N195" i="39" s="1"/>
  <c r="J29" i="39"/>
  <c r="N29" i="39" s="1"/>
  <c r="J148" i="39"/>
  <c r="N148" i="39" s="1"/>
  <c r="J57" i="39"/>
  <c r="N57" i="39" s="1"/>
  <c r="J6" i="39"/>
  <c r="N6" i="39" s="1"/>
  <c r="J200" i="39"/>
  <c r="N200" i="39" s="1"/>
  <c r="J73" i="39"/>
  <c r="N73" i="39" s="1"/>
  <c r="J204" i="39"/>
  <c r="N204" i="39" s="1"/>
  <c r="J120" i="39"/>
  <c r="N120" i="39" s="1"/>
  <c r="J150" i="39"/>
  <c r="N150" i="39" s="1"/>
  <c r="J3" i="39"/>
  <c r="N3" i="39" s="1"/>
  <c r="J183" i="39"/>
  <c r="N183" i="39" s="1"/>
  <c r="J40" i="39"/>
  <c r="N40" i="39" s="1"/>
  <c r="J26" i="39"/>
  <c r="N26" i="39" s="1"/>
  <c r="J116" i="39"/>
  <c r="N116" i="39" s="1"/>
  <c r="J79" i="39"/>
  <c r="N79" i="39" s="1"/>
  <c r="J118" i="39"/>
  <c r="N118" i="39" s="1"/>
  <c r="J172" i="39"/>
  <c r="N172" i="39" s="1"/>
  <c r="J81" i="39"/>
  <c r="N81" i="39" s="1"/>
  <c r="J34" i="39"/>
  <c r="N34" i="39" s="1"/>
  <c r="J117" i="39"/>
  <c r="N117" i="39" s="1"/>
  <c r="J72" i="39"/>
  <c r="N72" i="39" s="1"/>
  <c r="J110" i="39"/>
  <c r="N110" i="39" s="1"/>
  <c r="J124" i="39"/>
  <c r="N124" i="39" s="1"/>
  <c r="J142" i="39"/>
  <c r="N142" i="39" s="1"/>
  <c r="J131" i="39"/>
  <c r="N131" i="39" s="1"/>
  <c r="J20" i="39"/>
  <c r="N20" i="39" s="1"/>
  <c r="J173" i="39"/>
  <c r="N173" i="39" s="1"/>
  <c r="J32" i="39"/>
  <c r="N32" i="39" s="1"/>
  <c r="J28" i="39"/>
  <c r="N28" i="39" s="1"/>
  <c r="J82" i="39"/>
  <c r="N82" i="39" s="1"/>
  <c r="J88" i="39"/>
  <c r="N88" i="39" s="1"/>
  <c r="J140" i="39"/>
  <c r="N140" i="39" s="1"/>
  <c r="J191" i="39"/>
  <c r="N191" i="39" s="1"/>
  <c r="J91" i="39"/>
  <c r="N91" i="39" s="1"/>
  <c r="J201" i="39"/>
  <c r="N201" i="39" s="1"/>
  <c r="J68" i="39"/>
  <c r="N68" i="39" s="1"/>
  <c r="J33" i="39"/>
  <c r="N33" i="39" s="1"/>
  <c r="J7" i="39"/>
  <c r="N7" i="39" s="1"/>
  <c r="J141" i="39"/>
  <c r="N141" i="39" s="1"/>
  <c r="J111" i="39"/>
  <c r="N111" i="39" s="1"/>
  <c r="J98" i="39"/>
  <c r="N98" i="39" s="1"/>
  <c r="J197" i="39"/>
  <c r="N197" i="39" s="1"/>
  <c r="J63" i="39"/>
  <c r="N63" i="39" s="1"/>
  <c r="J104" i="39"/>
  <c r="N104" i="39" s="1"/>
  <c r="J154" i="39"/>
  <c r="N154" i="39" s="1"/>
  <c r="J61" i="39"/>
  <c r="N61" i="39" s="1"/>
  <c r="J27" i="39"/>
  <c r="N27" i="39" s="1"/>
  <c r="J193" i="39"/>
  <c r="N193" i="39" s="1"/>
  <c r="J93" i="39"/>
  <c r="N93" i="39" s="1"/>
  <c r="J38" i="39"/>
  <c r="N38" i="39" s="1"/>
  <c r="J158" i="39"/>
  <c r="N158" i="39" s="1"/>
  <c r="J153" i="39"/>
  <c r="N153" i="39" s="1"/>
  <c r="J128" i="39"/>
  <c r="N128" i="39" s="1"/>
  <c r="J64" i="39"/>
  <c r="N64" i="39" s="1"/>
  <c r="J30" i="39"/>
  <c r="N30" i="39" s="1"/>
  <c r="J169" i="39"/>
  <c r="N169" i="39" s="1"/>
  <c r="J71" i="39"/>
  <c r="N71" i="39" s="1"/>
  <c r="J76" i="39"/>
  <c r="N76" i="39" s="1"/>
  <c r="J48" i="39"/>
  <c r="N48" i="39" s="1"/>
  <c r="J10" i="39"/>
  <c r="N10" i="39" s="1"/>
  <c r="J163" i="39"/>
  <c r="N163" i="39" s="1"/>
  <c r="J70" i="39"/>
  <c r="N70" i="39" s="1"/>
  <c r="J24" i="39"/>
  <c r="N24" i="39" s="1"/>
  <c r="J178" i="39"/>
  <c r="N178" i="39" s="1"/>
  <c r="J85" i="39"/>
  <c r="N85" i="39" s="1"/>
  <c r="J83" i="39"/>
  <c r="N83" i="39" s="1"/>
  <c r="J177" i="39"/>
  <c r="N177" i="39" s="1"/>
  <c r="J192" i="39"/>
  <c r="N192" i="39" s="1"/>
  <c r="J127" i="39"/>
  <c r="N127" i="39" s="1"/>
  <c r="J126" i="39"/>
  <c r="N126" i="39" s="1"/>
  <c r="J161" i="39"/>
  <c r="N161" i="39" s="1"/>
  <c r="J80" i="39"/>
  <c r="N80" i="39" s="1"/>
  <c r="J60" i="39"/>
  <c r="N60" i="39" s="1"/>
  <c r="J125" i="39"/>
  <c r="N125" i="39" s="1"/>
  <c r="J84" i="39"/>
  <c r="N84" i="39" s="1"/>
  <c r="J67" i="39"/>
  <c r="N67" i="39" s="1"/>
  <c r="J174" i="39"/>
  <c r="N174" i="39" s="1"/>
  <c r="J47" i="39"/>
  <c r="N47" i="39" s="1"/>
  <c r="J130" i="39"/>
  <c r="N130" i="39" s="1"/>
  <c r="J4" i="39"/>
  <c r="N4" i="39" s="1"/>
  <c r="J52" i="39"/>
  <c r="N52" i="39" s="1"/>
  <c r="J15" i="39"/>
  <c r="N15" i="39" s="1"/>
  <c r="J107" i="39"/>
  <c r="N107" i="39" s="1"/>
  <c r="J187" i="39"/>
  <c r="N187" i="39" s="1"/>
  <c r="J87" i="39"/>
  <c r="N87" i="39" s="1"/>
  <c r="J152" i="39"/>
  <c r="N152" i="39" s="1"/>
  <c r="J175" i="39"/>
  <c r="N175" i="39" s="1"/>
  <c r="J53" i="39"/>
  <c r="N53" i="39" s="1"/>
  <c r="J168" i="39"/>
  <c r="N168" i="39" s="1"/>
  <c r="J202" i="39"/>
  <c r="N202" i="39" s="1"/>
  <c r="J51" i="39"/>
  <c r="N51" i="39" s="1"/>
  <c r="J196" i="39"/>
  <c r="N196" i="39" s="1"/>
  <c r="J113" i="39"/>
  <c r="N113" i="39" s="1"/>
  <c r="J137" i="39"/>
  <c r="N137" i="39" s="1"/>
  <c r="J170" i="39"/>
  <c r="N170" i="39" s="1"/>
  <c r="J49" i="39"/>
  <c r="N49" i="39" s="1"/>
  <c r="J156" i="39"/>
  <c r="N156" i="39" s="1"/>
  <c r="J14" i="39"/>
  <c r="N14" i="39" s="1"/>
  <c r="J95" i="39"/>
  <c r="N95" i="39" s="1"/>
  <c r="J90" i="39"/>
  <c r="N90" i="39" s="1"/>
  <c r="J136" i="39"/>
  <c r="N136" i="39" s="1"/>
  <c r="J143" i="39"/>
  <c r="N143" i="39" s="1"/>
  <c r="J171" i="39"/>
  <c r="N171" i="39" s="1"/>
  <c r="J41" i="39"/>
  <c r="N41" i="39" s="1"/>
  <c r="J157" i="39"/>
  <c r="N157" i="39" s="1"/>
  <c r="J9" i="39"/>
  <c r="N9" i="39" s="1"/>
  <c r="J89" i="39"/>
  <c r="N89" i="39" s="1"/>
  <c r="J139" i="39"/>
  <c r="N139" i="39" s="1"/>
  <c r="J5" i="39"/>
  <c r="N5" i="39" s="1"/>
  <c r="J144" i="39"/>
  <c r="N144" i="39" s="1"/>
  <c r="J8" i="39"/>
  <c r="N8" i="39" s="1"/>
  <c r="J19" i="39"/>
  <c r="N19" i="39" s="1"/>
  <c r="J11" i="39"/>
  <c r="N11" i="39" s="1"/>
  <c r="J58" i="39"/>
  <c r="N58" i="39" s="1"/>
  <c r="J159" i="39"/>
  <c r="N159" i="39" s="1"/>
  <c r="J198" i="39"/>
  <c r="N198" i="39" s="1"/>
  <c r="J108" i="39"/>
  <c r="N108" i="39" s="1"/>
  <c r="J167" i="39"/>
  <c r="N167" i="39" s="1"/>
  <c r="J185" i="39"/>
  <c r="N185" i="39" s="1"/>
  <c r="J151" i="39"/>
  <c r="N151" i="39" s="1"/>
  <c r="J119" i="39"/>
  <c r="N119" i="39" s="1"/>
  <c r="J22" i="39"/>
  <c r="N22" i="39" s="1"/>
  <c r="J94" i="39"/>
  <c r="N94" i="39" s="1"/>
  <c r="J186" i="39"/>
  <c r="N186" i="39" s="1"/>
  <c r="J25" i="39"/>
  <c r="N25" i="39" s="1"/>
  <c r="J146" i="39"/>
  <c r="N146" i="39" s="1"/>
  <c r="J18" i="39"/>
  <c r="N18" i="39" s="1"/>
  <c r="J164" i="39"/>
  <c r="N164" i="39" s="1"/>
  <c r="J112" i="39"/>
  <c r="N112" i="39" s="1"/>
  <c r="J45" i="39"/>
  <c r="N45" i="39" s="1"/>
  <c r="J106" i="39"/>
  <c r="N106" i="39" s="1"/>
  <c r="J114" i="39"/>
  <c r="N114" i="39" s="1"/>
  <c r="J37" i="39"/>
  <c r="N37" i="39" s="1"/>
  <c r="J77" i="39"/>
  <c r="N77" i="39" s="1"/>
  <c r="J74" i="39"/>
  <c r="N74" i="39" s="1"/>
  <c r="J149" i="39"/>
  <c r="N149" i="39" s="1"/>
  <c r="J189" i="39"/>
  <c r="N189" i="39" s="1"/>
  <c r="J109" i="39"/>
  <c r="N109" i="39" s="1"/>
  <c r="J21" i="39"/>
  <c r="N21" i="39" s="1"/>
  <c r="J96" i="39"/>
  <c r="N96" i="39" s="1"/>
  <c r="J31" i="39"/>
  <c r="N31" i="39" s="1"/>
  <c r="J194" i="39"/>
  <c r="N194" i="39" s="1"/>
  <c r="J42" i="39"/>
  <c r="N42" i="39" s="1"/>
  <c r="J135" i="39"/>
  <c r="N135" i="39" s="1"/>
  <c r="J23" i="39"/>
  <c r="N23" i="39" s="1"/>
  <c r="J105" i="39"/>
  <c r="N105" i="39" s="1"/>
  <c r="J75" i="39"/>
  <c r="N75" i="39" s="1"/>
  <c r="J16" i="39"/>
  <c r="N16" i="39" s="1"/>
  <c r="J133" i="39"/>
  <c r="N133" i="39" s="1"/>
  <c r="J78" i="39"/>
  <c r="N78" i="39" s="1"/>
  <c r="J115" i="39"/>
  <c r="N115" i="39" s="1"/>
  <c r="J176" i="39"/>
  <c r="N176" i="39" s="1"/>
  <c r="J190" i="39"/>
  <c r="N190" i="39" s="1"/>
  <c r="J92" i="39"/>
  <c r="N92" i="39" s="1"/>
  <c r="J56" i="39"/>
  <c r="N56" i="39" s="1"/>
  <c r="J101" i="39"/>
  <c r="N101" i="39" s="1"/>
  <c r="J66" i="39"/>
  <c r="N66" i="39" s="1"/>
  <c r="J65" i="39"/>
  <c r="N65" i="39" s="1"/>
  <c r="J199" i="39"/>
  <c r="N199" i="39" s="1"/>
  <c r="J166" i="39"/>
  <c r="N166" i="39" s="1"/>
  <c r="J17" i="39"/>
  <c r="N17" i="39" s="1"/>
  <c r="J145" i="39"/>
  <c r="N145" i="39" s="1"/>
  <c r="J2" i="39"/>
  <c r="N2" i="39" s="1"/>
  <c r="J155" i="39"/>
  <c r="N155" i="39" s="1"/>
  <c r="J69" i="39"/>
  <c r="N69" i="39" s="1"/>
  <c r="J180" i="39"/>
  <c r="N180" i="39" s="1"/>
  <c r="J162" i="39"/>
  <c r="N162" i="39" s="1"/>
  <c r="J44" i="39"/>
  <c r="N44" i="39" s="1"/>
  <c r="J165" i="39"/>
  <c r="N165" i="39" s="1"/>
  <c r="J129" i="39"/>
  <c r="N129" i="39" s="1"/>
  <c r="J43" i="39"/>
  <c r="N43" i="39" s="1"/>
  <c r="I21" i="10"/>
  <c r="L93" i="10"/>
  <c r="L159" i="10"/>
  <c r="L21" i="10"/>
  <c r="L34" i="10"/>
  <c r="L64" i="10"/>
  <c r="L57" i="10"/>
  <c r="L20" i="10"/>
  <c r="L121" i="10"/>
  <c r="L164" i="10"/>
  <c r="L50" i="10"/>
  <c r="L123" i="10"/>
  <c r="L46" i="10"/>
  <c r="L195" i="10"/>
  <c r="L119" i="10"/>
  <c r="L179" i="10"/>
  <c r="L134" i="10"/>
  <c r="L166" i="10"/>
  <c r="L90" i="10"/>
  <c r="L200" i="10"/>
  <c r="L150" i="10"/>
  <c r="L3" i="10"/>
  <c r="L156" i="10"/>
  <c r="L83" i="10"/>
  <c r="L73" i="10"/>
  <c r="L188" i="10"/>
  <c r="L13" i="10"/>
  <c r="L33" i="10"/>
  <c r="L163" i="10"/>
  <c r="L49" i="10"/>
  <c r="L70" i="10"/>
  <c r="L146" i="10"/>
  <c r="L106" i="10"/>
  <c r="L101" i="10"/>
  <c r="L125" i="10"/>
  <c r="L137" i="10"/>
  <c r="L5" i="10"/>
  <c r="L28" i="10"/>
  <c r="L203" i="10"/>
  <c r="L184" i="10"/>
  <c r="L190" i="10"/>
  <c r="L39" i="10"/>
  <c r="L37" i="10"/>
  <c r="L87" i="10"/>
  <c r="L158" i="10"/>
  <c r="L126" i="10"/>
  <c r="L2" i="10"/>
  <c r="L55" i="10"/>
  <c r="L113" i="10"/>
  <c r="L202" i="10"/>
  <c r="L97" i="10"/>
  <c r="L167" i="10"/>
  <c r="L148" i="10"/>
  <c r="L115" i="10"/>
  <c r="L88" i="10"/>
  <c r="L143" i="10"/>
  <c r="L65" i="10"/>
  <c r="L161" i="10"/>
  <c r="L86" i="10"/>
  <c r="L15" i="10"/>
  <c r="L194" i="10"/>
  <c r="L118" i="10"/>
  <c r="L131" i="10"/>
  <c r="L114" i="10"/>
  <c r="L120" i="10"/>
  <c r="L99" i="10"/>
  <c r="L153" i="10"/>
  <c r="L170" i="10"/>
  <c r="L191" i="10"/>
  <c r="L61" i="10"/>
  <c r="L89" i="10"/>
  <c r="L197" i="10"/>
  <c r="L117" i="10"/>
  <c r="L127" i="10"/>
  <c r="L7" i="10"/>
  <c r="L6" i="10"/>
  <c r="L72" i="10"/>
  <c r="L18" i="10"/>
  <c r="L67" i="10"/>
  <c r="L177" i="10"/>
  <c r="L98" i="10"/>
  <c r="L45" i="10"/>
  <c r="L109" i="10"/>
  <c r="L100" i="10"/>
  <c r="L182" i="10"/>
  <c r="L27" i="10"/>
  <c r="L149" i="10"/>
  <c r="L68" i="10"/>
  <c r="L111" i="10"/>
  <c r="L35" i="10"/>
  <c r="L54" i="10"/>
  <c r="L62" i="10"/>
  <c r="L105" i="10"/>
  <c r="L85" i="10"/>
  <c r="L192" i="10"/>
  <c r="L10" i="10"/>
  <c r="L136" i="10"/>
  <c r="L44" i="10"/>
  <c r="L108" i="10"/>
  <c r="L174" i="10"/>
  <c r="L24" i="10"/>
  <c r="L133" i="10"/>
  <c r="L169" i="10"/>
  <c r="L9" i="10"/>
  <c r="L139" i="10"/>
  <c r="L144" i="10"/>
  <c r="L4" i="10"/>
  <c r="L22" i="10"/>
  <c r="L173" i="10"/>
  <c r="L172" i="10"/>
  <c r="L122" i="10"/>
  <c r="L204" i="10"/>
  <c r="L154" i="10"/>
  <c r="L59" i="10"/>
  <c r="L142" i="10"/>
  <c r="L36" i="10"/>
  <c r="L128" i="10"/>
  <c r="L8" i="10"/>
  <c r="L66" i="10"/>
  <c r="L112" i="10"/>
  <c r="L53" i="10"/>
  <c r="L11" i="10"/>
  <c r="L63" i="10"/>
  <c r="L165" i="10"/>
  <c r="L185" i="10"/>
  <c r="L95" i="10"/>
  <c r="L30" i="10"/>
  <c r="L147" i="10"/>
  <c r="L71" i="10"/>
  <c r="L132" i="10"/>
  <c r="L168" i="10"/>
  <c r="L157" i="10"/>
  <c r="L19" i="10"/>
  <c r="L17" i="10"/>
  <c r="L124" i="10"/>
  <c r="L151" i="10"/>
  <c r="L82" i="10"/>
  <c r="L129" i="10"/>
  <c r="L60" i="10"/>
  <c r="L181" i="10"/>
  <c r="L96" i="10"/>
  <c r="L42" i="10"/>
  <c r="L91" i="10"/>
  <c r="L187" i="10"/>
  <c r="L23" i="10"/>
  <c r="L41" i="10"/>
  <c r="L176" i="10"/>
  <c r="L47" i="10"/>
  <c r="L40" i="10"/>
  <c r="L94" i="10"/>
  <c r="L104" i="10"/>
  <c r="L31" i="10"/>
  <c r="L178" i="10"/>
  <c r="L201" i="10"/>
  <c r="L75" i="10"/>
  <c r="L198" i="10"/>
  <c r="L16" i="10"/>
  <c r="L140" i="10"/>
  <c r="L175" i="10"/>
  <c r="L138" i="10"/>
  <c r="L76" i="10"/>
  <c r="L14" i="10"/>
  <c r="L43" i="10"/>
  <c r="L51" i="10"/>
  <c r="L189" i="10"/>
  <c r="L183" i="10"/>
  <c r="L155" i="10"/>
  <c r="L110" i="10"/>
  <c r="L52" i="10"/>
  <c r="L180" i="10"/>
  <c r="L171" i="10"/>
  <c r="L58" i="10"/>
  <c r="L102" i="10"/>
  <c r="L38" i="10"/>
  <c r="L29" i="10"/>
  <c r="L160" i="10"/>
  <c r="L79" i="10"/>
  <c r="L162" i="10"/>
  <c r="L80" i="10"/>
  <c r="L130" i="10"/>
  <c r="I22" i="10"/>
  <c r="L107" i="10"/>
  <c r="L199" i="10"/>
  <c r="L141" i="10"/>
  <c r="L26" i="10"/>
  <c r="L12" i="10"/>
  <c r="L25" i="10"/>
  <c r="L84" i="10"/>
  <c r="L32" i="10"/>
  <c r="L145" i="10"/>
  <c r="L56" i="10"/>
  <c r="L193" i="10"/>
  <c r="L196" i="10"/>
  <c r="L78" i="10"/>
  <c r="L116" i="10"/>
  <c r="L135" i="10"/>
  <c r="L48" i="10"/>
  <c r="L92" i="10"/>
  <c r="L77" i="10"/>
  <c r="L81" i="10"/>
  <c r="L152" i="10"/>
  <c r="L186" i="10"/>
  <c r="L74" i="10"/>
  <c r="L69" i="10"/>
  <c r="I27" i="33"/>
  <c r="I29" i="33"/>
  <c r="I19" i="39"/>
  <c r="I9" i="39"/>
  <c r="I12" i="39"/>
  <c r="I20" i="39"/>
  <c r="I9" i="26"/>
  <c r="I19" i="26"/>
  <c r="I12" i="26"/>
  <c r="I20" i="26"/>
  <c r="I13" i="6"/>
  <c r="I28" i="6" s="1"/>
  <c r="H37" i="6" s="1"/>
  <c r="I15" i="6"/>
  <c r="J168" i="26"/>
  <c r="N168" i="26" s="1"/>
  <c r="J58" i="26"/>
  <c r="N58" i="26" s="1"/>
  <c r="J83" i="26"/>
  <c r="N83" i="26" s="1"/>
  <c r="J11" i="26"/>
  <c r="N11" i="26" s="1"/>
  <c r="J81" i="26"/>
  <c r="N81" i="26" s="1"/>
  <c r="J10" i="26"/>
  <c r="N10" i="26" s="1"/>
  <c r="J99" i="26"/>
  <c r="N99" i="26" s="1"/>
  <c r="J160" i="26"/>
  <c r="N160" i="26" s="1"/>
  <c r="J85" i="26"/>
  <c r="N85" i="26" s="1"/>
  <c r="J138" i="26"/>
  <c r="N138" i="26" s="1"/>
  <c r="J78" i="26"/>
  <c r="N78" i="26" s="1"/>
  <c r="J49" i="26"/>
  <c r="N49" i="26" s="1"/>
  <c r="J147" i="26"/>
  <c r="N147" i="26" s="1"/>
  <c r="J15" i="26"/>
  <c r="N15" i="26" s="1"/>
  <c r="J119" i="26"/>
  <c r="N119" i="26" s="1"/>
  <c r="J165" i="26"/>
  <c r="N165" i="26" s="1"/>
  <c r="J59" i="26"/>
  <c r="N59" i="26" s="1"/>
  <c r="J55" i="26"/>
  <c r="N55" i="26" s="1"/>
  <c r="J45" i="26"/>
  <c r="N45" i="26" s="1"/>
  <c r="J93" i="26"/>
  <c r="N93" i="26" s="1"/>
  <c r="J66" i="26"/>
  <c r="N66" i="26" s="1"/>
  <c r="J193" i="26"/>
  <c r="N193" i="26" s="1"/>
  <c r="J126" i="26"/>
  <c r="N126" i="26" s="1"/>
  <c r="J129" i="26"/>
  <c r="N129" i="26" s="1"/>
  <c r="J180" i="26"/>
  <c r="N180" i="26" s="1"/>
  <c r="J65" i="26"/>
  <c r="N65" i="26" s="1"/>
  <c r="J161" i="26"/>
  <c r="N161" i="26" s="1"/>
  <c r="J77" i="26"/>
  <c r="N77" i="26" s="1"/>
  <c r="J28" i="26"/>
  <c r="N28" i="26" s="1"/>
  <c r="J134" i="26"/>
  <c r="N134" i="26" s="1"/>
  <c r="J75" i="26"/>
  <c r="N75" i="26" s="1"/>
  <c r="J24" i="26"/>
  <c r="N24" i="26" s="1"/>
  <c r="J41" i="26"/>
  <c r="N41" i="26" s="1"/>
  <c r="J153" i="26"/>
  <c r="N153" i="26" s="1"/>
  <c r="J125" i="26"/>
  <c r="N125" i="26" s="1"/>
  <c r="J171" i="26"/>
  <c r="N171" i="26" s="1"/>
  <c r="J105" i="26"/>
  <c r="N105" i="26" s="1"/>
  <c r="J32" i="26"/>
  <c r="N32" i="26" s="1"/>
  <c r="J116" i="26"/>
  <c r="N116" i="26" s="1"/>
  <c r="J68" i="26"/>
  <c r="N68" i="26" s="1"/>
  <c r="J174" i="26"/>
  <c r="N174" i="26" s="1"/>
  <c r="J98" i="26"/>
  <c r="N98" i="26" s="1"/>
  <c r="J63" i="26"/>
  <c r="N63" i="26" s="1"/>
  <c r="J121" i="26"/>
  <c r="N121" i="26" s="1"/>
  <c r="J149" i="26"/>
  <c r="N149" i="26" s="1"/>
  <c r="J51" i="26"/>
  <c r="N51" i="26" s="1"/>
  <c r="J127" i="26"/>
  <c r="N127" i="26" s="1"/>
  <c r="J186" i="26"/>
  <c r="N186" i="26" s="1"/>
  <c r="J137" i="26"/>
  <c r="N137" i="26" s="1"/>
  <c r="J167" i="26"/>
  <c r="N167" i="26" s="1"/>
  <c r="J177" i="26"/>
  <c r="N177" i="26" s="1"/>
  <c r="J154" i="26"/>
  <c r="N154" i="26" s="1"/>
  <c r="J94" i="26"/>
  <c r="N94" i="26" s="1"/>
  <c r="J106" i="26"/>
  <c r="N106" i="26" s="1"/>
  <c r="J50" i="26"/>
  <c r="N50" i="26" s="1"/>
  <c r="J80" i="26"/>
  <c r="N80" i="26" s="1"/>
  <c r="J2" i="26"/>
  <c r="N2" i="26" s="1"/>
  <c r="J176" i="26"/>
  <c r="N176" i="26" s="1"/>
  <c r="J146" i="26"/>
  <c r="N146" i="26" s="1"/>
  <c r="J112" i="26"/>
  <c r="N112" i="26" s="1"/>
  <c r="J204" i="26"/>
  <c r="N204" i="26" s="1"/>
  <c r="J100" i="26"/>
  <c r="N100" i="26" s="1"/>
  <c r="J20" i="26"/>
  <c r="N20" i="26" s="1"/>
  <c r="J82" i="26"/>
  <c r="N82" i="26" s="1"/>
  <c r="J139" i="26"/>
  <c r="N139" i="26" s="1"/>
  <c r="J201" i="26"/>
  <c r="N201" i="26" s="1"/>
  <c r="J128" i="26"/>
  <c r="N128" i="26" s="1"/>
  <c r="J143" i="26"/>
  <c r="N143" i="26" s="1"/>
  <c r="J185" i="26"/>
  <c r="N185" i="26" s="1"/>
  <c r="J14" i="26"/>
  <c r="N14" i="26" s="1"/>
  <c r="J145" i="26"/>
  <c r="N145" i="26" s="1"/>
  <c r="J43" i="26"/>
  <c r="N43" i="26" s="1"/>
  <c r="J122" i="26"/>
  <c r="N122" i="26" s="1"/>
  <c r="J62" i="26"/>
  <c r="N62" i="26" s="1"/>
  <c r="J22" i="26"/>
  <c r="N22" i="26" s="1"/>
  <c r="J108" i="26"/>
  <c r="N108" i="26" s="1"/>
  <c r="J187" i="26"/>
  <c r="N187" i="26" s="1"/>
  <c r="J118" i="26"/>
  <c r="N118" i="26" s="1"/>
  <c r="J111" i="26"/>
  <c r="N111" i="26" s="1"/>
  <c r="J69" i="26"/>
  <c r="N69" i="26" s="1"/>
  <c r="J16" i="26"/>
  <c r="N16" i="26" s="1"/>
  <c r="J150" i="26"/>
  <c r="N150" i="26" s="1"/>
  <c r="J195" i="26"/>
  <c r="N195" i="26" s="1"/>
  <c r="J179" i="26"/>
  <c r="N179" i="26" s="1"/>
  <c r="J57" i="26"/>
  <c r="N57" i="26" s="1"/>
  <c r="J140" i="26"/>
  <c r="N140" i="26" s="1"/>
  <c r="J36" i="26"/>
  <c r="N36" i="26" s="1"/>
  <c r="J34" i="26"/>
  <c r="N34" i="26" s="1"/>
  <c r="J135" i="26"/>
  <c r="N135" i="26" s="1"/>
  <c r="J74" i="26"/>
  <c r="N74" i="26" s="1"/>
  <c r="J194" i="26"/>
  <c r="N194" i="26" s="1"/>
  <c r="J53" i="26"/>
  <c r="N53" i="26" s="1"/>
  <c r="J17" i="26"/>
  <c r="N17" i="26" s="1"/>
  <c r="J114" i="26"/>
  <c r="N114" i="26" s="1"/>
  <c r="J21" i="26"/>
  <c r="N21" i="26" s="1"/>
  <c r="J3" i="26"/>
  <c r="N3" i="26" s="1"/>
  <c r="J141" i="26"/>
  <c r="N141" i="26" s="1"/>
  <c r="J155" i="26"/>
  <c r="N155" i="26" s="1"/>
  <c r="J73" i="26"/>
  <c r="N73" i="26" s="1"/>
  <c r="J4" i="26"/>
  <c r="N4" i="26" s="1"/>
  <c r="J133" i="26"/>
  <c r="N133" i="26" s="1"/>
  <c r="J123" i="26"/>
  <c r="N123" i="26" s="1"/>
  <c r="J25" i="26"/>
  <c r="N25" i="26" s="1"/>
  <c r="J33" i="26"/>
  <c r="N33" i="26" s="1"/>
  <c r="J86" i="26"/>
  <c r="N86" i="26" s="1"/>
  <c r="J91" i="26"/>
  <c r="N91" i="26" s="1"/>
  <c r="J170" i="26"/>
  <c r="N170" i="26" s="1"/>
  <c r="J151" i="26"/>
  <c r="N151" i="26" s="1"/>
  <c r="J115" i="26"/>
  <c r="N115" i="26" s="1"/>
  <c r="J97" i="26"/>
  <c r="N97" i="26" s="1"/>
  <c r="J173" i="26"/>
  <c r="N173" i="26" s="1"/>
  <c r="J79" i="26"/>
  <c r="N79" i="26" s="1"/>
  <c r="J88" i="26"/>
  <c r="N88" i="26" s="1"/>
  <c r="J71" i="26"/>
  <c r="N71" i="26" s="1"/>
  <c r="J56" i="26"/>
  <c r="N56" i="26" s="1"/>
  <c r="J130" i="26"/>
  <c r="N130" i="26" s="1"/>
  <c r="J70" i="26"/>
  <c r="N70" i="26" s="1"/>
  <c r="J42" i="26"/>
  <c r="N42" i="26" s="1"/>
  <c r="J175" i="26"/>
  <c r="N175" i="26" s="1"/>
  <c r="J60" i="26"/>
  <c r="N60" i="26" s="1"/>
  <c r="J144" i="26"/>
  <c r="N144" i="26" s="1"/>
  <c r="J30" i="26"/>
  <c r="N30" i="26" s="1"/>
  <c r="J188" i="26"/>
  <c r="N188" i="26" s="1"/>
  <c r="J87" i="26"/>
  <c r="N87" i="26" s="1"/>
  <c r="J5" i="26"/>
  <c r="N5" i="26" s="1"/>
  <c r="J159" i="26"/>
  <c r="N159" i="26" s="1"/>
  <c r="J156" i="26"/>
  <c r="N156" i="26" s="1"/>
  <c r="J38" i="26"/>
  <c r="N38" i="26" s="1"/>
  <c r="J52" i="26"/>
  <c r="N52" i="26" s="1"/>
  <c r="J109" i="26"/>
  <c r="N109" i="26" s="1"/>
  <c r="J95" i="26"/>
  <c r="N95" i="26" s="1"/>
  <c r="J158" i="26"/>
  <c r="N158" i="26" s="1"/>
  <c r="J35" i="26"/>
  <c r="N35" i="26" s="1"/>
  <c r="J148" i="26"/>
  <c r="N148" i="26" s="1"/>
  <c r="J182" i="26"/>
  <c r="N182" i="26" s="1"/>
  <c r="J107" i="26"/>
  <c r="N107" i="26" s="1"/>
  <c r="J72" i="26"/>
  <c r="N72" i="26" s="1"/>
  <c r="J7" i="26"/>
  <c r="N7" i="26" s="1"/>
  <c r="J166" i="26"/>
  <c r="N166" i="26" s="1"/>
  <c r="J76" i="26"/>
  <c r="N76" i="26" s="1"/>
  <c r="J163" i="26"/>
  <c r="N163" i="26" s="1"/>
  <c r="J84" i="26"/>
  <c r="N84" i="26" s="1"/>
  <c r="J8" i="26"/>
  <c r="N8" i="26" s="1"/>
  <c r="J101" i="26"/>
  <c r="N101" i="26" s="1"/>
  <c r="J184" i="26"/>
  <c r="N184" i="26" s="1"/>
  <c r="J169" i="26"/>
  <c r="N169" i="26" s="1"/>
  <c r="J104" i="26"/>
  <c r="N104" i="26" s="1"/>
  <c r="J124" i="26"/>
  <c r="N124" i="26" s="1"/>
  <c r="J26" i="26"/>
  <c r="N26" i="26" s="1"/>
  <c r="J29" i="26"/>
  <c r="N29" i="26" s="1"/>
  <c r="J142" i="26"/>
  <c r="N142" i="26" s="1"/>
  <c r="J189" i="26"/>
  <c r="N189" i="26" s="1"/>
  <c r="J92" i="26"/>
  <c r="N92" i="26" s="1"/>
  <c r="J18" i="26"/>
  <c r="N18" i="26" s="1"/>
  <c r="J183" i="26"/>
  <c r="N183" i="26" s="1"/>
  <c r="J23" i="26"/>
  <c r="N23" i="26" s="1"/>
  <c r="J46" i="26"/>
  <c r="N46" i="26" s="1"/>
  <c r="J120" i="26"/>
  <c r="N120" i="26" s="1"/>
  <c r="J181" i="26"/>
  <c r="N181" i="26" s="1"/>
  <c r="J152" i="26"/>
  <c r="N152" i="26" s="1"/>
  <c r="J199" i="26"/>
  <c r="N199" i="26" s="1"/>
  <c r="J39" i="26"/>
  <c r="J192" i="26"/>
  <c r="N192" i="26" s="1"/>
  <c r="J110" i="26"/>
  <c r="N110" i="26" s="1"/>
  <c r="J117" i="26"/>
  <c r="N117" i="26" s="1"/>
  <c r="J196" i="26"/>
  <c r="N196" i="26" s="1"/>
  <c r="J89" i="26"/>
  <c r="N89" i="26" s="1"/>
  <c r="J12" i="26"/>
  <c r="N12" i="26" s="1"/>
  <c r="J54" i="26"/>
  <c r="N54" i="26" s="1"/>
  <c r="J203" i="26"/>
  <c r="N203" i="26" s="1"/>
  <c r="J131" i="26"/>
  <c r="N131" i="26" s="1"/>
  <c r="J19" i="26"/>
  <c r="N19" i="26" s="1"/>
  <c r="J157" i="26"/>
  <c r="N157" i="26" s="1"/>
  <c r="J48" i="26"/>
  <c r="N48" i="26" s="1"/>
  <c r="J13" i="26"/>
  <c r="N13" i="26" s="1"/>
  <c r="J6" i="26"/>
  <c r="N6" i="26" s="1"/>
  <c r="J47" i="26"/>
  <c r="N47" i="26" s="1"/>
  <c r="J191" i="26"/>
  <c r="N191" i="26" s="1"/>
  <c r="J200" i="26"/>
  <c r="N200" i="26" s="1"/>
  <c r="J44" i="26"/>
  <c r="N44" i="26" s="1"/>
  <c r="J113" i="26"/>
  <c r="N113" i="26" s="1"/>
  <c r="J9" i="26"/>
  <c r="N9" i="26" s="1"/>
  <c r="J40" i="26"/>
  <c r="N40" i="26" s="1"/>
  <c r="J197" i="26"/>
  <c r="N197" i="26" s="1"/>
  <c r="J90" i="26"/>
  <c r="N90" i="26" s="1"/>
  <c r="J190" i="26"/>
  <c r="N190" i="26" s="1"/>
  <c r="J67" i="26"/>
  <c r="N67" i="26" s="1"/>
  <c r="J172" i="26"/>
  <c r="N172" i="26" s="1"/>
  <c r="J164" i="26"/>
  <c r="N164" i="26" s="1"/>
  <c r="J132" i="26"/>
  <c r="N132" i="26" s="1"/>
  <c r="J64" i="26"/>
  <c r="N64" i="26" s="1"/>
  <c r="J37" i="26"/>
  <c r="N37" i="26" s="1"/>
  <c r="J198" i="26"/>
  <c r="N198" i="26" s="1"/>
  <c r="J162" i="26"/>
  <c r="N162" i="26" s="1"/>
  <c r="J27" i="26"/>
  <c r="N27" i="26" s="1"/>
  <c r="J96" i="26"/>
  <c r="N96" i="26" s="1"/>
  <c r="J202" i="26"/>
  <c r="N202" i="26" s="1"/>
  <c r="J31" i="26"/>
  <c r="N31" i="26" s="1"/>
  <c r="J136" i="26"/>
  <c r="N136" i="26" s="1"/>
  <c r="J102" i="26"/>
  <c r="N102" i="26" s="1"/>
  <c r="J61" i="26"/>
  <c r="N61" i="26" s="1"/>
  <c r="J178" i="26"/>
  <c r="N178" i="26" s="1"/>
  <c r="L204" i="6"/>
  <c r="L201" i="6"/>
  <c r="L114" i="6"/>
  <c r="I8" i="26"/>
  <c r="I17" i="6"/>
  <c r="L83" i="6" s="1"/>
  <c r="N39" i="6"/>
  <c r="I43" i="6"/>
  <c r="I10" i="39"/>
  <c r="I10" i="26"/>
  <c r="I14" i="10"/>
  <c r="I28" i="10"/>
  <c r="I27" i="10"/>
  <c r="I29" i="10"/>
  <c r="F27" i="3"/>
  <c r="H40" i="11"/>
  <c r="N24" i="36"/>
  <c r="N25" i="36"/>
  <c r="N35" i="36"/>
  <c r="N40" i="36"/>
  <c r="N33" i="36"/>
  <c r="N28" i="36"/>
  <c r="N36" i="36"/>
  <c r="N31" i="36"/>
  <c r="N39" i="36"/>
  <c r="N37" i="36"/>
  <c r="N38" i="36"/>
  <c r="N27" i="36"/>
  <c r="N34" i="36"/>
  <c r="N41" i="36"/>
  <c r="N30" i="36"/>
  <c r="N22" i="36"/>
  <c r="N20" i="36"/>
  <c r="N23" i="36"/>
  <c r="I5" i="36"/>
  <c r="N42" i="36"/>
  <c r="N43" i="36"/>
  <c r="N21" i="36"/>
  <c r="N26" i="36"/>
  <c r="N18" i="36"/>
  <c r="N19" i="36"/>
  <c r="N29" i="36"/>
  <c r="N32" i="36"/>
  <c r="H38" i="27"/>
  <c r="H40" i="27" s="1"/>
  <c r="I37" i="27"/>
  <c r="H35" i="27"/>
  <c r="H34" i="27"/>
  <c r="I37" i="8"/>
  <c r="I38" i="11"/>
  <c r="H34" i="11"/>
  <c r="H35" i="11"/>
  <c r="I37" i="11"/>
  <c r="I38" i="8"/>
  <c r="H34" i="8"/>
  <c r="H35" i="8"/>
  <c r="I17" i="40" l="1"/>
  <c r="L198" i="40" s="1"/>
  <c r="I17" i="46"/>
  <c r="L146" i="46" s="1"/>
  <c r="I13" i="46"/>
  <c r="L132" i="6"/>
  <c r="H38" i="33"/>
  <c r="F32" i="3" s="1"/>
  <c r="I30" i="33"/>
  <c r="I14" i="40"/>
  <c r="K176" i="40" s="1"/>
  <c r="O176" i="40" s="1"/>
  <c r="I15" i="46"/>
  <c r="L114" i="46"/>
  <c r="L13" i="46"/>
  <c r="L90" i="46"/>
  <c r="L19" i="46"/>
  <c r="L116" i="46"/>
  <c r="L91" i="46"/>
  <c r="L119" i="46"/>
  <c r="L122" i="46"/>
  <c r="L48" i="46"/>
  <c r="L74" i="46"/>
  <c r="L52" i="46"/>
  <c r="L138" i="46"/>
  <c r="L168" i="46"/>
  <c r="L7" i="46"/>
  <c r="L123" i="46"/>
  <c r="L115" i="46"/>
  <c r="L47" i="6"/>
  <c r="M47" i="6" s="1"/>
  <c r="P47" i="6" s="1"/>
  <c r="L148" i="6"/>
  <c r="L169" i="6"/>
  <c r="I28" i="46"/>
  <c r="I43" i="46"/>
  <c r="N39" i="46"/>
  <c r="L173" i="6"/>
  <c r="I14" i="6"/>
  <c r="M105" i="6" s="1"/>
  <c r="P105" i="6" s="1"/>
  <c r="L163" i="6"/>
  <c r="M163" i="6" s="1"/>
  <c r="P163" i="6" s="1"/>
  <c r="L24" i="6"/>
  <c r="L188" i="6"/>
  <c r="L127" i="6"/>
  <c r="L23" i="6"/>
  <c r="L17" i="6"/>
  <c r="L48" i="6"/>
  <c r="L158" i="6"/>
  <c r="M158" i="6" s="1"/>
  <c r="P158" i="6" s="1"/>
  <c r="L168" i="6"/>
  <c r="I14" i="46"/>
  <c r="L14" i="6"/>
  <c r="I15" i="26"/>
  <c r="L154" i="6"/>
  <c r="L189" i="6"/>
  <c r="L105" i="6"/>
  <c r="L126" i="6"/>
  <c r="M126" i="6" s="1"/>
  <c r="P126" i="6" s="1"/>
  <c r="L200" i="40"/>
  <c r="K139" i="40"/>
  <c r="O139" i="40" s="1"/>
  <c r="K31" i="40"/>
  <c r="O31" i="40" s="1"/>
  <c r="K101" i="40"/>
  <c r="O101" i="40" s="1"/>
  <c r="K123" i="40"/>
  <c r="O123" i="40" s="1"/>
  <c r="K49" i="40"/>
  <c r="O49" i="40" s="1"/>
  <c r="L26" i="40"/>
  <c r="L83" i="40"/>
  <c r="L16" i="40"/>
  <c r="L168" i="40"/>
  <c r="L162" i="40"/>
  <c r="L72" i="40"/>
  <c r="L80" i="40"/>
  <c r="L12" i="40"/>
  <c r="L98" i="40"/>
  <c r="L49" i="40"/>
  <c r="L14" i="40"/>
  <c r="L65" i="40"/>
  <c r="L171" i="40"/>
  <c r="L110" i="40"/>
  <c r="L82" i="40"/>
  <c r="L48" i="40"/>
  <c r="L153" i="40"/>
  <c r="L15" i="40"/>
  <c r="L167" i="40"/>
  <c r="L160" i="40"/>
  <c r="L189" i="40"/>
  <c r="L50" i="40"/>
  <c r="L163" i="40"/>
  <c r="L11" i="40"/>
  <c r="L43" i="40"/>
  <c r="L113" i="40"/>
  <c r="L203" i="40"/>
  <c r="L129" i="40"/>
  <c r="L46" i="40"/>
  <c r="L97" i="40"/>
  <c r="L193" i="40"/>
  <c r="L10" i="40"/>
  <c r="L37" i="40"/>
  <c r="L69" i="40"/>
  <c r="L25" i="40"/>
  <c r="L57" i="40"/>
  <c r="L106" i="40"/>
  <c r="L86" i="40"/>
  <c r="L139" i="40"/>
  <c r="L134" i="40"/>
  <c r="L29" i="40"/>
  <c r="L41" i="40"/>
  <c r="L27" i="40"/>
  <c r="L61" i="40"/>
  <c r="L112" i="40"/>
  <c r="L122" i="40"/>
  <c r="L166" i="40"/>
  <c r="L63" i="40"/>
  <c r="L44" i="40"/>
  <c r="L95" i="40"/>
  <c r="L39" i="40"/>
  <c r="L130" i="40"/>
  <c r="L102" i="40"/>
  <c r="L174" i="40"/>
  <c r="L178" i="40"/>
  <c r="L88" i="40"/>
  <c r="L81" i="40"/>
  <c r="L33" i="40"/>
  <c r="L23" i="40"/>
  <c r="L92" i="40"/>
  <c r="L118" i="40"/>
  <c r="L175" i="40"/>
  <c r="L109" i="40"/>
  <c r="L35" i="40"/>
  <c r="L145" i="40"/>
  <c r="L91" i="40"/>
  <c r="L104" i="40"/>
  <c r="L149" i="40"/>
  <c r="L183" i="40"/>
  <c r="L194" i="40"/>
  <c r="L100" i="40"/>
  <c r="L9" i="40"/>
  <c r="L96" i="40"/>
  <c r="L70" i="40"/>
  <c r="L180" i="40"/>
  <c r="I43" i="40"/>
  <c r="N39" i="40"/>
  <c r="L160" i="6"/>
  <c r="L86" i="6"/>
  <c r="L162" i="6"/>
  <c r="L38" i="6"/>
  <c r="M38" i="6" s="1"/>
  <c r="P38" i="6" s="1"/>
  <c r="L4" i="6"/>
  <c r="L60" i="6"/>
  <c r="L124" i="6"/>
  <c r="L152" i="6"/>
  <c r="L118" i="6"/>
  <c r="M83" i="6"/>
  <c r="P83" i="6" s="1"/>
  <c r="L183" i="6"/>
  <c r="M183" i="6" s="1"/>
  <c r="P183" i="6" s="1"/>
  <c r="L45" i="6"/>
  <c r="L25" i="6"/>
  <c r="L68" i="6"/>
  <c r="I15" i="40"/>
  <c r="I28" i="40"/>
  <c r="B195" i="33"/>
  <c r="B224" i="33"/>
  <c r="B197" i="33"/>
  <c r="B190" i="33"/>
  <c r="B200" i="33"/>
  <c r="B202" i="33"/>
  <c r="B203" i="33"/>
  <c r="B188" i="33"/>
  <c r="B205" i="33"/>
  <c r="B198" i="33"/>
  <c r="B216" i="33"/>
  <c r="B210" i="33"/>
  <c r="B211" i="33"/>
  <c r="B196" i="33"/>
  <c r="B206" i="33"/>
  <c r="B193" i="33"/>
  <c r="B218" i="33"/>
  <c r="B231" i="33"/>
  <c r="B213" i="33"/>
  <c r="I44" i="33"/>
  <c r="B219" i="33"/>
  <c r="B204" i="33"/>
  <c r="B221" i="33"/>
  <c r="B214" i="33"/>
  <c r="B201" i="33"/>
  <c r="B226" i="33"/>
  <c r="B227" i="33"/>
  <c r="B229" i="33"/>
  <c r="B209" i="33"/>
  <c r="B215" i="33"/>
  <c r="B186" i="33"/>
  <c r="B212" i="33"/>
  <c r="B222" i="33"/>
  <c r="H34" i="33"/>
  <c r="B228" i="33"/>
  <c r="B225" i="33"/>
  <c r="H40" i="33"/>
  <c r="B191" i="33"/>
  <c r="B220" i="33"/>
  <c r="B230" i="33"/>
  <c r="B199" i="33"/>
  <c r="B217" i="33"/>
  <c r="B207" i="33"/>
  <c r="B187" i="33"/>
  <c r="B208" i="33"/>
  <c r="B189" i="33"/>
  <c r="B223" i="33"/>
  <c r="B192" i="33"/>
  <c r="B194" i="33"/>
  <c r="H35" i="33"/>
  <c r="M14" i="6"/>
  <c r="P14" i="6" s="1"/>
  <c r="M17" i="6"/>
  <c r="P17" i="6" s="1"/>
  <c r="I37" i="33"/>
  <c r="L65" i="6"/>
  <c r="L51" i="6"/>
  <c r="L191" i="6"/>
  <c r="L117" i="6"/>
  <c r="M117" i="6" s="1"/>
  <c r="P117" i="6" s="1"/>
  <c r="L194" i="6"/>
  <c r="M194" i="6" s="1"/>
  <c r="P194" i="6" s="1"/>
  <c r="L123" i="6"/>
  <c r="L70" i="6"/>
  <c r="M70" i="6" s="1"/>
  <c r="P70" i="6" s="1"/>
  <c r="L19" i="6"/>
  <c r="L43" i="6"/>
  <c r="I38" i="33"/>
  <c r="L96" i="6"/>
  <c r="M96" i="6" s="1"/>
  <c r="P96" i="6" s="1"/>
  <c r="L195" i="6"/>
  <c r="M195" i="6" s="1"/>
  <c r="P195" i="6" s="1"/>
  <c r="L33" i="6"/>
  <c r="L92" i="6"/>
  <c r="M92" i="6" s="1"/>
  <c r="P92" i="6" s="1"/>
  <c r="L147" i="6"/>
  <c r="L35" i="6"/>
  <c r="L137" i="6"/>
  <c r="L31" i="6"/>
  <c r="L150" i="6"/>
  <c r="M150" i="6" s="1"/>
  <c r="P150" i="6" s="1"/>
  <c r="I17" i="26"/>
  <c r="L173" i="26" s="1"/>
  <c r="L104" i="6"/>
  <c r="L10" i="6"/>
  <c r="L41" i="6"/>
  <c r="L111" i="6"/>
  <c r="L72" i="6"/>
  <c r="L161" i="6"/>
  <c r="L55" i="6"/>
  <c r="M55" i="6" s="1"/>
  <c r="P55" i="6" s="1"/>
  <c r="L131" i="6"/>
  <c r="M131" i="6" s="1"/>
  <c r="P131" i="6" s="1"/>
  <c r="L74" i="6"/>
  <c r="L18" i="6"/>
  <c r="M18" i="6" s="1"/>
  <c r="P18" i="6" s="1"/>
  <c r="L95" i="6"/>
  <c r="L77" i="6"/>
  <c r="L187" i="6"/>
  <c r="L97" i="6"/>
  <c r="L142" i="6"/>
  <c r="M142" i="6" s="1"/>
  <c r="P142" i="6" s="1"/>
  <c r="M204" i="6"/>
  <c r="P204" i="6" s="1"/>
  <c r="I45" i="10"/>
  <c r="H37" i="10"/>
  <c r="L157" i="6"/>
  <c r="I21" i="6"/>
  <c r="L138" i="6"/>
  <c r="L30" i="6"/>
  <c r="M30" i="6" s="1"/>
  <c r="P30" i="6" s="1"/>
  <c r="L156" i="6"/>
  <c r="M156" i="6" s="1"/>
  <c r="P156" i="6" s="1"/>
  <c r="L32" i="6"/>
  <c r="L49" i="6"/>
  <c r="M49" i="6" s="1"/>
  <c r="P49" i="6" s="1"/>
  <c r="L151" i="6"/>
  <c r="L100" i="6"/>
  <c r="L135" i="6"/>
  <c r="L76" i="6"/>
  <c r="L26" i="6"/>
  <c r="M26" i="6" s="1"/>
  <c r="P26" i="6" s="1"/>
  <c r="L71" i="6"/>
  <c r="M71" i="6" s="1"/>
  <c r="P71" i="6" s="1"/>
  <c r="L180" i="6"/>
  <c r="L98" i="6"/>
  <c r="M98" i="6" s="1"/>
  <c r="P98" i="6" s="1"/>
  <c r="L61" i="6"/>
  <c r="L53" i="6"/>
  <c r="L67" i="6"/>
  <c r="L27" i="6"/>
  <c r="L200" i="6"/>
  <c r="M200" i="6" s="1"/>
  <c r="P200" i="6" s="1"/>
  <c r="L78" i="6"/>
  <c r="M78" i="6" s="1"/>
  <c r="P78" i="6" s="1"/>
  <c r="L174" i="6"/>
  <c r="L79" i="6"/>
  <c r="M79" i="6" s="1"/>
  <c r="P79" i="6" s="1"/>
  <c r="L176" i="6"/>
  <c r="L130" i="6"/>
  <c r="L7" i="6"/>
  <c r="L193" i="6"/>
  <c r="L120" i="6"/>
  <c r="M120" i="6" s="1"/>
  <c r="P120" i="6" s="1"/>
  <c r="L101" i="6"/>
  <c r="M101" i="6" s="1"/>
  <c r="P101" i="6" s="1"/>
  <c r="L186" i="6"/>
  <c r="L8" i="6"/>
  <c r="M8" i="6" s="1"/>
  <c r="P8" i="6" s="1"/>
  <c r="L81" i="6"/>
  <c r="L39" i="6"/>
  <c r="L153" i="6"/>
  <c r="L64" i="6"/>
  <c r="L46" i="6"/>
  <c r="L58" i="6"/>
  <c r="M58" i="6" s="1"/>
  <c r="P58" i="6" s="1"/>
  <c r="L5" i="6"/>
  <c r="L155" i="6"/>
  <c r="M155" i="6" s="1"/>
  <c r="P155" i="6" s="1"/>
  <c r="L37" i="6"/>
  <c r="L44" i="6"/>
  <c r="L57" i="6"/>
  <c r="L62" i="6"/>
  <c r="L139" i="6"/>
  <c r="M139" i="6" s="1"/>
  <c r="P139" i="6" s="1"/>
  <c r="N39" i="26"/>
  <c r="I43" i="26"/>
  <c r="H38" i="10"/>
  <c r="F28" i="3" s="1"/>
  <c r="M157" i="10"/>
  <c r="P157" i="10" s="1"/>
  <c r="M137" i="10"/>
  <c r="P137" i="10" s="1"/>
  <c r="M140" i="10"/>
  <c r="P140" i="10" s="1"/>
  <c r="M154" i="10"/>
  <c r="P154" i="10" s="1"/>
  <c r="M199" i="10"/>
  <c r="P199" i="10" s="1"/>
  <c r="M72" i="10"/>
  <c r="P72" i="10" s="1"/>
  <c r="M152" i="10"/>
  <c r="P152" i="10" s="1"/>
  <c r="K172" i="10"/>
  <c r="O172" i="10" s="1"/>
  <c r="M145" i="10"/>
  <c r="P145" i="10" s="1"/>
  <c r="K66" i="10"/>
  <c r="O66" i="10" s="1"/>
  <c r="K94" i="10"/>
  <c r="O94" i="10" s="1"/>
  <c r="M9" i="10"/>
  <c r="P9" i="10" s="1"/>
  <c r="K85" i="10"/>
  <c r="O85" i="10" s="1"/>
  <c r="M147" i="10"/>
  <c r="P147" i="10" s="1"/>
  <c r="K83" i="10"/>
  <c r="O83" i="10" s="1"/>
  <c r="M139" i="10"/>
  <c r="P139" i="10" s="1"/>
  <c r="K84" i="10"/>
  <c r="O84" i="10" s="1"/>
  <c r="K115" i="10"/>
  <c r="O115" i="10" s="1"/>
  <c r="M39" i="10"/>
  <c r="P39" i="10" s="1"/>
  <c r="M116" i="10"/>
  <c r="P116" i="10" s="1"/>
  <c r="M78" i="10"/>
  <c r="P78" i="10" s="1"/>
  <c r="M180" i="10"/>
  <c r="P180" i="10" s="1"/>
  <c r="M174" i="10"/>
  <c r="P174" i="10" s="1"/>
  <c r="M127" i="10"/>
  <c r="P127" i="10" s="1"/>
  <c r="M184" i="10"/>
  <c r="P184" i="10" s="1"/>
  <c r="M173" i="10"/>
  <c r="P173" i="10" s="1"/>
  <c r="M196" i="10"/>
  <c r="P196" i="10" s="1"/>
  <c r="M177" i="10"/>
  <c r="P177" i="10" s="1"/>
  <c r="K184" i="10"/>
  <c r="O184" i="10" s="1"/>
  <c r="K126" i="10"/>
  <c r="O126" i="10" s="1"/>
  <c r="K110" i="10"/>
  <c r="O110" i="10" s="1"/>
  <c r="M51" i="10"/>
  <c r="P51" i="10" s="1"/>
  <c r="K111" i="10"/>
  <c r="O111" i="10" s="1"/>
  <c r="M56" i="10"/>
  <c r="P56" i="10" s="1"/>
  <c r="K71" i="10"/>
  <c r="O71" i="10" s="1"/>
  <c r="K100" i="10"/>
  <c r="O100" i="10" s="1"/>
  <c r="M7" i="10"/>
  <c r="P7" i="10" s="1"/>
  <c r="K203" i="10"/>
  <c r="O203" i="10" s="1"/>
  <c r="M135" i="10"/>
  <c r="P135" i="10" s="1"/>
  <c r="M123" i="10"/>
  <c r="P123" i="10" s="1"/>
  <c r="M203" i="10"/>
  <c r="P203" i="10" s="1"/>
  <c r="K145" i="10"/>
  <c r="O145" i="10" s="1"/>
  <c r="K92" i="10"/>
  <c r="O92" i="10" s="1"/>
  <c r="K119" i="10"/>
  <c r="O119" i="10" s="1"/>
  <c r="K43" i="10"/>
  <c r="O43" i="10" s="1"/>
  <c r="M36" i="10"/>
  <c r="P36" i="10" s="1"/>
  <c r="K10" i="10"/>
  <c r="O10" i="10" s="1"/>
  <c r="K134" i="10"/>
  <c r="O134" i="10" s="1"/>
  <c r="M111" i="10"/>
  <c r="P111" i="10" s="1"/>
  <c r="M12" i="10"/>
  <c r="P12" i="10" s="1"/>
  <c r="K164" i="10"/>
  <c r="O164" i="10" s="1"/>
  <c r="K133" i="10"/>
  <c r="O133" i="10" s="1"/>
  <c r="M64" i="10"/>
  <c r="P64" i="10" s="1"/>
  <c r="M80" i="10"/>
  <c r="P80" i="10" s="1"/>
  <c r="K7" i="10"/>
  <c r="O7" i="10" s="1"/>
  <c r="K197" i="10"/>
  <c r="O197" i="10" s="1"/>
  <c r="K176" i="10"/>
  <c r="O176" i="10" s="1"/>
  <c r="K120" i="10"/>
  <c r="O120" i="10" s="1"/>
  <c r="K104" i="10"/>
  <c r="O104" i="10" s="1"/>
  <c r="K42" i="10"/>
  <c r="O42" i="10" s="1"/>
  <c r="K106" i="10"/>
  <c r="O106" i="10" s="1"/>
  <c r="K16" i="10"/>
  <c r="O16" i="10" s="1"/>
  <c r="M79" i="10"/>
  <c r="P79" i="10" s="1"/>
  <c r="K169" i="10"/>
  <c r="O169" i="10" s="1"/>
  <c r="M121" i="10"/>
  <c r="P121" i="10" s="1"/>
  <c r="M160" i="10"/>
  <c r="P160" i="10" s="1"/>
  <c r="K64" i="10"/>
  <c r="O64" i="10" s="1"/>
  <c r="K45" i="10"/>
  <c r="O45" i="10" s="1"/>
  <c r="K24" i="10"/>
  <c r="O24" i="10" s="1"/>
  <c r="M190" i="10"/>
  <c r="P190" i="10" s="1"/>
  <c r="K61" i="10"/>
  <c r="O61" i="10" s="1"/>
  <c r="K102" i="10"/>
  <c r="O102" i="10" s="1"/>
  <c r="K155" i="10"/>
  <c r="O155" i="10" s="1"/>
  <c r="K146" i="10"/>
  <c r="O146" i="10" s="1"/>
  <c r="M100" i="10"/>
  <c r="P100" i="10" s="1"/>
  <c r="M185" i="10"/>
  <c r="P185" i="10" s="1"/>
  <c r="M136" i="10"/>
  <c r="P136" i="10" s="1"/>
  <c r="M204" i="10"/>
  <c r="P204" i="10" s="1"/>
  <c r="M175" i="10"/>
  <c r="P175" i="10" s="1"/>
  <c r="M82" i="10"/>
  <c r="P82" i="10" s="1"/>
  <c r="K26" i="10"/>
  <c r="O26" i="10" s="1"/>
  <c r="K4" i="10"/>
  <c r="O4" i="10" s="1"/>
  <c r="K201" i="10"/>
  <c r="O201" i="10" s="1"/>
  <c r="M16" i="10"/>
  <c r="P16" i="10" s="1"/>
  <c r="K88" i="10"/>
  <c r="O88" i="10" s="1"/>
  <c r="K175" i="10"/>
  <c r="O175" i="10" s="1"/>
  <c r="M126" i="10"/>
  <c r="P126" i="10" s="1"/>
  <c r="M148" i="10"/>
  <c r="P148" i="10" s="1"/>
  <c r="M112" i="10"/>
  <c r="P112" i="10" s="1"/>
  <c r="M74" i="10"/>
  <c r="P74" i="10" s="1"/>
  <c r="M169" i="10"/>
  <c r="P169" i="10" s="1"/>
  <c r="M109" i="10"/>
  <c r="P109" i="10" s="1"/>
  <c r="K171" i="10"/>
  <c r="O171" i="10" s="1"/>
  <c r="K77" i="10"/>
  <c r="O77" i="10" s="1"/>
  <c r="K41" i="10"/>
  <c r="O41" i="10" s="1"/>
  <c r="K30" i="10"/>
  <c r="O30" i="10" s="1"/>
  <c r="K20" i="10"/>
  <c r="O20" i="10" s="1"/>
  <c r="M102" i="10"/>
  <c r="P102" i="10" s="1"/>
  <c r="K192" i="10"/>
  <c r="O192" i="10" s="1"/>
  <c r="K107" i="10"/>
  <c r="O107" i="10" s="1"/>
  <c r="K177" i="10"/>
  <c r="O177" i="10" s="1"/>
  <c r="K135" i="10"/>
  <c r="O135" i="10" s="1"/>
  <c r="M192" i="10"/>
  <c r="P192" i="10" s="1"/>
  <c r="K90" i="10"/>
  <c r="O90" i="10" s="1"/>
  <c r="K53" i="10"/>
  <c r="O53" i="10" s="1"/>
  <c r="M35" i="10"/>
  <c r="P35" i="10" s="1"/>
  <c r="M85" i="10"/>
  <c r="P85" i="10" s="1"/>
  <c r="K194" i="10"/>
  <c r="O194" i="10" s="1"/>
  <c r="K147" i="10"/>
  <c r="O147" i="10" s="1"/>
  <c r="K72" i="10"/>
  <c r="O72" i="10" s="1"/>
  <c r="K173" i="10"/>
  <c r="O173" i="10" s="1"/>
  <c r="M168" i="10"/>
  <c r="P168" i="10" s="1"/>
  <c r="K153" i="10"/>
  <c r="O153" i="10" s="1"/>
  <c r="M40" i="10"/>
  <c r="P40" i="10" s="1"/>
  <c r="K195" i="10"/>
  <c r="O195" i="10" s="1"/>
  <c r="M95" i="10"/>
  <c r="P95" i="10" s="1"/>
  <c r="M57" i="10"/>
  <c r="P57" i="10" s="1"/>
  <c r="M59" i="10"/>
  <c r="P59" i="10" s="1"/>
  <c r="M60" i="10"/>
  <c r="P60" i="10" s="1"/>
  <c r="K160" i="10"/>
  <c r="O160" i="10" s="1"/>
  <c r="K158" i="10"/>
  <c r="O158" i="10" s="1"/>
  <c r="K95" i="10"/>
  <c r="O95" i="10" s="1"/>
  <c r="M29" i="10"/>
  <c r="P29" i="10" s="1"/>
  <c r="K89" i="10"/>
  <c r="O89" i="10" s="1"/>
  <c r="M155" i="10"/>
  <c r="P155" i="10" s="1"/>
  <c r="K138" i="10"/>
  <c r="O138" i="10" s="1"/>
  <c r="M46" i="10"/>
  <c r="P46" i="10" s="1"/>
  <c r="K17" i="10"/>
  <c r="O17" i="10" s="1"/>
  <c r="K163" i="10"/>
  <c r="O163" i="10" s="1"/>
  <c r="M200" i="10"/>
  <c r="P200" i="10" s="1"/>
  <c r="K3" i="10"/>
  <c r="O3" i="10" s="1"/>
  <c r="K60" i="10"/>
  <c r="O60" i="10" s="1"/>
  <c r="K137" i="10"/>
  <c r="O137" i="10" s="1"/>
  <c r="K69" i="10"/>
  <c r="O69" i="10" s="1"/>
  <c r="M99" i="10"/>
  <c r="P99" i="10" s="1"/>
  <c r="M27" i="10"/>
  <c r="P27" i="10" s="1"/>
  <c r="K50" i="10"/>
  <c r="O50" i="10" s="1"/>
  <c r="K168" i="10"/>
  <c r="O168" i="10" s="1"/>
  <c r="K144" i="10"/>
  <c r="O144" i="10" s="1"/>
  <c r="K56" i="10"/>
  <c r="O56" i="10" s="1"/>
  <c r="M91" i="10"/>
  <c r="P91" i="10" s="1"/>
  <c r="M202" i="10"/>
  <c r="P202" i="10" s="1"/>
  <c r="K68" i="10"/>
  <c r="O68" i="10" s="1"/>
  <c r="K55" i="10"/>
  <c r="O55" i="10" s="1"/>
  <c r="K32" i="10"/>
  <c r="O32" i="10" s="1"/>
  <c r="K22" i="10"/>
  <c r="O22" i="10" s="1"/>
  <c r="I30" i="10"/>
  <c r="M81" i="10"/>
  <c r="P81" i="10" s="1"/>
  <c r="K199" i="10"/>
  <c r="O199" i="10" s="1"/>
  <c r="M142" i="10"/>
  <c r="P142" i="10" s="1"/>
  <c r="K118" i="10"/>
  <c r="O118" i="10" s="1"/>
  <c r="K48" i="10"/>
  <c r="O48" i="10" s="1"/>
  <c r="K62" i="10"/>
  <c r="O62" i="10" s="1"/>
  <c r="K11" i="10"/>
  <c r="O11" i="10" s="1"/>
  <c r="M122" i="10"/>
  <c r="P122" i="10" s="1"/>
  <c r="K141" i="10"/>
  <c r="O141" i="10" s="1"/>
  <c r="M170" i="10"/>
  <c r="P170" i="10" s="1"/>
  <c r="M156" i="10"/>
  <c r="P156" i="10" s="1"/>
  <c r="M187" i="10"/>
  <c r="P187" i="10" s="1"/>
  <c r="M146" i="10"/>
  <c r="P146" i="10" s="1"/>
  <c r="K47" i="10"/>
  <c r="O47" i="10" s="1"/>
  <c r="M34" i="10"/>
  <c r="P34" i="10" s="1"/>
  <c r="M14" i="10"/>
  <c r="P14" i="10" s="1"/>
  <c r="K142" i="10"/>
  <c r="O142" i="10" s="1"/>
  <c r="M134" i="10"/>
  <c r="P134" i="10" s="1"/>
  <c r="M30" i="10"/>
  <c r="P30" i="10" s="1"/>
  <c r="K93" i="10"/>
  <c r="O93" i="10" s="1"/>
  <c r="M20" i="10"/>
  <c r="P20" i="10" s="1"/>
  <c r="K193" i="10"/>
  <c r="O193" i="10" s="1"/>
  <c r="M89" i="10"/>
  <c r="P89" i="10" s="1"/>
  <c r="K143" i="10"/>
  <c r="O143" i="10" s="1"/>
  <c r="M198" i="10"/>
  <c r="P198" i="10" s="1"/>
  <c r="M92" i="10"/>
  <c r="P92" i="10" s="1"/>
  <c r="M178" i="10"/>
  <c r="P178" i="10" s="1"/>
  <c r="M108" i="10"/>
  <c r="P108" i="10" s="1"/>
  <c r="K182" i="10"/>
  <c r="O182" i="10" s="1"/>
  <c r="M84" i="10"/>
  <c r="P84" i="10" s="1"/>
  <c r="K70" i="10"/>
  <c r="O70" i="10" s="1"/>
  <c r="M98" i="10"/>
  <c r="P98" i="10" s="1"/>
  <c r="M67" i="10"/>
  <c r="P67" i="10" s="1"/>
  <c r="K23" i="10"/>
  <c r="O23" i="10" s="1"/>
  <c r="M49" i="10"/>
  <c r="P49" i="10" s="1"/>
  <c r="K191" i="10"/>
  <c r="O191" i="10" s="1"/>
  <c r="M128" i="10"/>
  <c r="P128" i="10" s="1"/>
  <c r="M162" i="10"/>
  <c r="P162" i="10" s="1"/>
  <c r="K109" i="10"/>
  <c r="O109" i="10" s="1"/>
  <c r="M55" i="10"/>
  <c r="P55" i="10" s="1"/>
  <c r="K180" i="10"/>
  <c r="O180" i="10" s="1"/>
  <c r="K123" i="10"/>
  <c r="O123" i="10" s="1"/>
  <c r="K49" i="10"/>
  <c r="O49" i="10" s="1"/>
  <c r="M153" i="10"/>
  <c r="P153" i="10" s="1"/>
  <c r="K91" i="10"/>
  <c r="O91" i="10" s="1"/>
  <c r="M197" i="10"/>
  <c r="P197" i="10" s="1"/>
  <c r="K130" i="10"/>
  <c r="O130" i="10" s="1"/>
  <c r="M76" i="10"/>
  <c r="P76" i="10" s="1"/>
  <c r="M73" i="10"/>
  <c r="P73" i="10" s="1"/>
  <c r="M25" i="10"/>
  <c r="P25" i="10" s="1"/>
  <c r="M131" i="10"/>
  <c r="P131" i="10" s="1"/>
  <c r="M63" i="10"/>
  <c r="P63" i="10" s="1"/>
  <c r="K97" i="10"/>
  <c r="O97" i="10" s="1"/>
  <c r="M23" i="10"/>
  <c r="P23" i="10" s="1"/>
  <c r="M163" i="10"/>
  <c r="P163" i="10" s="1"/>
  <c r="M133" i="10"/>
  <c r="P133" i="10" s="1"/>
  <c r="M50" i="10"/>
  <c r="P50" i="10" s="1"/>
  <c r="M41" i="10"/>
  <c r="P41" i="10" s="1"/>
  <c r="M194" i="10"/>
  <c r="P194" i="10" s="1"/>
  <c r="M5" i="10"/>
  <c r="P5" i="10" s="1"/>
  <c r="M77" i="10"/>
  <c r="P77" i="10" s="1"/>
  <c r="K200" i="10"/>
  <c r="O200" i="10" s="1"/>
  <c r="M149" i="10"/>
  <c r="P149" i="10" s="1"/>
  <c r="M125" i="10"/>
  <c r="P125" i="10" s="1"/>
  <c r="K81" i="10"/>
  <c r="O81" i="10" s="1"/>
  <c r="K31" i="10"/>
  <c r="O31" i="10" s="1"/>
  <c r="K98" i="10"/>
  <c r="O98" i="10" s="1"/>
  <c r="M183" i="10"/>
  <c r="P183" i="10" s="1"/>
  <c r="M105" i="10"/>
  <c r="P105" i="10" s="1"/>
  <c r="M37" i="10"/>
  <c r="P37" i="10" s="1"/>
  <c r="K38" i="10"/>
  <c r="O38" i="10" s="1"/>
  <c r="K127" i="10"/>
  <c r="O127" i="10" s="1"/>
  <c r="I31" i="10"/>
  <c r="M83" i="10"/>
  <c r="P83" i="10" s="1"/>
  <c r="M182" i="10"/>
  <c r="P182" i="10" s="1"/>
  <c r="M159" i="10"/>
  <c r="P159" i="10" s="1"/>
  <c r="K151" i="10"/>
  <c r="O151" i="10" s="1"/>
  <c r="M28" i="10"/>
  <c r="P28" i="10" s="1"/>
  <c r="M75" i="10"/>
  <c r="P75" i="10" s="1"/>
  <c r="M3" i="10"/>
  <c r="P3" i="10" s="1"/>
  <c r="M42" i="10"/>
  <c r="P42" i="10" s="1"/>
  <c r="M94" i="10"/>
  <c r="P94" i="10" s="1"/>
  <c r="K125" i="10"/>
  <c r="O125" i="10" s="1"/>
  <c r="K190" i="10"/>
  <c r="O190" i="10" s="1"/>
  <c r="K187" i="10"/>
  <c r="O187" i="10" s="1"/>
  <c r="M144" i="10"/>
  <c r="P144" i="10" s="1"/>
  <c r="M86" i="10"/>
  <c r="P86" i="10" s="1"/>
  <c r="K165" i="10"/>
  <c r="O165" i="10" s="1"/>
  <c r="K5" i="10"/>
  <c r="O5" i="10" s="1"/>
  <c r="M110" i="10"/>
  <c r="P110" i="10" s="1"/>
  <c r="K157" i="10"/>
  <c r="O157" i="10" s="1"/>
  <c r="M191" i="10"/>
  <c r="P191" i="10" s="1"/>
  <c r="K14" i="10"/>
  <c r="O14" i="10" s="1"/>
  <c r="M43" i="10"/>
  <c r="P43" i="10" s="1"/>
  <c r="K204" i="10"/>
  <c r="O204" i="10" s="1"/>
  <c r="M8" i="10"/>
  <c r="P8" i="10" s="1"/>
  <c r="K186" i="10"/>
  <c r="O186" i="10" s="1"/>
  <c r="K129" i="10"/>
  <c r="O129" i="10" s="1"/>
  <c r="K152" i="10"/>
  <c r="O152" i="10" s="1"/>
  <c r="M96" i="10"/>
  <c r="P96" i="10" s="1"/>
  <c r="M2" i="10"/>
  <c r="P2" i="10" s="1"/>
  <c r="M165" i="10"/>
  <c r="P165" i="10" s="1"/>
  <c r="K79" i="10"/>
  <c r="O79" i="10" s="1"/>
  <c r="M24" i="10"/>
  <c r="P24" i="10" s="1"/>
  <c r="M69" i="10"/>
  <c r="P69" i="10" s="1"/>
  <c r="M104" i="10"/>
  <c r="P104" i="10" s="1"/>
  <c r="K67" i="10"/>
  <c r="O67" i="10" s="1"/>
  <c r="M17" i="10"/>
  <c r="P17" i="10" s="1"/>
  <c r="M54" i="10"/>
  <c r="P54" i="10" s="1"/>
  <c r="K156" i="10"/>
  <c r="O156" i="10" s="1"/>
  <c r="K174" i="10"/>
  <c r="O174" i="10" s="1"/>
  <c r="M65" i="10"/>
  <c r="P65" i="10" s="1"/>
  <c r="K54" i="10"/>
  <c r="O54" i="10" s="1"/>
  <c r="K122" i="10"/>
  <c r="O122" i="10" s="1"/>
  <c r="K196" i="10"/>
  <c r="O196" i="10" s="1"/>
  <c r="K139" i="10"/>
  <c r="O139" i="10" s="1"/>
  <c r="K37" i="10"/>
  <c r="O37" i="10" s="1"/>
  <c r="K6" i="10"/>
  <c r="O6" i="10" s="1"/>
  <c r="K178" i="10"/>
  <c r="O178" i="10" s="1"/>
  <c r="M119" i="10"/>
  <c r="P119" i="10" s="1"/>
  <c r="K58" i="10"/>
  <c r="O58" i="10" s="1"/>
  <c r="K19" i="10"/>
  <c r="O19" i="10" s="1"/>
  <c r="K149" i="10"/>
  <c r="O149" i="10" s="1"/>
  <c r="K113" i="10"/>
  <c r="O113" i="10" s="1"/>
  <c r="K27" i="10"/>
  <c r="O27" i="10" s="1"/>
  <c r="K161" i="10"/>
  <c r="O161" i="10" s="1"/>
  <c r="K117" i="10"/>
  <c r="O117" i="10" s="1"/>
  <c r="M143" i="10"/>
  <c r="P143" i="10" s="1"/>
  <c r="M52" i="10"/>
  <c r="P52" i="10" s="1"/>
  <c r="K40" i="10"/>
  <c r="O40" i="10" s="1"/>
  <c r="M18" i="10"/>
  <c r="P18" i="10" s="1"/>
  <c r="M117" i="10"/>
  <c r="P117" i="10" s="1"/>
  <c r="M44" i="10"/>
  <c r="P44" i="10" s="1"/>
  <c r="M179" i="10"/>
  <c r="P179" i="10" s="1"/>
  <c r="M186" i="10"/>
  <c r="P186" i="10" s="1"/>
  <c r="M120" i="10"/>
  <c r="P120" i="10" s="1"/>
  <c r="M62" i="10"/>
  <c r="P62" i="10" s="1"/>
  <c r="M193" i="10"/>
  <c r="P193" i="10" s="1"/>
  <c r="K128" i="10"/>
  <c r="O128" i="10" s="1"/>
  <c r="M151" i="10"/>
  <c r="P151" i="10" s="1"/>
  <c r="M158" i="10"/>
  <c r="P158" i="10" s="1"/>
  <c r="K167" i="10"/>
  <c r="O167" i="10" s="1"/>
  <c r="M167" i="10"/>
  <c r="P167" i="10" s="1"/>
  <c r="M141" i="10"/>
  <c r="P141" i="10" s="1"/>
  <c r="K183" i="10"/>
  <c r="O183" i="10" s="1"/>
  <c r="K75" i="10"/>
  <c r="O75" i="10" s="1"/>
  <c r="K46" i="10"/>
  <c r="O46" i="10" s="1"/>
  <c r="K52" i="10"/>
  <c r="O52" i="10" s="1"/>
  <c r="M71" i="10"/>
  <c r="P71" i="10" s="1"/>
  <c r="K29" i="10"/>
  <c r="O29" i="10" s="1"/>
  <c r="M22" i="10"/>
  <c r="P22" i="10" s="1"/>
  <c r="K12" i="10"/>
  <c r="O12" i="10" s="1"/>
  <c r="K124" i="10"/>
  <c r="O124" i="10" s="1"/>
  <c r="M107" i="10"/>
  <c r="P107" i="10" s="1"/>
  <c r="K28" i="10"/>
  <c r="O28" i="10" s="1"/>
  <c r="M10" i="10"/>
  <c r="P10" i="10" s="1"/>
  <c r="K57" i="10"/>
  <c r="O57" i="10" s="1"/>
  <c r="M150" i="10"/>
  <c r="P150" i="10" s="1"/>
  <c r="M97" i="10"/>
  <c r="P97" i="10" s="1"/>
  <c r="K112" i="10"/>
  <c r="O112" i="10" s="1"/>
  <c r="M19" i="10"/>
  <c r="P19" i="10" s="1"/>
  <c r="M189" i="10"/>
  <c r="P189" i="10" s="1"/>
  <c r="K136" i="10"/>
  <c r="O136" i="10" s="1"/>
  <c r="K36" i="10"/>
  <c r="O36" i="10" s="1"/>
  <c r="I32" i="10"/>
  <c r="K166" i="10"/>
  <c r="O166" i="10" s="1"/>
  <c r="K179" i="10"/>
  <c r="O179" i="10" s="1"/>
  <c r="K114" i="10"/>
  <c r="O114" i="10" s="1"/>
  <c r="K121" i="10"/>
  <c r="O121" i="10" s="1"/>
  <c r="K96" i="10"/>
  <c r="O96" i="10" s="1"/>
  <c r="M32" i="10"/>
  <c r="P32" i="10" s="1"/>
  <c r="K18" i="10"/>
  <c r="O18" i="10" s="1"/>
  <c r="K13" i="10"/>
  <c r="O13" i="10" s="1"/>
  <c r="M88" i="10"/>
  <c r="P88" i="10" s="1"/>
  <c r="K76" i="10"/>
  <c r="O76" i="10" s="1"/>
  <c r="K51" i="10"/>
  <c r="O51" i="10" s="1"/>
  <c r="K185" i="10"/>
  <c r="O185" i="10" s="1"/>
  <c r="K131" i="10"/>
  <c r="O131" i="10" s="1"/>
  <c r="M181" i="10"/>
  <c r="P181" i="10" s="1"/>
  <c r="K25" i="10"/>
  <c r="O25" i="10" s="1"/>
  <c r="M106" i="10"/>
  <c r="P106" i="10" s="1"/>
  <c r="K44" i="10"/>
  <c r="O44" i="10" s="1"/>
  <c r="M4" i="10"/>
  <c r="P4" i="10" s="1"/>
  <c r="M48" i="10"/>
  <c r="P48" i="10" s="1"/>
  <c r="M124" i="10"/>
  <c r="P124" i="10" s="1"/>
  <c r="K63" i="10"/>
  <c r="O63" i="10" s="1"/>
  <c r="K78" i="10"/>
  <c r="O78" i="10" s="1"/>
  <c r="K34" i="10"/>
  <c r="O34" i="10" s="1"/>
  <c r="M6" i="10"/>
  <c r="P6" i="10" s="1"/>
  <c r="K181" i="10"/>
  <c r="O181" i="10" s="1"/>
  <c r="K105" i="10"/>
  <c r="O105" i="10" s="1"/>
  <c r="K21" i="10"/>
  <c r="O21" i="10" s="1"/>
  <c r="K8" i="10"/>
  <c r="O8" i="10" s="1"/>
  <c r="K148" i="10"/>
  <c r="O148" i="10" s="1"/>
  <c r="K150" i="10"/>
  <c r="O150" i="10" s="1"/>
  <c r="M101" i="10"/>
  <c r="P101" i="10" s="1"/>
  <c r="M13" i="10"/>
  <c r="P13" i="10" s="1"/>
  <c r="M90" i="10"/>
  <c r="P90" i="10" s="1"/>
  <c r="M138" i="10"/>
  <c r="P138" i="10" s="1"/>
  <c r="M38" i="10"/>
  <c r="P38" i="10" s="1"/>
  <c r="M172" i="10"/>
  <c r="P172" i="10" s="1"/>
  <c r="M130" i="10"/>
  <c r="P130" i="10" s="1"/>
  <c r="M93" i="10"/>
  <c r="P93" i="10" s="1"/>
  <c r="K99" i="10"/>
  <c r="O99" i="10" s="1"/>
  <c r="M15" i="10"/>
  <c r="P15" i="10" s="1"/>
  <c r="K170" i="10"/>
  <c r="O170" i="10" s="1"/>
  <c r="K82" i="10"/>
  <c r="O82" i="10" s="1"/>
  <c r="K15" i="10"/>
  <c r="O15" i="10" s="1"/>
  <c r="M195" i="10"/>
  <c r="P195" i="10" s="1"/>
  <c r="M176" i="10"/>
  <c r="P176" i="10" s="1"/>
  <c r="M201" i="10"/>
  <c r="P201" i="10" s="1"/>
  <c r="K162" i="10"/>
  <c r="O162" i="10" s="1"/>
  <c r="K80" i="10"/>
  <c r="O80" i="10" s="1"/>
  <c r="M115" i="10"/>
  <c r="P115" i="10" s="1"/>
  <c r="K39" i="10"/>
  <c r="O39" i="10" s="1"/>
  <c r="K116" i="10"/>
  <c r="O116" i="10" s="1"/>
  <c r="M11" i="10"/>
  <c r="P11" i="10" s="1"/>
  <c r="M53" i="10"/>
  <c r="P53" i="10" s="1"/>
  <c r="K189" i="10"/>
  <c r="O189" i="10" s="1"/>
  <c r="M87" i="10"/>
  <c r="P87" i="10" s="1"/>
  <c r="M26" i="10"/>
  <c r="P26" i="10" s="1"/>
  <c r="K59" i="10"/>
  <c r="O59" i="10" s="1"/>
  <c r="M61" i="10"/>
  <c r="P61" i="10" s="1"/>
  <c r="K132" i="10"/>
  <c r="O132" i="10" s="1"/>
  <c r="K74" i="10"/>
  <c r="O74" i="10" s="1"/>
  <c r="M31" i="10"/>
  <c r="P31" i="10" s="1"/>
  <c r="K202" i="10"/>
  <c r="O202" i="10" s="1"/>
  <c r="K73" i="10"/>
  <c r="O73" i="10" s="1"/>
  <c r="K35" i="10"/>
  <c r="O35" i="10" s="1"/>
  <c r="K140" i="10"/>
  <c r="O140" i="10" s="1"/>
  <c r="M171" i="10"/>
  <c r="P171" i="10" s="1"/>
  <c r="K101" i="10"/>
  <c r="O101" i="10" s="1"/>
  <c r="M58" i="10"/>
  <c r="P58" i="10" s="1"/>
  <c r="M47" i="10"/>
  <c r="P47" i="10" s="1"/>
  <c r="K87" i="10"/>
  <c r="O87" i="10" s="1"/>
  <c r="K159" i="10"/>
  <c r="O159" i="10" s="1"/>
  <c r="M70" i="10"/>
  <c r="P70" i="10" s="1"/>
  <c r="M132" i="10"/>
  <c r="P132" i="10" s="1"/>
  <c r="M33" i="10"/>
  <c r="P33" i="10" s="1"/>
  <c r="K65" i="10"/>
  <c r="O65" i="10" s="1"/>
  <c r="M118" i="10"/>
  <c r="P118" i="10" s="1"/>
  <c r="K108" i="10"/>
  <c r="O108" i="10" s="1"/>
  <c r="M68" i="10"/>
  <c r="P68" i="10" s="1"/>
  <c r="K9" i="10"/>
  <c r="O9" i="10" s="1"/>
  <c r="M45" i="10"/>
  <c r="P45" i="10" s="1"/>
  <c r="K154" i="10"/>
  <c r="O154" i="10" s="1"/>
  <c r="M66" i="10"/>
  <c r="P66" i="10" s="1"/>
  <c r="K188" i="10"/>
  <c r="O188" i="10" s="1"/>
  <c r="K198" i="10"/>
  <c r="O198" i="10" s="1"/>
  <c r="K86" i="10"/>
  <c r="O86" i="10" s="1"/>
  <c r="M129" i="10"/>
  <c r="P129" i="10" s="1"/>
  <c r="K33" i="10"/>
  <c r="O33" i="10" s="1"/>
  <c r="M114" i="10"/>
  <c r="P114" i="10" s="1"/>
  <c r="M164" i="10"/>
  <c r="P164" i="10" s="1"/>
  <c r="M113" i="10"/>
  <c r="P113" i="10" s="1"/>
  <c r="M188" i="10"/>
  <c r="P188" i="10" s="1"/>
  <c r="M21" i="10"/>
  <c r="P21" i="10" s="1"/>
  <c r="M161" i="10"/>
  <c r="P161" i="10" s="1"/>
  <c r="K2" i="10"/>
  <c r="O2" i="10" s="1"/>
  <c r="M166" i="10"/>
  <c r="P166" i="10" s="1"/>
  <c r="L136" i="6"/>
  <c r="L21" i="6"/>
  <c r="L159" i="6"/>
  <c r="L102" i="6"/>
  <c r="L129" i="6"/>
  <c r="L203" i="6"/>
  <c r="M203" i="6" s="1"/>
  <c r="P203" i="6" s="1"/>
  <c r="L125" i="6"/>
  <c r="M125" i="6" s="1"/>
  <c r="P125" i="6" s="1"/>
  <c r="L2" i="6"/>
  <c r="L134" i="6"/>
  <c r="M134" i="6" s="1"/>
  <c r="P134" i="6" s="1"/>
  <c r="L202" i="6"/>
  <c r="L29" i="6"/>
  <c r="L84" i="6"/>
  <c r="L144" i="6"/>
  <c r="L16" i="6"/>
  <c r="L94" i="6"/>
  <c r="M94" i="6" s="1"/>
  <c r="P94" i="6" s="1"/>
  <c r="L88" i="6"/>
  <c r="L3" i="6"/>
  <c r="M3" i="6" s="1"/>
  <c r="P3" i="6" s="1"/>
  <c r="L20" i="6"/>
  <c r="L196" i="6"/>
  <c r="L109" i="6"/>
  <c r="L113" i="6"/>
  <c r="L165" i="6"/>
  <c r="M165" i="6" s="1"/>
  <c r="P165" i="6" s="1"/>
  <c r="N39" i="39"/>
  <c r="I43" i="39"/>
  <c r="I22" i="6"/>
  <c r="I30" i="6" s="1"/>
  <c r="L22" i="6"/>
  <c r="L56" i="6"/>
  <c r="L197" i="6"/>
  <c r="L6" i="6"/>
  <c r="L73" i="6"/>
  <c r="M73" i="6" s="1"/>
  <c r="P73" i="6" s="1"/>
  <c r="L89" i="6"/>
  <c r="M89" i="6" s="1"/>
  <c r="P89" i="6" s="1"/>
  <c r="L9" i="6"/>
  <c r="L40" i="6"/>
  <c r="L93" i="6"/>
  <c r="L69" i="6"/>
  <c r="L182" i="6"/>
  <c r="L122" i="6"/>
  <c r="L42" i="6"/>
  <c r="L172" i="6"/>
  <c r="M172" i="6" s="1"/>
  <c r="P172" i="6" s="1"/>
  <c r="L167" i="6"/>
  <c r="L192" i="6"/>
  <c r="L164" i="6"/>
  <c r="L116" i="6"/>
  <c r="L177" i="6"/>
  <c r="L50" i="6"/>
  <c r="L13" i="6"/>
  <c r="M13" i="6" s="1"/>
  <c r="P13" i="6" s="1"/>
  <c r="L185" i="6"/>
  <c r="I17" i="39"/>
  <c r="L186" i="39" s="1"/>
  <c r="I13" i="26"/>
  <c r="L107" i="6"/>
  <c r="L179" i="6"/>
  <c r="L149" i="6"/>
  <c r="L91" i="6"/>
  <c r="M91" i="6" s="1"/>
  <c r="P91" i="6" s="1"/>
  <c r="L82" i="6"/>
  <c r="L141" i="6"/>
  <c r="L34" i="6"/>
  <c r="L54" i="6"/>
  <c r="L143" i="6"/>
  <c r="L146" i="6"/>
  <c r="L128" i="6"/>
  <c r="L145" i="6"/>
  <c r="M145" i="6" s="1"/>
  <c r="P145" i="6" s="1"/>
  <c r="L190" i="6"/>
  <c r="L66" i="6"/>
  <c r="M66" i="6" s="1"/>
  <c r="P66" i="6" s="1"/>
  <c r="L181" i="6"/>
  <c r="L121" i="6"/>
  <c r="L63" i="6"/>
  <c r="L184" i="6"/>
  <c r="L15" i="6"/>
  <c r="L90" i="6"/>
  <c r="M90" i="6" s="1"/>
  <c r="P90" i="6" s="1"/>
  <c r="L85" i="6"/>
  <c r="L175" i="6"/>
  <c r="M175" i="6" s="1"/>
  <c r="P175" i="6" s="1"/>
  <c r="L28" i="6"/>
  <c r="K67" i="6"/>
  <c r="O67" i="6" s="1"/>
  <c r="K147" i="6"/>
  <c r="O147" i="6" s="1"/>
  <c r="K199" i="6"/>
  <c r="O199" i="6" s="1"/>
  <c r="K52" i="6"/>
  <c r="O52" i="6" s="1"/>
  <c r="M181" i="6"/>
  <c r="P181" i="6" s="1"/>
  <c r="K96" i="6"/>
  <c r="O96" i="6" s="1"/>
  <c r="K62" i="6"/>
  <c r="O62" i="6" s="1"/>
  <c r="K169" i="6"/>
  <c r="O169" i="6" s="1"/>
  <c r="K109" i="6"/>
  <c r="O109" i="6" s="1"/>
  <c r="K193" i="6"/>
  <c r="O193" i="6" s="1"/>
  <c r="K106" i="6"/>
  <c r="O106" i="6" s="1"/>
  <c r="K111" i="6"/>
  <c r="O111" i="6" s="1"/>
  <c r="K94" i="6"/>
  <c r="O94" i="6" s="1"/>
  <c r="I31" i="6"/>
  <c r="K112" i="6"/>
  <c r="O112" i="6" s="1"/>
  <c r="K95" i="6"/>
  <c r="O95" i="6" s="1"/>
  <c r="K54" i="6"/>
  <c r="O54" i="6" s="1"/>
  <c r="K204" i="6"/>
  <c r="O204" i="6" s="1"/>
  <c r="K121" i="6"/>
  <c r="O121" i="6" s="1"/>
  <c r="K90" i="6"/>
  <c r="O90" i="6" s="1"/>
  <c r="K152" i="6"/>
  <c r="O152" i="6" s="1"/>
  <c r="K107" i="6"/>
  <c r="O107" i="6" s="1"/>
  <c r="K57" i="6"/>
  <c r="O57" i="6" s="1"/>
  <c r="K97" i="6"/>
  <c r="O97" i="6" s="1"/>
  <c r="K116" i="6"/>
  <c r="O116" i="6" s="1"/>
  <c r="K182" i="6"/>
  <c r="O182" i="6" s="1"/>
  <c r="K140" i="6"/>
  <c r="O140" i="6" s="1"/>
  <c r="K42" i="6"/>
  <c r="O42" i="6" s="1"/>
  <c r="K25" i="6"/>
  <c r="O25" i="6" s="1"/>
  <c r="K28" i="6"/>
  <c r="O28" i="6" s="1"/>
  <c r="K5" i="6"/>
  <c r="O5" i="6" s="1"/>
  <c r="K146" i="6"/>
  <c r="O146" i="6" s="1"/>
  <c r="K76" i="6"/>
  <c r="O76" i="6" s="1"/>
  <c r="K115" i="6"/>
  <c r="O115" i="6" s="1"/>
  <c r="K181" i="6"/>
  <c r="O181" i="6" s="1"/>
  <c r="K122" i="6"/>
  <c r="O122" i="6" s="1"/>
  <c r="K202" i="6"/>
  <c r="O202" i="6" s="1"/>
  <c r="K194" i="6"/>
  <c r="O194" i="6" s="1"/>
  <c r="K58" i="6"/>
  <c r="O58" i="6" s="1"/>
  <c r="K3" i="6"/>
  <c r="O3" i="6" s="1"/>
  <c r="K134" i="6"/>
  <c r="O134" i="6" s="1"/>
  <c r="K167" i="6"/>
  <c r="O167" i="6" s="1"/>
  <c r="K40" i="6"/>
  <c r="O40" i="6" s="1"/>
  <c r="K35" i="6"/>
  <c r="O35" i="6" s="1"/>
  <c r="K183" i="6"/>
  <c r="O183" i="6" s="1"/>
  <c r="K17" i="6"/>
  <c r="O17" i="6" s="1"/>
  <c r="K159" i="6"/>
  <c r="O159" i="6" s="1"/>
  <c r="K145" i="6"/>
  <c r="O145" i="6" s="1"/>
  <c r="K63" i="6"/>
  <c r="O63" i="6" s="1"/>
  <c r="K200" i="6"/>
  <c r="O200" i="6" s="1"/>
  <c r="K98" i="6"/>
  <c r="O98" i="6" s="1"/>
  <c r="K162" i="6"/>
  <c r="O162" i="6" s="1"/>
  <c r="K170" i="6"/>
  <c r="O170" i="6" s="1"/>
  <c r="K133" i="6"/>
  <c r="O133" i="6" s="1"/>
  <c r="K174" i="6"/>
  <c r="O174" i="6" s="1"/>
  <c r="K132" i="6"/>
  <c r="O132" i="6" s="1"/>
  <c r="K43" i="6"/>
  <c r="O43" i="6" s="1"/>
  <c r="K73" i="6"/>
  <c r="O73" i="6" s="1"/>
  <c r="K135" i="6"/>
  <c r="O135" i="6" s="1"/>
  <c r="K125" i="6"/>
  <c r="O125" i="6" s="1"/>
  <c r="K161" i="6"/>
  <c r="O161" i="6" s="1"/>
  <c r="K149" i="6"/>
  <c r="O149" i="6" s="1"/>
  <c r="K124" i="6"/>
  <c r="O124" i="6" s="1"/>
  <c r="K75" i="6"/>
  <c r="O75" i="6" s="1"/>
  <c r="K22" i="6"/>
  <c r="O22" i="6" s="1"/>
  <c r="K71" i="6"/>
  <c r="O71" i="6" s="1"/>
  <c r="K14" i="6"/>
  <c r="O14" i="6" s="1"/>
  <c r="K154" i="6"/>
  <c r="O154" i="6" s="1"/>
  <c r="K99" i="6"/>
  <c r="O99" i="6" s="1"/>
  <c r="K72" i="6"/>
  <c r="O72" i="6" s="1"/>
  <c r="K142" i="6"/>
  <c r="O142" i="6" s="1"/>
  <c r="K126" i="6"/>
  <c r="O126" i="6" s="1"/>
  <c r="K168" i="6"/>
  <c r="O168" i="6" s="1"/>
  <c r="K118" i="6"/>
  <c r="O118" i="6" s="1"/>
  <c r="K165" i="6"/>
  <c r="O165" i="6" s="1"/>
  <c r="K173" i="6"/>
  <c r="O173" i="6" s="1"/>
  <c r="K83" i="6"/>
  <c r="O83" i="6" s="1"/>
  <c r="K53" i="6"/>
  <c r="O53" i="6" s="1"/>
  <c r="K178" i="6"/>
  <c r="O178" i="6" s="1"/>
  <c r="K29" i="6"/>
  <c r="O29" i="6" s="1"/>
  <c r="K86" i="6"/>
  <c r="O86" i="6" s="1"/>
  <c r="K68" i="6"/>
  <c r="O68" i="6" s="1"/>
  <c r="M123" i="6"/>
  <c r="P123" i="6" s="1"/>
  <c r="M51" i="6"/>
  <c r="P51" i="6" s="1"/>
  <c r="M201" i="6"/>
  <c r="P201" i="6" s="1"/>
  <c r="M81" i="6"/>
  <c r="P81" i="6" s="1"/>
  <c r="M124" i="6"/>
  <c r="P124" i="6" s="1"/>
  <c r="M128" i="6"/>
  <c r="P128" i="6" s="1"/>
  <c r="M2" i="6"/>
  <c r="P2" i="6" s="1"/>
  <c r="M187" i="6"/>
  <c r="P187" i="6" s="1"/>
  <c r="M24" i="6"/>
  <c r="P24" i="6" s="1"/>
  <c r="M168" i="6"/>
  <c r="P168" i="6" s="1"/>
  <c r="M15" i="6"/>
  <c r="P15" i="6" s="1"/>
  <c r="M162" i="6"/>
  <c r="P162" i="6" s="1"/>
  <c r="M143" i="6"/>
  <c r="P143" i="6" s="1"/>
  <c r="M202" i="6"/>
  <c r="P202" i="6" s="1"/>
  <c r="M192" i="6"/>
  <c r="P192" i="6" s="1"/>
  <c r="M137" i="6"/>
  <c r="P137" i="6" s="1"/>
  <c r="M118" i="6"/>
  <c r="P118" i="6" s="1"/>
  <c r="M104" i="6"/>
  <c r="P104" i="6" s="1"/>
  <c r="M173" i="6"/>
  <c r="P173" i="6" s="1"/>
  <c r="M4" i="6"/>
  <c r="P4" i="6" s="1"/>
  <c r="M147" i="6"/>
  <c r="P147" i="6" s="1"/>
  <c r="M21" i="6"/>
  <c r="P21" i="6" s="1"/>
  <c r="M37" i="6"/>
  <c r="P37" i="6" s="1"/>
  <c r="M152" i="6"/>
  <c r="P152" i="6" s="1"/>
  <c r="M170" i="6"/>
  <c r="P170" i="6" s="1"/>
  <c r="I15" i="39"/>
  <c r="I13" i="39"/>
  <c r="L166" i="6"/>
  <c r="M166" i="6" s="1"/>
  <c r="P166" i="6" s="1"/>
  <c r="L36" i="6"/>
  <c r="M36" i="6" s="1"/>
  <c r="P36" i="6" s="1"/>
  <c r="L133" i="6"/>
  <c r="M133" i="6" s="1"/>
  <c r="P133" i="6" s="1"/>
  <c r="L11" i="6"/>
  <c r="M11" i="6" s="1"/>
  <c r="P11" i="6" s="1"/>
  <c r="L80" i="6"/>
  <c r="M80" i="6" s="1"/>
  <c r="P80" i="6" s="1"/>
  <c r="L140" i="6"/>
  <c r="L171" i="6"/>
  <c r="L52" i="6"/>
  <c r="L12" i="6"/>
  <c r="M12" i="6" s="1"/>
  <c r="P12" i="6" s="1"/>
  <c r="L112" i="6"/>
  <c r="M112" i="6" s="1"/>
  <c r="P112" i="6" s="1"/>
  <c r="L170" i="6"/>
  <c r="L110" i="6"/>
  <c r="M110" i="6" s="1"/>
  <c r="P110" i="6" s="1"/>
  <c r="L119" i="6"/>
  <c r="M119" i="6" s="1"/>
  <c r="P119" i="6" s="1"/>
  <c r="L99" i="6"/>
  <c r="L178" i="6"/>
  <c r="L87" i="6"/>
  <c r="L108" i="6"/>
  <c r="M108" i="6" s="1"/>
  <c r="P108" i="6" s="1"/>
  <c r="L106" i="6"/>
  <c r="M106" i="6" s="1"/>
  <c r="P106" i="6" s="1"/>
  <c r="L199" i="6"/>
  <c r="M199" i="6" s="1"/>
  <c r="P199" i="6" s="1"/>
  <c r="L59" i="6"/>
  <c r="M59" i="6" s="1"/>
  <c r="P59" i="6" s="1"/>
  <c r="L75" i="6"/>
  <c r="M75" i="6" s="1"/>
  <c r="P75" i="6" s="1"/>
  <c r="L198" i="6"/>
  <c r="L115" i="6"/>
  <c r="L120" i="46" l="1"/>
  <c r="L143" i="46"/>
  <c r="L69" i="46"/>
  <c r="L38" i="46"/>
  <c r="L43" i="46"/>
  <c r="L105" i="46"/>
  <c r="L10" i="46"/>
  <c r="L87" i="46"/>
  <c r="M87" i="46" s="1"/>
  <c r="P87" i="46" s="1"/>
  <c r="L190" i="46"/>
  <c r="L109" i="46"/>
  <c r="M109" i="46" s="1"/>
  <c r="P109" i="46" s="1"/>
  <c r="L76" i="46"/>
  <c r="L39" i="46"/>
  <c r="L95" i="46"/>
  <c r="L181" i="46"/>
  <c r="L144" i="46"/>
  <c r="L135" i="46"/>
  <c r="M135" i="46" s="1"/>
  <c r="P135" i="46" s="1"/>
  <c r="L194" i="46"/>
  <c r="L117" i="46"/>
  <c r="M117" i="46" s="1"/>
  <c r="P117" i="46" s="1"/>
  <c r="L50" i="46"/>
  <c r="L61" i="46"/>
  <c r="K143" i="40"/>
  <c r="O143" i="40" s="1"/>
  <c r="L130" i="46"/>
  <c r="L55" i="46"/>
  <c r="L56" i="46"/>
  <c r="L29" i="46"/>
  <c r="L132" i="46"/>
  <c r="M132" i="46" s="1"/>
  <c r="P132" i="46" s="1"/>
  <c r="L59" i="46"/>
  <c r="K51" i="40"/>
  <c r="O51" i="40" s="1"/>
  <c r="L156" i="46"/>
  <c r="L11" i="46"/>
  <c r="L162" i="46"/>
  <c r="L84" i="46"/>
  <c r="M84" i="46" s="1"/>
  <c r="P84" i="46" s="1"/>
  <c r="L108" i="46"/>
  <c r="L174" i="46"/>
  <c r="L71" i="46"/>
  <c r="K186" i="40"/>
  <c r="O186" i="40" s="1"/>
  <c r="K10" i="40"/>
  <c r="O10" i="40" s="1"/>
  <c r="K86" i="40"/>
  <c r="O86" i="40" s="1"/>
  <c r="K61" i="40"/>
  <c r="O61" i="40" s="1"/>
  <c r="K134" i="40"/>
  <c r="O134" i="40" s="1"/>
  <c r="K34" i="40"/>
  <c r="O34" i="40" s="1"/>
  <c r="K17" i="40"/>
  <c r="O17" i="40" s="1"/>
  <c r="K70" i="40"/>
  <c r="O70" i="40" s="1"/>
  <c r="K195" i="40"/>
  <c r="O195" i="40" s="1"/>
  <c r="K178" i="40"/>
  <c r="O178" i="40" s="1"/>
  <c r="K94" i="40"/>
  <c r="O94" i="40" s="1"/>
  <c r="K162" i="40"/>
  <c r="O162" i="40" s="1"/>
  <c r="K56" i="40"/>
  <c r="O56" i="40" s="1"/>
  <c r="K115" i="40"/>
  <c r="O115" i="40" s="1"/>
  <c r="K127" i="40"/>
  <c r="O127" i="40" s="1"/>
  <c r="K201" i="40"/>
  <c r="O201" i="40" s="1"/>
  <c r="K182" i="40"/>
  <c r="O182" i="40" s="1"/>
  <c r="K79" i="40"/>
  <c r="O79" i="40" s="1"/>
  <c r="K30" i="40"/>
  <c r="O30" i="40" s="1"/>
  <c r="L15" i="46"/>
  <c r="L192" i="40"/>
  <c r="L148" i="40"/>
  <c r="L3" i="40"/>
  <c r="M3" i="40" s="1"/>
  <c r="P3" i="40" s="1"/>
  <c r="L40" i="40"/>
  <c r="L107" i="40"/>
  <c r="L89" i="40"/>
  <c r="L161" i="40"/>
  <c r="M161" i="40" s="1"/>
  <c r="P161" i="40" s="1"/>
  <c r="L111" i="40"/>
  <c r="L155" i="40"/>
  <c r="L152" i="40"/>
  <c r="L24" i="40"/>
  <c r="M24" i="40" s="1"/>
  <c r="P24" i="40" s="1"/>
  <c r="L36" i="40"/>
  <c r="L87" i="40"/>
  <c r="L77" i="40"/>
  <c r="L131" i="40"/>
  <c r="M131" i="40" s="1"/>
  <c r="P131" i="40" s="1"/>
  <c r="L154" i="40"/>
  <c r="L4" i="40"/>
  <c r="M4" i="40" s="1"/>
  <c r="P4" i="40" s="1"/>
  <c r="L147" i="40"/>
  <c r="L190" i="40"/>
  <c r="M190" i="40" s="1"/>
  <c r="P190" i="40" s="1"/>
  <c r="L105" i="40"/>
  <c r="L138" i="40"/>
  <c r="L187" i="40"/>
  <c r="L176" i="40"/>
  <c r="M176" i="40" s="1"/>
  <c r="P176" i="40" s="1"/>
  <c r="L159" i="40"/>
  <c r="L32" i="40"/>
  <c r="M32" i="40" s="1"/>
  <c r="P32" i="40" s="1"/>
  <c r="L166" i="46"/>
  <c r="L49" i="46"/>
  <c r="M49" i="46" s="1"/>
  <c r="P49" i="46" s="1"/>
  <c r="L99" i="46"/>
  <c r="L73" i="46"/>
  <c r="L173" i="46"/>
  <c r="L47" i="46"/>
  <c r="M47" i="46" s="1"/>
  <c r="P47" i="46" s="1"/>
  <c r="L4" i="46"/>
  <c r="L63" i="46"/>
  <c r="M63" i="46" s="1"/>
  <c r="P63" i="46" s="1"/>
  <c r="L128" i="46"/>
  <c r="L57" i="46"/>
  <c r="M57" i="46" s="1"/>
  <c r="P57" i="46" s="1"/>
  <c r="L136" i="46"/>
  <c r="L26" i="46"/>
  <c r="L40" i="46"/>
  <c r="L75" i="46"/>
  <c r="M75" i="46" s="1"/>
  <c r="P75" i="46" s="1"/>
  <c r="L16" i="46"/>
  <c r="L14" i="46"/>
  <c r="L82" i="46"/>
  <c r="L34" i="46"/>
  <c r="M34" i="46" s="1"/>
  <c r="P34" i="46" s="1"/>
  <c r="L64" i="46"/>
  <c r="L147" i="46"/>
  <c r="L8" i="46"/>
  <c r="L21" i="46"/>
  <c r="M21" i="46" s="1"/>
  <c r="P21" i="46" s="1"/>
  <c r="L149" i="46"/>
  <c r="L157" i="46"/>
  <c r="M157" i="46" s="1"/>
  <c r="P157" i="46" s="1"/>
  <c r="L92" i="46"/>
  <c r="I21" i="40"/>
  <c r="I27" i="40" s="1"/>
  <c r="L114" i="40"/>
  <c r="L54" i="40"/>
  <c r="L13" i="40"/>
  <c r="L99" i="40"/>
  <c r="L172" i="40"/>
  <c r="L179" i="40"/>
  <c r="M179" i="40" s="1"/>
  <c r="P179" i="40" s="1"/>
  <c r="L101" i="40"/>
  <c r="L47" i="40"/>
  <c r="M47" i="40" s="1"/>
  <c r="P47" i="40" s="1"/>
  <c r="L52" i="40"/>
  <c r="L123" i="40"/>
  <c r="L90" i="40"/>
  <c r="L177" i="40"/>
  <c r="L76" i="40"/>
  <c r="L169" i="40"/>
  <c r="L68" i="40"/>
  <c r="L181" i="40"/>
  <c r="M181" i="40" s="1"/>
  <c r="P181" i="40" s="1"/>
  <c r="L64" i="40"/>
  <c r="L140" i="40"/>
  <c r="L78" i="40"/>
  <c r="L7" i="40"/>
  <c r="L141" i="40"/>
  <c r="L108" i="40"/>
  <c r="M108" i="40" s="1"/>
  <c r="P108" i="40" s="1"/>
  <c r="L55" i="40"/>
  <c r="L157" i="40"/>
  <c r="M157" i="40" s="1"/>
  <c r="P157" i="40" s="1"/>
  <c r="L133" i="40"/>
  <c r="L125" i="40"/>
  <c r="L186" i="46"/>
  <c r="L158" i="46"/>
  <c r="M158" i="46" s="1"/>
  <c r="P158" i="46" s="1"/>
  <c r="L177" i="46"/>
  <c r="L53" i="46"/>
  <c r="M53" i="46" s="1"/>
  <c r="P53" i="46" s="1"/>
  <c r="L94" i="46"/>
  <c r="L20" i="46"/>
  <c r="M20" i="46" s="1"/>
  <c r="P20" i="46" s="1"/>
  <c r="L165" i="46"/>
  <c r="L182" i="46"/>
  <c r="L193" i="46"/>
  <c r="L153" i="46"/>
  <c r="M153" i="46" s="1"/>
  <c r="P153" i="46" s="1"/>
  <c r="L25" i="46"/>
  <c r="L185" i="46"/>
  <c r="L96" i="46"/>
  <c r="L201" i="46"/>
  <c r="M201" i="46" s="1"/>
  <c r="P201" i="46" s="1"/>
  <c r="L145" i="46"/>
  <c r="L192" i="46"/>
  <c r="L51" i="46"/>
  <c r="L197" i="46"/>
  <c r="M197" i="46" s="1"/>
  <c r="P197" i="46" s="1"/>
  <c r="L58" i="46"/>
  <c r="L102" i="46"/>
  <c r="M102" i="46" s="1"/>
  <c r="P102" i="46" s="1"/>
  <c r="L133" i="46"/>
  <c r="L180" i="46"/>
  <c r="M180" i="46" s="1"/>
  <c r="P180" i="46" s="1"/>
  <c r="L98" i="46"/>
  <c r="L141" i="46"/>
  <c r="L179" i="46"/>
  <c r="I22" i="40"/>
  <c r="I32" i="40" s="1"/>
  <c r="L135" i="40"/>
  <c r="L74" i="40"/>
  <c r="L165" i="40"/>
  <c r="L197" i="40"/>
  <c r="M197" i="40" s="1"/>
  <c r="P197" i="40" s="1"/>
  <c r="L73" i="40"/>
  <c r="L120" i="40"/>
  <c r="L5" i="40"/>
  <c r="L85" i="40"/>
  <c r="M85" i="40" s="1"/>
  <c r="P85" i="40" s="1"/>
  <c r="L22" i="40"/>
  <c r="L75" i="40"/>
  <c r="M75" i="40" s="1"/>
  <c r="P75" i="40" s="1"/>
  <c r="L182" i="40"/>
  <c r="L84" i="40"/>
  <c r="M84" i="40" s="1"/>
  <c r="P84" i="40" s="1"/>
  <c r="L28" i="40"/>
  <c r="L2" i="40"/>
  <c r="L42" i="40"/>
  <c r="L79" i="40"/>
  <c r="M79" i="40" s="1"/>
  <c r="P79" i="40" s="1"/>
  <c r="L124" i="40"/>
  <c r="L150" i="40"/>
  <c r="M150" i="40" s="1"/>
  <c r="P150" i="40" s="1"/>
  <c r="L8" i="40"/>
  <c r="L195" i="40"/>
  <c r="M195" i="40" s="1"/>
  <c r="P195" i="40" s="1"/>
  <c r="L62" i="40"/>
  <c r="L151" i="40"/>
  <c r="L21" i="40"/>
  <c r="L94" i="40"/>
  <c r="M94" i="40" s="1"/>
  <c r="P94" i="40" s="1"/>
  <c r="L59" i="40"/>
  <c r="L188" i="46"/>
  <c r="M188" i="46" s="1"/>
  <c r="P188" i="46" s="1"/>
  <c r="L31" i="46"/>
  <c r="L150" i="46"/>
  <c r="M150" i="46" s="1"/>
  <c r="P150" i="46" s="1"/>
  <c r="L97" i="46"/>
  <c r="L191" i="46"/>
  <c r="L60" i="46"/>
  <c r="L9" i="46"/>
  <c r="M9" i="46" s="1"/>
  <c r="P9" i="46" s="1"/>
  <c r="L77" i="46"/>
  <c r="L112" i="46"/>
  <c r="L125" i="46"/>
  <c r="L107" i="46"/>
  <c r="M107" i="46" s="1"/>
  <c r="P107" i="46" s="1"/>
  <c r="L199" i="46"/>
  <c r="L35" i="46"/>
  <c r="L70" i="46"/>
  <c r="L196" i="46"/>
  <c r="M196" i="46" s="1"/>
  <c r="P196" i="46" s="1"/>
  <c r="L183" i="46"/>
  <c r="L100" i="46"/>
  <c r="M100" i="46" s="1"/>
  <c r="P100" i="46" s="1"/>
  <c r="L66" i="46"/>
  <c r="L126" i="46"/>
  <c r="M126" i="46" s="1"/>
  <c r="P126" i="46" s="1"/>
  <c r="L178" i="46"/>
  <c r="L42" i="46"/>
  <c r="L129" i="46"/>
  <c r="L148" i="46"/>
  <c r="M148" i="46" s="1"/>
  <c r="P148" i="46" s="1"/>
  <c r="L30" i="46"/>
  <c r="L155" i="46"/>
  <c r="M155" i="46" s="1"/>
  <c r="P155" i="46" s="1"/>
  <c r="L23" i="46"/>
  <c r="L189" i="46"/>
  <c r="M189" i="46" s="1"/>
  <c r="P189" i="46" s="1"/>
  <c r="L45" i="46"/>
  <c r="L134" i="46"/>
  <c r="L81" i="46"/>
  <c r="L175" i="46"/>
  <c r="L79" i="46"/>
  <c r="L127" i="46"/>
  <c r="M127" i="46" s="1"/>
  <c r="P127" i="46" s="1"/>
  <c r="L12" i="46"/>
  <c r="L36" i="46"/>
  <c r="M36" i="46" s="1"/>
  <c r="P36" i="46" s="1"/>
  <c r="L22" i="46"/>
  <c r="L202" i="46"/>
  <c r="L111" i="46"/>
  <c r="L152" i="46"/>
  <c r="M152" i="46" s="1"/>
  <c r="P152" i="46" s="1"/>
  <c r="L28" i="46"/>
  <c r="L169" i="46"/>
  <c r="M169" i="46" s="1"/>
  <c r="P169" i="46" s="1"/>
  <c r="L32" i="46"/>
  <c r="L195" i="46"/>
  <c r="M195" i="46" s="1"/>
  <c r="P195" i="46" s="1"/>
  <c r="L2" i="46"/>
  <c r="L198" i="46"/>
  <c r="L80" i="46"/>
  <c r="L131" i="46"/>
  <c r="M131" i="46" s="1"/>
  <c r="P131" i="46" s="1"/>
  <c r="L113" i="46"/>
  <c r="L172" i="46"/>
  <c r="M172" i="46" s="1"/>
  <c r="P172" i="46" s="1"/>
  <c r="L170" i="46"/>
  <c r="L62" i="46"/>
  <c r="M62" i="46" s="1"/>
  <c r="P62" i="46" s="1"/>
  <c r="L71" i="40"/>
  <c r="M71" i="40" s="1"/>
  <c r="P71" i="40" s="1"/>
  <c r="L143" i="40"/>
  <c r="M143" i="40" s="1"/>
  <c r="P143" i="40" s="1"/>
  <c r="L45" i="40"/>
  <c r="M45" i="40" s="1"/>
  <c r="P45" i="40" s="1"/>
  <c r="L51" i="40"/>
  <c r="M51" i="40" s="1"/>
  <c r="P51" i="40" s="1"/>
  <c r="L199" i="40"/>
  <c r="M199" i="40" s="1"/>
  <c r="P199" i="40" s="1"/>
  <c r="L137" i="40"/>
  <c r="M137" i="40" s="1"/>
  <c r="P137" i="40" s="1"/>
  <c r="L56" i="40"/>
  <c r="M56" i="40" s="1"/>
  <c r="P56" i="40" s="1"/>
  <c r="L53" i="40"/>
  <c r="M53" i="40" s="1"/>
  <c r="P53" i="40" s="1"/>
  <c r="L93" i="40"/>
  <c r="M93" i="40" s="1"/>
  <c r="P93" i="40" s="1"/>
  <c r="L142" i="40"/>
  <c r="M142" i="40" s="1"/>
  <c r="P142" i="40" s="1"/>
  <c r="L191" i="40"/>
  <c r="M191" i="40" s="1"/>
  <c r="P191" i="40" s="1"/>
  <c r="L67" i="40"/>
  <c r="M67" i="40" s="1"/>
  <c r="P67" i="40" s="1"/>
  <c r="L186" i="40"/>
  <c r="M186" i="40" s="1"/>
  <c r="P186" i="40" s="1"/>
  <c r="L6" i="40"/>
  <c r="M6" i="40" s="1"/>
  <c r="P6" i="40" s="1"/>
  <c r="L204" i="40"/>
  <c r="M204" i="40" s="1"/>
  <c r="P204" i="40" s="1"/>
  <c r="L146" i="40"/>
  <c r="M146" i="40" s="1"/>
  <c r="P146" i="40" s="1"/>
  <c r="L119" i="40"/>
  <c r="M119" i="40" s="1"/>
  <c r="P119" i="40" s="1"/>
  <c r="L18" i="40"/>
  <c r="M18" i="40" s="1"/>
  <c r="P18" i="40" s="1"/>
  <c r="L202" i="40"/>
  <c r="M202" i="40" s="1"/>
  <c r="P202" i="40" s="1"/>
  <c r="L17" i="40"/>
  <c r="M17" i="40" s="1"/>
  <c r="P17" i="40" s="1"/>
  <c r="L116" i="40"/>
  <c r="M116" i="40" s="1"/>
  <c r="P116" i="40" s="1"/>
  <c r="L31" i="40"/>
  <c r="M31" i="40" s="1"/>
  <c r="P31" i="40" s="1"/>
  <c r="L185" i="40"/>
  <c r="M185" i="40" s="1"/>
  <c r="P185" i="40" s="1"/>
  <c r="L132" i="40"/>
  <c r="M132" i="40" s="1"/>
  <c r="P132" i="40" s="1"/>
  <c r="L117" i="40"/>
  <c r="M117" i="40" s="1"/>
  <c r="P117" i="40" s="1"/>
  <c r="I21" i="46"/>
  <c r="I29" i="46" s="1"/>
  <c r="L121" i="46"/>
  <c r="L65" i="46"/>
  <c r="M65" i="46" s="1"/>
  <c r="P65" i="46" s="1"/>
  <c r="L104" i="46"/>
  <c r="L41" i="46"/>
  <c r="M41" i="46" s="1"/>
  <c r="P41" i="46" s="1"/>
  <c r="L167" i="46"/>
  <c r="L161" i="46"/>
  <c r="M161" i="46" s="1"/>
  <c r="P161" i="46" s="1"/>
  <c r="L67" i="46"/>
  <c r="L200" i="46"/>
  <c r="L54" i="46"/>
  <c r="L163" i="46"/>
  <c r="L5" i="46"/>
  <c r="L17" i="46"/>
  <c r="M17" i="46" s="1"/>
  <c r="P17" i="46" s="1"/>
  <c r="L101" i="46"/>
  <c r="L137" i="46"/>
  <c r="M137" i="46" s="1"/>
  <c r="P137" i="46" s="1"/>
  <c r="L187" i="46"/>
  <c r="L204" i="46"/>
  <c r="L24" i="46"/>
  <c r="L139" i="46"/>
  <c r="M139" i="46" s="1"/>
  <c r="P139" i="46" s="1"/>
  <c r="L3" i="46"/>
  <c r="L83" i="46"/>
  <c r="M83" i="46" s="1"/>
  <c r="P83" i="46" s="1"/>
  <c r="L86" i="46"/>
  <c r="L78" i="46"/>
  <c r="M78" i="46" s="1"/>
  <c r="P78" i="46" s="1"/>
  <c r="L88" i="46"/>
  <c r="L142" i="46"/>
  <c r="L110" i="46"/>
  <c r="L126" i="40"/>
  <c r="M126" i="40" s="1"/>
  <c r="P126" i="40" s="1"/>
  <c r="L115" i="40"/>
  <c r="L158" i="40"/>
  <c r="M158" i="40" s="1"/>
  <c r="P158" i="40" s="1"/>
  <c r="L121" i="40"/>
  <c r="L66" i="40"/>
  <c r="M66" i="40" s="1"/>
  <c r="P66" i="40" s="1"/>
  <c r="L184" i="40"/>
  <c r="L127" i="40"/>
  <c r="L188" i="40"/>
  <c r="L170" i="40"/>
  <c r="M170" i="40" s="1"/>
  <c r="P170" i="40" s="1"/>
  <c r="L34" i="40"/>
  <c r="L19" i="40"/>
  <c r="M19" i="40" s="1"/>
  <c r="P19" i="40" s="1"/>
  <c r="L38" i="40"/>
  <c r="L136" i="40"/>
  <c r="M136" i="40" s="1"/>
  <c r="P136" i="40" s="1"/>
  <c r="L128" i="40"/>
  <c r="L196" i="40"/>
  <c r="L30" i="40"/>
  <c r="L144" i="40"/>
  <c r="M144" i="40" s="1"/>
  <c r="P144" i="40" s="1"/>
  <c r="L164" i="40"/>
  <c r="L156" i="40"/>
  <c r="L173" i="40"/>
  <c r="L60" i="40"/>
  <c r="M60" i="40" s="1"/>
  <c r="P60" i="40" s="1"/>
  <c r="L20" i="40"/>
  <c r="M20" i="40" s="1"/>
  <c r="P20" i="40" s="1"/>
  <c r="L58" i="40"/>
  <c r="L201" i="40"/>
  <c r="I22" i="46"/>
  <c r="I32" i="46" s="1"/>
  <c r="L68" i="46"/>
  <c r="L159" i="46"/>
  <c r="M159" i="46" s="1"/>
  <c r="P159" i="46" s="1"/>
  <c r="L203" i="46"/>
  <c r="L164" i="46"/>
  <c r="M164" i="46" s="1"/>
  <c r="P164" i="46" s="1"/>
  <c r="L154" i="46"/>
  <c r="L176" i="46"/>
  <c r="L18" i="46"/>
  <c r="L184" i="46"/>
  <c r="M184" i="46" s="1"/>
  <c r="P184" i="46" s="1"/>
  <c r="L171" i="46"/>
  <c r="L93" i="46"/>
  <c r="M93" i="46" s="1"/>
  <c r="P93" i="46" s="1"/>
  <c r="L160" i="46"/>
  <c r="L37" i="46"/>
  <c r="M37" i="46" s="1"/>
  <c r="P37" i="46" s="1"/>
  <c r="L46" i="46"/>
  <c r="L27" i="46"/>
  <c r="L6" i="46"/>
  <c r="L89" i="46"/>
  <c r="L33" i="46"/>
  <c r="L118" i="46"/>
  <c r="M118" i="46" s="1"/>
  <c r="P118" i="46" s="1"/>
  <c r="L124" i="46"/>
  <c r="L140" i="46"/>
  <c r="M140" i="46" s="1"/>
  <c r="P140" i="46" s="1"/>
  <c r="L106" i="46"/>
  <c r="L72" i="46"/>
  <c r="L85" i="46"/>
  <c r="L44" i="46"/>
  <c r="M44" i="46" s="1"/>
  <c r="P44" i="46" s="1"/>
  <c r="L151" i="46"/>
  <c r="M128" i="40"/>
  <c r="P128" i="40" s="1"/>
  <c r="M180" i="40"/>
  <c r="P180" i="40" s="1"/>
  <c r="M9" i="40"/>
  <c r="P9" i="40" s="1"/>
  <c r="M183" i="40"/>
  <c r="P183" i="40" s="1"/>
  <c r="M91" i="40"/>
  <c r="P91" i="40" s="1"/>
  <c r="M109" i="40"/>
  <c r="P109" i="40" s="1"/>
  <c r="M92" i="40"/>
  <c r="P92" i="40" s="1"/>
  <c r="M81" i="40"/>
  <c r="P81" i="40" s="1"/>
  <c r="M174" i="40"/>
  <c r="P174" i="40" s="1"/>
  <c r="M39" i="40"/>
  <c r="P39" i="40" s="1"/>
  <c r="M63" i="40"/>
  <c r="P63" i="40" s="1"/>
  <c r="M112" i="40"/>
  <c r="P112" i="40" s="1"/>
  <c r="M41" i="40"/>
  <c r="P41" i="40" s="1"/>
  <c r="M139" i="40"/>
  <c r="P139" i="40" s="1"/>
  <c r="M57" i="40"/>
  <c r="P57" i="40" s="1"/>
  <c r="M37" i="40"/>
  <c r="P37" i="40" s="1"/>
  <c r="M97" i="40"/>
  <c r="P97" i="40" s="1"/>
  <c r="M203" i="40"/>
  <c r="P203" i="40" s="1"/>
  <c r="M11" i="40"/>
  <c r="P11" i="40" s="1"/>
  <c r="M189" i="40"/>
  <c r="P189" i="40" s="1"/>
  <c r="M15" i="40"/>
  <c r="P15" i="40" s="1"/>
  <c r="M82" i="40"/>
  <c r="P82" i="40" s="1"/>
  <c r="M65" i="40"/>
  <c r="P65" i="40" s="1"/>
  <c r="M98" i="40"/>
  <c r="P98" i="40" s="1"/>
  <c r="M72" i="40"/>
  <c r="P72" i="40" s="1"/>
  <c r="M16" i="40"/>
  <c r="P16" i="40" s="1"/>
  <c r="K118" i="40"/>
  <c r="O118" i="40" s="1"/>
  <c r="K5" i="40"/>
  <c r="O5" i="40" s="1"/>
  <c r="K106" i="40"/>
  <c r="O106" i="40" s="1"/>
  <c r="K116" i="40"/>
  <c r="O116" i="40" s="1"/>
  <c r="K41" i="40"/>
  <c r="O41" i="40" s="1"/>
  <c r="K154" i="40"/>
  <c r="O154" i="40" s="1"/>
  <c r="K3" i="40"/>
  <c r="O3" i="40" s="1"/>
  <c r="K35" i="40"/>
  <c r="O35" i="40" s="1"/>
  <c r="K47" i="40"/>
  <c r="O47" i="40" s="1"/>
  <c r="K188" i="40"/>
  <c r="O188" i="40" s="1"/>
  <c r="K130" i="40"/>
  <c r="O130" i="40" s="1"/>
  <c r="K192" i="40"/>
  <c r="O192" i="40" s="1"/>
  <c r="K63" i="40"/>
  <c r="O63" i="40" s="1"/>
  <c r="K11" i="40"/>
  <c r="O11" i="40" s="1"/>
  <c r="K69" i="40"/>
  <c r="O69" i="40" s="1"/>
  <c r="K149" i="40"/>
  <c r="O149" i="40" s="1"/>
  <c r="K163" i="40"/>
  <c r="O163" i="40" s="1"/>
  <c r="K16" i="40"/>
  <c r="O16" i="40" s="1"/>
  <c r="K181" i="40"/>
  <c r="O181" i="40" s="1"/>
  <c r="K169" i="40"/>
  <c r="O169" i="40" s="1"/>
  <c r="K157" i="40"/>
  <c r="O157" i="40" s="1"/>
  <c r="K54" i="40"/>
  <c r="O54" i="40" s="1"/>
  <c r="K204" i="40"/>
  <c r="O204" i="40" s="1"/>
  <c r="K7" i="40"/>
  <c r="O7" i="40" s="1"/>
  <c r="K146" i="40"/>
  <c r="O146" i="40" s="1"/>
  <c r="K111" i="40"/>
  <c r="O111" i="40" s="1"/>
  <c r="M115" i="40"/>
  <c r="P115" i="40" s="1"/>
  <c r="M127" i="40"/>
  <c r="P127" i="40" s="1"/>
  <c r="M34" i="40"/>
  <c r="P34" i="40" s="1"/>
  <c r="M30" i="40"/>
  <c r="P30" i="40" s="1"/>
  <c r="M156" i="40"/>
  <c r="P156" i="40" s="1"/>
  <c r="M173" i="40"/>
  <c r="P173" i="40" s="1"/>
  <c r="M58" i="40"/>
  <c r="P58" i="40" s="1"/>
  <c r="M201" i="40"/>
  <c r="P201" i="40" s="1"/>
  <c r="M198" i="40"/>
  <c r="P198" i="40" s="1"/>
  <c r="K27" i="40"/>
  <c r="O27" i="40" s="1"/>
  <c r="K40" i="40"/>
  <c r="O40" i="40" s="1"/>
  <c r="K104" i="40"/>
  <c r="O104" i="40" s="1"/>
  <c r="K153" i="40"/>
  <c r="O153" i="40" s="1"/>
  <c r="K2" i="40"/>
  <c r="O2" i="40" s="1"/>
  <c r="K93" i="40"/>
  <c r="O93" i="40" s="1"/>
  <c r="K102" i="40"/>
  <c r="O102" i="40" s="1"/>
  <c r="K155" i="40"/>
  <c r="O155" i="40" s="1"/>
  <c r="K194" i="40"/>
  <c r="O194" i="40" s="1"/>
  <c r="K159" i="40"/>
  <c r="O159" i="40" s="1"/>
  <c r="K55" i="40"/>
  <c r="O55" i="40" s="1"/>
  <c r="K109" i="40"/>
  <c r="O109" i="40" s="1"/>
  <c r="K67" i="40"/>
  <c r="O67" i="40" s="1"/>
  <c r="K166" i="40"/>
  <c r="O166" i="40" s="1"/>
  <c r="K46" i="40"/>
  <c r="O46" i="40" s="1"/>
  <c r="K133" i="40"/>
  <c r="O133" i="40" s="1"/>
  <c r="K88" i="40"/>
  <c r="O88" i="40" s="1"/>
  <c r="K136" i="40"/>
  <c r="O136" i="40" s="1"/>
  <c r="K81" i="40"/>
  <c r="O81" i="40" s="1"/>
  <c r="K110" i="40"/>
  <c r="O110" i="40" s="1"/>
  <c r="K171" i="40"/>
  <c r="O171" i="40" s="1"/>
  <c r="K26" i="40"/>
  <c r="O26" i="40" s="1"/>
  <c r="K113" i="40"/>
  <c r="O113" i="40" s="1"/>
  <c r="K175" i="40"/>
  <c r="O175" i="40" s="1"/>
  <c r="M188" i="40"/>
  <c r="P188" i="40" s="1"/>
  <c r="K85" i="40"/>
  <c r="O85" i="40" s="1"/>
  <c r="M70" i="40"/>
  <c r="P70" i="40" s="1"/>
  <c r="M100" i="40"/>
  <c r="P100" i="40" s="1"/>
  <c r="M149" i="40"/>
  <c r="P149" i="40" s="1"/>
  <c r="M145" i="40"/>
  <c r="P145" i="40" s="1"/>
  <c r="M175" i="40"/>
  <c r="P175" i="40" s="1"/>
  <c r="M23" i="40"/>
  <c r="P23" i="40" s="1"/>
  <c r="M88" i="40"/>
  <c r="P88" i="40" s="1"/>
  <c r="M102" i="40"/>
  <c r="P102" i="40" s="1"/>
  <c r="M95" i="40"/>
  <c r="P95" i="40" s="1"/>
  <c r="M166" i="40"/>
  <c r="P166" i="40" s="1"/>
  <c r="M61" i="40"/>
  <c r="P61" i="40" s="1"/>
  <c r="M29" i="40"/>
  <c r="P29" i="40" s="1"/>
  <c r="M86" i="40"/>
  <c r="P86" i="40" s="1"/>
  <c r="M25" i="40"/>
  <c r="P25" i="40" s="1"/>
  <c r="M10" i="40"/>
  <c r="P10" i="40" s="1"/>
  <c r="M46" i="40"/>
  <c r="P46" i="40" s="1"/>
  <c r="M113" i="40"/>
  <c r="P113" i="40" s="1"/>
  <c r="M163" i="40"/>
  <c r="P163" i="40" s="1"/>
  <c r="M160" i="40"/>
  <c r="P160" i="40" s="1"/>
  <c r="M153" i="40"/>
  <c r="P153" i="40" s="1"/>
  <c r="M110" i="40"/>
  <c r="P110" i="40" s="1"/>
  <c r="M14" i="40"/>
  <c r="P14" i="40" s="1"/>
  <c r="M12" i="40"/>
  <c r="P12" i="40" s="1"/>
  <c r="M162" i="40"/>
  <c r="P162" i="40" s="1"/>
  <c r="M83" i="40"/>
  <c r="P83" i="40" s="1"/>
  <c r="K23" i="40"/>
  <c r="O23" i="40" s="1"/>
  <c r="K150" i="40"/>
  <c r="O150" i="40" s="1"/>
  <c r="K179" i="40"/>
  <c r="O179" i="40" s="1"/>
  <c r="K147" i="40"/>
  <c r="O147" i="40" s="1"/>
  <c r="K83" i="40"/>
  <c r="O83" i="40" s="1"/>
  <c r="K120" i="40"/>
  <c r="O120" i="40" s="1"/>
  <c r="I31" i="40"/>
  <c r="H35" i="40" s="1"/>
  <c r="K59" i="40"/>
  <c r="O59" i="40" s="1"/>
  <c r="K126" i="40"/>
  <c r="O126" i="40" s="1"/>
  <c r="K187" i="40"/>
  <c r="O187" i="40" s="1"/>
  <c r="K129" i="40"/>
  <c r="O129" i="40" s="1"/>
  <c r="K191" i="40"/>
  <c r="O191" i="40" s="1"/>
  <c r="K95" i="40"/>
  <c r="O95" i="40" s="1"/>
  <c r="K28" i="40"/>
  <c r="O28" i="40" s="1"/>
  <c r="K99" i="40"/>
  <c r="O99" i="40" s="1"/>
  <c r="K198" i="40"/>
  <c r="O198" i="40" s="1"/>
  <c r="K151" i="40"/>
  <c r="O151" i="40" s="1"/>
  <c r="K29" i="40"/>
  <c r="O29" i="40" s="1"/>
  <c r="M200" i="40"/>
  <c r="P200" i="40" s="1"/>
  <c r="K168" i="40"/>
  <c r="O168" i="40" s="1"/>
  <c r="K77" i="40"/>
  <c r="O77" i="40" s="1"/>
  <c r="K142" i="40"/>
  <c r="O142" i="40" s="1"/>
  <c r="K203" i="40"/>
  <c r="O203" i="40" s="1"/>
  <c r="K84" i="40"/>
  <c r="O84" i="40" s="1"/>
  <c r="K145" i="40"/>
  <c r="O145" i="40" s="1"/>
  <c r="M121" i="40"/>
  <c r="P121" i="40" s="1"/>
  <c r="M184" i="40"/>
  <c r="P184" i="40" s="1"/>
  <c r="M38" i="40"/>
  <c r="P38" i="40" s="1"/>
  <c r="M164" i="40"/>
  <c r="P164" i="40" s="1"/>
  <c r="K98" i="40"/>
  <c r="O98" i="40" s="1"/>
  <c r="M96" i="40"/>
  <c r="P96" i="40" s="1"/>
  <c r="M194" i="40"/>
  <c r="P194" i="40" s="1"/>
  <c r="M104" i="40"/>
  <c r="P104" i="40" s="1"/>
  <c r="M35" i="40"/>
  <c r="P35" i="40" s="1"/>
  <c r="M118" i="40"/>
  <c r="P118" i="40" s="1"/>
  <c r="M33" i="40"/>
  <c r="P33" i="40" s="1"/>
  <c r="M178" i="40"/>
  <c r="P178" i="40" s="1"/>
  <c r="M130" i="40"/>
  <c r="P130" i="40" s="1"/>
  <c r="M44" i="40"/>
  <c r="P44" i="40" s="1"/>
  <c r="M122" i="40"/>
  <c r="P122" i="40" s="1"/>
  <c r="M27" i="40"/>
  <c r="P27" i="40" s="1"/>
  <c r="M134" i="40"/>
  <c r="P134" i="40" s="1"/>
  <c r="M106" i="40"/>
  <c r="P106" i="40" s="1"/>
  <c r="M69" i="40"/>
  <c r="P69" i="40" s="1"/>
  <c r="M193" i="40"/>
  <c r="P193" i="40" s="1"/>
  <c r="M129" i="40"/>
  <c r="P129" i="40" s="1"/>
  <c r="M43" i="40"/>
  <c r="P43" i="40" s="1"/>
  <c r="M50" i="40"/>
  <c r="P50" i="40" s="1"/>
  <c r="M167" i="40"/>
  <c r="P167" i="40" s="1"/>
  <c r="M48" i="40"/>
  <c r="P48" i="40" s="1"/>
  <c r="M171" i="40"/>
  <c r="P171" i="40" s="1"/>
  <c r="M49" i="40"/>
  <c r="P49" i="40" s="1"/>
  <c r="M80" i="40"/>
  <c r="P80" i="40" s="1"/>
  <c r="M168" i="40"/>
  <c r="P168" i="40" s="1"/>
  <c r="M26" i="40"/>
  <c r="P26" i="40" s="1"/>
  <c r="K62" i="40"/>
  <c r="O62" i="40" s="1"/>
  <c r="K57" i="40"/>
  <c r="O57" i="40" s="1"/>
  <c r="K97" i="40"/>
  <c r="O97" i="40" s="1"/>
  <c r="K36" i="40"/>
  <c r="O36" i="40" s="1"/>
  <c r="K173" i="40"/>
  <c r="O173" i="40" s="1"/>
  <c r="K152" i="40"/>
  <c r="O152" i="40" s="1"/>
  <c r="K76" i="40"/>
  <c r="O76" i="40" s="1"/>
  <c r="K91" i="40"/>
  <c r="O91" i="40" s="1"/>
  <c r="K158" i="40"/>
  <c r="O158" i="40" s="1"/>
  <c r="K185" i="40"/>
  <c r="O185" i="40" s="1"/>
  <c r="K161" i="40"/>
  <c r="O161" i="40" s="1"/>
  <c r="K105" i="40"/>
  <c r="O105" i="40" s="1"/>
  <c r="K13" i="40"/>
  <c r="O13" i="40" s="1"/>
  <c r="K68" i="40"/>
  <c r="O68" i="40" s="1"/>
  <c r="K50" i="40"/>
  <c r="O50" i="40" s="1"/>
  <c r="K132" i="40"/>
  <c r="O132" i="40" s="1"/>
  <c r="K9" i="40"/>
  <c r="O9" i="40" s="1"/>
  <c r="K71" i="40"/>
  <c r="O71" i="40" s="1"/>
  <c r="K138" i="40"/>
  <c r="O138" i="40" s="1"/>
  <c r="K200" i="40"/>
  <c r="O200" i="40" s="1"/>
  <c r="K141" i="40"/>
  <c r="O141" i="40" s="1"/>
  <c r="K174" i="40"/>
  <c r="O174" i="40" s="1"/>
  <c r="K12" i="40"/>
  <c r="O12" i="40" s="1"/>
  <c r="K125" i="40"/>
  <c r="O125" i="40" s="1"/>
  <c r="K177" i="40"/>
  <c r="O177" i="40" s="1"/>
  <c r="M192" i="40"/>
  <c r="P192" i="40" s="1"/>
  <c r="M148" i="40"/>
  <c r="P148" i="40" s="1"/>
  <c r="M40" i="40"/>
  <c r="P40" i="40" s="1"/>
  <c r="M107" i="40"/>
  <c r="P107" i="40" s="1"/>
  <c r="M89" i="40"/>
  <c r="P89" i="40" s="1"/>
  <c r="M111" i="40"/>
  <c r="P111" i="40" s="1"/>
  <c r="M155" i="40"/>
  <c r="P155" i="40" s="1"/>
  <c r="M152" i="40"/>
  <c r="P152" i="40" s="1"/>
  <c r="M36" i="40"/>
  <c r="P36" i="40" s="1"/>
  <c r="M87" i="40"/>
  <c r="P87" i="40" s="1"/>
  <c r="M77" i="40"/>
  <c r="P77" i="40" s="1"/>
  <c r="M154" i="40"/>
  <c r="P154" i="40" s="1"/>
  <c r="M147" i="40"/>
  <c r="P147" i="40" s="1"/>
  <c r="M105" i="40"/>
  <c r="P105" i="40" s="1"/>
  <c r="M138" i="40"/>
  <c r="P138" i="40" s="1"/>
  <c r="M187" i="40"/>
  <c r="P187" i="40" s="1"/>
  <c r="M159" i="40"/>
  <c r="P159" i="40" s="1"/>
  <c r="K66" i="40"/>
  <c r="O66" i="40" s="1"/>
  <c r="K53" i="40"/>
  <c r="O53" i="40" s="1"/>
  <c r="K18" i="40"/>
  <c r="O18" i="40" s="1"/>
  <c r="K15" i="40"/>
  <c r="O15" i="40" s="1"/>
  <c r="K32" i="40"/>
  <c r="O32" i="40" s="1"/>
  <c r="K184" i="40"/>
  <c r="O184" i="40" s="1"/>
  <c r="K52" i="40"/>
  <c r="O52" i="40" s="1"/>
  <c r="K33" i="40"/>
  <c r="O33" i="40" s="1"/>
  <c r="K190" i="40"/>
  <c r="O190" i="40" s="1"/>
  <c r="K65" i="40"/>
  <c r="O65" i="40" s="1"/>
  <c r="K193" i="40"/>
  <c r="O193" i="40" s="1"/>
  <c r="K122" i="40"/>
  <c r="O122" i="40" s="1"/>
  <c r="K48" i="40"/>
  <c r="O48" i="40" s="1"/>
  <c r="K14" i="40"/>
  <c r="O14" i="40" s="1"/>
  <c r="K82" i="40"/>
  <c r="O82" i="40" s="1"/>
  <c r="K164" i="40"/>
  <c r="O164" i="40" s="1"/>
  <c r="K22" i="40"/>
  <c r="O22" i="40" s="1"/>
  <c r="K20" i="40"/>
  <c r="O20" i="40" s="1"/>
  <c r="K170" i="40"/>
  <c r="O170" i="40" s="1"/>
  <c r="K135" i="40"/>
  <c r="O135" i="40" s="1"/>
  <c r="K75" i="40"/>
  <c r="O75" i="40" s="1"/>
  <c r="K108" i="40"/>
  <c r="O108" i="40" s="1"/>
  <c r="K24" i="40"/>
  <c r="O24" i="40" s="1"/>
  <c r="K64" i="40"/>
  <c r="O64" i="40" s="1"/>
  <c r="K112" i="40"/>
  <c r="O112" i="40" s="1"/>
  <c r="M114" i="40"/>
  <c r="P114" i="40" s="1"/>
  <c r="M54" i="40"/>
  <c r="P54" i="40" s="1"/>
  <c r="M13" i="40"/>
  <c r="P13" i="40" s="1"/>
  <c r="M99" i="40"/>
  <c r="P99" i="40" s="1"/>
  <c r="M172" i="40"/>
  <c r="P172" i="40" s="1"/>
  <c r="M101" i="40"/>
  <c r="P101" i="40" s="1"/>
  <c r="M52" i="40"/>
  <c r="P52" i="40" s="1"/>
  <c r="M123" i="40"/>
  <c r="P123" i="40" s="1"/>
  <c r="M90" i="40"/>
  <c r="P90" i="40" s="1"/>
  <c r="M177" i="40"/>
  <c r="P177" i="40" s="1"/>
  <c r="M76" i="40"/>
  <c r="P76" i="40" s="1"/>
  <c r="M169" i="40"/>
  <c r="P169" i="40" s="1"/>
  <c r="M68" i="40"/>
  <c r="P68" i="40" s="1"/>
  <c r="M64" i="40"/>
  <c r="P64" i="40" s="1"/>
  <c r="M140" i="40"/>
  <c r="P140" i="40" s="1"/>
  <c r="M78" i="40"/>
  <c r="P78" i="40" s="1"/>
  <c r="M7" i="40"/>
  <c r="P7" i="40" s="1"/>
  <c r="M141" i="40"/>
  <c r="P141" i="40" s="1"/>
  <c r="M55" i="40"/>
  <c r="P55" i="40" s="1"/>
  <c r="M133" i="40"/>
  <c r="P133" i="40" s="1"/>
  <c r="M125" i="40"/>
  <c r="P125" i="40" s="1"/>
  <c r="K60" i="40"/>
  <c r="O60" i="40" s="1"/>
  <c r="K89" i="40"/>
  <c r="O89" i="40" s="1"/>
  <c r="K87" i="40"/>
  <c r="O87" i="40" s="1"/>
  <c r="K73" i="40"/>
  <c r="O73" i="40" s="1"/>
  <c r="K148" i="40"/>
  <c r="O148" i="40" s="1"/>
  <c r="K119" i="40"/>
  <c r="O119" i="40" s="1"/>
  <c r="K92" i="40"/>
  <c r="O92" i="40" s="1"/>
  <c r="K74" i="40"/>
  <c r="O74" i="40" s="1"/>
  <c r="K124" i="40"/>
  <c r="O124" i="40" s="1"/>
  <c r="K117" i="40"/>
  <c r="O117" i="40" s="1"/>
  <c r="K128" i="40"/>
  <c r="O128" i="40" s="1"/>
  <c r="K121" i="40"/>
  <c r="O121" i="40" s="1"/>
  <c r="K4" i="40"/>
  <c r="O4" i="40" s="1"/>
  <c r="K45" i="40"/>
  <c r="O45" i="40" s="1"/>
  <c r="K165" i="40"/>
  <c r="O165" i="40" s="1"/>
  <c r="K196" i="40"/>
  <c r="O196" i="40" s="1"/>
  <c r="K21" i="40"/>
  <c r="O21" i="40" s="1"/>
  <c r="K19" i="40"/>
  <c r="O19" i="40" s="1"/>
  <c r="K202" i="40"/>
  <c r="O202" i="40" s="1"/>
  <c r="K167" i="40"/>
  <c r="O167" i="40" s="1"/>
  <c r="K58" i="40"/>
  <c r="O58" i="40" s="1"/>
  <c r="K140" i="40"/>
  <c r="O140" i="40" s="1"/>
  <c r="K100" i="40"/>
  <c r="O100" i="40" s="1"/>
  <c r="K96" i="40"/>
  <c r="O96" i="40" s="1"/>
  <c r="K144" i="40"/>
  <c r="O144" i="40" s="1"/>
  <c r="M196" i="40"/>
  <c r="P196" i="40" s="1"/>
  <c r="M135" i="40"/>
  <c r="P135" i="40" s="1"/>
  <c r="M74" i="40"/>
  <c r="P74" i="40" s="1"/>
  <c r="M165" i="40"/>
  <c r="P165" i="40" s="1"/>
  <c r="M73" i="40"/>
  <c r="P73" i="40" s="1"/>
  <c r="M120" i="40"/>
  <c r="P120" i="40" s="1"/>
  <c r="M5" i="40"/>
  <c r="P5" i="40" s="1"/>
  <c r="M22" i="40"/>
  <c r="P22" i="40" s="1"/>
  <c r="M182" i="40"/>
  <c r="P182" i="40" s="1"/>
  <c r="M28" i="40"/>
  <c r="P28" i="40" s="1"/>
  <c r="M2" i="40"/>
  <c r="P2" i="40" s="1"/>
  <c r="M42" i="40"/>
  <c r="P42" i="40" s="1"/>
  <c r="M124" i="40"/>
  <c r="P124" i="40" s="1"/>
  <c r="M8" i="40"/>
  <c r="P8" i="40" s="1"/>
  <c r="M62" i="40"/>
  <c r="P62" i="40" s="1"/>
  <c r="M151" i="40"/>
  <c r="P151" i="40" s="1"/>
  <c r="M21" i="40"/>
  <c r="P21" i="40" s="1"/>
  <c r="M59" i="40"/>
  <c r="P59" i="40" s="1"/>
  <c r="K180" i="40"/>
  <c r="O180" i="40" s="1"/>
  <c r="K44" i="40"/>
  <c r="O44" i="40" s="1"/>
  <c r="K189" i="40"/>
  <c r="O189" i="40" s="1"/>
  <c r="K39" i="40"/>
  <c r="O39" i="40" s="1"/>
  <c r="K8" i="40"/>
  <c r="O8" i="40" s="1"/>
  <c r="K72" i="40"/>
  <c r="O72" i="40" s="1"/>
  <c r="K25" i="40"/>
  <c r="O25" i="40" s="1"/>
  <c r="K6" i="40"/>
  <c r="O6" i="40" s="1"/>
  <c r="K107" i="40"/>
  <c r="O107" i="40" s="1"/>
  <c r="K156" i="40"/>
  <c r="O156" i="40" s="1"/>
  <c r="K80" i="40"/>
  <c r="O80" i="40" s="1"/>
  <c r="K160" i="40"/>
  <c r="O160" i="40" s="1"/>
  <c r="K183" i="40"/>
  <c r="O183" i="40" s="1"/>
  <c r="K43" i="40"/>
  <c r="O43" i="40" s="1"/>
  <c r="K197" i="40"/>
  <c r="O197" i="40" s="1"/>
  <c r="K78" i="40"/>
  <c r="O78" i="40" s="1"/>
  <c r="K131" i="40"/>
  <c r="O131" i="40" s="1"/>
  <c r="K38" i="40"/>
  <c r="O38" i="40" s="1"/>
  <c r="K42" i="40"/>
  <c r="O42" i="40" s="1"/>
  <c r="K137" i="40"/>
  <c r="O137" i="40" s="1"/>
  <c r="K199" i="40"/>
  <c r="O199" i="40" s="1"/>
  <c r="K90" i="40"/>
  <c r="O90" i="40" s="1"/>
  <c r="K172" i="40"/>
  <c r="O172" i="40" s="1"/>
  <c r="K37" i="40"/>
  <c r="O37" i="40" s="1"/>
  <c r="K114" i="40"/>
  <c r="O114" i="40" s="1"/>
  <c r="L73" i="26"/>
  <c r="L174" i="26"/>
  <c r="L99" i="26"/>
  <c r="L64" i="26"/>
  <c r="K45" i="6"/>
  <c r="O45" i="6" s="1"/>
  <c r="K64" i="6"/>
  <c r="O64" i="6" s="1"/>
  <c r="K80" i="6"/>
  <c r="O80" i="6" s="1"/>
  <c r="K79" i="6"/>
  <c r="O79" i="6" s="1"/>
  <c r="K41" i="6"/>
  <c r="O41" i="6" s="1"/>
  <c r="K110" i="6"/>
  <c r="O110" i="6" s="1"/>
  <c r="K151" i="6"/>
  <c r="O151" i="6" s="1"/>
  <c r="K195" i="6"/>
  <c r="O195" i="6" s="1"/>
  <c r="K20" i="6"/>
  <c r="O20" i="6" s="1"/>
  <c r="K46" i="6"/>
  <c r="O46" i="6" s="1"/>
  <c r="K160" i="6"/>
  <c r="O160" i="6" s="1"/>
  <c r="K196" i="6"/>
  <c r="O196" i="6" s="1"/>
  <c r="K70" i="6"/>
  <c r="O70" i="6" s="1"/>
  <c r="K31" i="6"/>
  <c r="O31" i="6" s="1"/>
  <c r="M185" i="6"/>
  <c r="P185" i="6" s="1"/>
  <c r="K26" i="6"/>
  <c r="O26" i="6" s="1"/>
  <c r="K184" i="6"/>
  <c r="O184" i="6" s="1"/>
  <c r="K190" i="6"/>
  <c r="O190" i="6" s="1"/>
  <c r="K102" i="6"/>
  <c r="O102" i="6" s="1"/>
  <c r="K113" i="6"/>
  <c r="O113" i="6" s="1"/>
  <c r="K157" i="6"/>
  <c r="O157" i="6" s="1"/>
  <c r="L96" i="26"/>
  <c r="L136" i="26"/>
  <c r="L24" i="26"/>
  <c r="M85" i="6"/>
  <c r="P85" i="6" s="1"/>
  <c r="M190" i="6"/>
  <c r="P190" i="6" s="1"/>
  <c r="M82" i="6"/>
  <c r="P82" i="6" s="1"/>
  <c r="M167" i="6"/>
  <c r="P167" i="6" s="1"/>
  <c r="M9" i="6"/>
  <c r="P9" i="6" s="1"/>
  <c r="M88" i="6"/>
  <c r="P88" i="6" s="1"/>
  <c r="M174" i="6"/>
  <c r="P174" i="6" s="1"/>
  <c r="M180" i="6"/>
  <c r="P180" i="6" s="1"/>
  <c r="M32" i="6"/>
  <c r="P32" i="6" s="1"/>
  <c r="M160" i="6"/>
  <c r="P160" i="6" s="1"/>
  <c r="M33" i="6"/>
  <c r="P33" i="6" s="1"/>
  <c r="M188" i="6"/>
  <c r="P188" i="6" s="1"/>
  <c r="M45" i="6"/>
  <c r="P45" i="6" s="1"/>
  <c r="L117" i="26"/>
  <c r="M87" i="6"/>
  <c r="P87" i="6" s="1"/>
  <c r="M52" i="6"/>
  <c r="P52" i="6" s="1"/>
  <c r="M41" i="6"/>
  <c r="P41" i="6" s="1"/>
  <c r="M148" i="6"/>
  <c r="P148" i="6" s="1"/>
  <c r="M189" i="6"/>
  <c r="P189" i="6" s="1"/>
  <c r="M23" i="6"/>
  <c r="P23" i="6" s="1"/>
  <c r="M186" i="6"/>
  <c r="P186" i="6" s="1"/>
  <c r="M48" i="6"/>
  <c r="P48" i="6" s="1"/>
  <c r="M86" i="6"/>
  <c r="P86" i="6" s="1"/>
  <c r="K104" i="6"/>
  <c r="O104" i="6" s="1"/>
  <c r="K60" i="6"/>
  <c r="O60" i="6" s="1"/>
  <c r="K37" i="6"/>
  <c r="O37" i="6" s="1"/>
  <c r="K39" i="6"/>
  <c r="O39" i="6" s="1"/>
  <c r="K128" i="6"/>
  <c r="O128" i="6" s="1"/>
  <c r="K36" i="6"/>
  <c r="O36" i="6" s="1"/>
  <c r="K191" i="6"/>
  <c r="O191" i="6" s="1"/>
  <c r="K130" i="6"/>
  <c r="O130" i="6" s="1"/>
  <c r="K77" i="6"/>
  <c r="O77" i="6" s="1"/>
  <c r="K19" i="6"/>
  <c r="O19" i="6" s="1"/>
  <c r="K32" i="6"/>
  <c r="O32" i="6" s="1"/>
  <c r="K192" i="6"/>
  <c r="O192" i="6" s="1"/>
  <c r="K177" i="6"/>
  <c r="O177" i="6" s="1"/>
  <c r="K92" i="6"/>
  <c r="O92" i="6" s="1"/>
  <c r="K166" i="6"/>
  <c r="O166" i="6" s="1"/>
  <c r="K9" i="6"/>
  <c r="O9" i="6" s="1"/>
  <c r="K51" i="6"/>
  <c r="O51" i="6" s="1"/>
  <c r="K6" i="6"/>
  <c r="O6" i="6" s="1"/>
  <c r="K186" i="6"/>
  <c r="O186" i="6" s="1"/>
  <c r="K144" i="6"/>
  <c r="O144" i="6" s="1"/>
  <c r="K203" i="6"/>
  <c r="O203" i="6" s="1"/>
  <c r="K101" i="6"/>
  <c r="O101" i="6" s="1"/>
  <c r="K30" i="6"/>
  <c r="O30" i="6" s="1"/>
  <c r="K117" i="6"/>
  <c r="O117" i="6" s="1"/>
  <c r="K129" i="6"/>
  <c r="O129" i="6" s="1"/>
  <c r="K120" i="6"/>
  <c r="O120" i="6" s="1"/>
  <c r="L13" i="26"/>
  <c r="L88" i="26"/>
  <c r="L37" i="26"/>
  <c r="M184" i="6"/>
  <c r="P184" i="6" s="1"/>
  <c r="M146" i="6"/>
  <c r="P146" i="6" s="1"/>
  <c r="M179" i="6"/>
  <c r="P179" i="6" s="1"/>
  <c r="M50" i="6"/>
  <c r="P50" i="6" s="1"/>
  <c r="M122" i="6"/>
  <c r="P122" i="6" s="1"/>
  <c r="M6" i="6"/>
  <c r="P6" i="6" s="1"/>
  <c r="M113" i="6"/>
  <c r="P113" i="6" s="1"/>
  <c r="M144" i="6"/>
  <c r="P144" i="6" s="1"/>
  <c r="M129" i="6"/>
  <c r="P129" i="6" s="1"/>
  <c r="M62" i="6"/>
  <c r="P62" i="6" s="1"/>
  <c r="M64" i="6"/>
  <c r="P64" i="6" s="1"/>
  <c r="M193" i="6"/>
  <c r="P193" i="6" s="1"/>
  <c r="M27" i="6"/>
  <c r="P27" i="6" s="1"/>
  <c r="M76" i="6"/>
  <c r="P76" i="6" s="1"/>
  <c r="M138" i="6"/>
  <c r="P138" i="6" s="1"/>
  <c r="M97" i="6"/>
  <c r="P97" i="6" s="1"/>
  <c r="M161" i="6"/>
  <c r="P161" i="6" s="1"/>
  <c r="M31" i="6"/>
  <c r="P31" i="6" s="1"/>
  <c r="M114" i="6"/>
  <c r="P114" i="6" s="1"/>
  <c r="M191" i="6"/>
  <c r="P191" i="6" s="1"/>
  <c r="I32" i="6"/>
  <c r="L101" i="26"/>
  <c r="M115" i="6"/>
  <c r="P115" i="6" s="1"/>
  <c r="M178" i="6"/>
  <c r="P178" i="6" s="1"/>
  <c r="M171" i="6"/>
  <c r="P171" i="6" s="1"/>
  <c r="M5" i="6"/>
  <c r="P5" i="6" s="1"/>
  <c r="M149" i="6"/>
  <c r="P149" i="6" s="1"/>
  <c r="M25" i="6"/>
  <c r="P25" i="6" s="1"/>
  <c r="M40" i="6"/>
  <c r="P40" i="6" s="1"/>
  <c r="M127" i="6"/>
  <c r="P127" i="6" s="1"/>
  <c r="M95" i="6"/>
  <c r="P95" i="6" s="1"/>
  <c r="M54" i="6"/>
  <c r="P54" i="6" s="1"/>
  <c r="K187" i="6"/>
  <c r="O187" i="6" s="1"/>
  <c r="K74" i="6"/>
  <c r="O74" i="6" s="1"/>
  <c r="K24" i="6"/>
  <c r="O24" i="6" s="1"/>
  <c r="K155" i="6"/>
  <c r="O155" i="6" s="1"/>
  <c r="K119" i="6"/>
  <c r="O119" i="6" s="1"/>
  <c r="K164" i="6"/>
  <c r="O164" i="6" s="1"/>
  <c r="K171" i="6"/>
  <c r="O171" i="6" s="1"/>
  <c r="K21" i="6"/>
  <c r="O21" i="6" s="1"/>
  <c r="K176" i="6"/>
  <c r="O176" i="6" s="1"/>
  <c r="K139" i="6"/>
  <c r="O139" i="6" s="1"/>
  <c r="K127" i="6"/>
  <c r="O127" i="6" s="1"/>
  <c r="K137" i="6"/>
  <c r="O137" i="6" s="1"/>
  <c r="K85" i="6"/>
  <c r="O85" i="6" s="1"/>
  <c r="K89" i="6"/>
  <c r="O89" i="6" s="1"/>
  <c r="K34" i="6"/>
  <c r="O34" i="6" s="1"/>
  <c r="K69" i="6"/>
  <c r="O69" i="6" s="1"/>
  <c r="K136" i="6"/>
  <c r="O136" i="6" s="1"/>
  <c r="M72" i="6"/>
  <c r="P72" i="6" s="1"/>
  <c r="K179" i="6"/>
  <c r="O179" i="6" s="1"/>
  <c r="K66" i="6"/>
  <c r="O66" i="6" s="1"/>
  <c r="K93" i="6"/>
  <c r="O93" i="6" s="1"/>
  <c r="K2" i="6"/>
  <c r="O2" i="6" s="1"/>
  <c r="K108" i="6"/>
  <c r="O108" i="6" s="1"/>
  <c r="K158" i="6"/>
  <c r="O158" i="6" s="1"/>
  <c r="K201" i="6"/>
  <c r="O201" i="6" s="1"/>
  <c r="M42" i="6"/>
  <c r="P42" i="6" s="1"/>
  <c r="L158" i="26"/>
  <c r="L106" i="26"/>
  <c r="L141" i="26"/>
  <c r="M63" i="6"/>
  <c r="P63" i="6" s="1"/>
  <c r="M107" i="6"/>
  <c r="P107" i="6" s="1"/>
  <c r="M177" i="6"/>
  <c r="P177" i="6" s="1"/>
  <c r="M182" i="6"/>
  <c r="P182" i="6" s="1"/>
  <c r="M197" i="6"/>
  <c r="P197" i="6" s="1"/>
  <c r="M109" i="6"/>
  <c r="P109" i="6" s="1"/>
  <c r="M84" i="6"/>
  <c r="P84" i="6" s="1"/>
  <c r="M102" i="6"/>
  <c r="P102" i="6" s="1"/>
  <c r="M57" i="6"/>
  <c r="P57" i="6" s="1"/>
  <c r="M153" i="6"/>
  <c r="P153" i="6" s="1"/>
  <c r="M7" i="6"/>
  <c r="P7" i="6" s="1"/>
  <c r="M67" i="6"/>
  <c r="P67" i="6" s="1"/>
  <c r="M135" i="6"/>
  <c r="P135" i="6" s="1"/>
  <c r="M154" i="6"/>
  <c r="P154" i="6" s="1"/>
  <c r="L75" i="26"/>
  <c r="M198" i="6"/>
  <c r="P198" i="6" s="1"/>
  <c r="M99" i="6"/>
  <c r="P99" i="6" s="1"/>
  <c r="M140" i="6"/>
  <c r="P140" i="6" s="1"/>
  <c r="M68" i="6"/>
  <c r="P68" i="6" s="1"/>
  <c r="M141" i="6"/>
  <c r="P141" i="6" s="1"/>
  <c r="M16" i="6"/>
  <c r="P16" i="6" s="1"/>
  <c r="M10" i="6"/>
  <c r="P10" i="6" s="1"/>
  <c r="M132" i="6"/>
  <c r="P132" i="6" s="1"/>
  <c r="M46" i="6"/>
  <c r="P46" i="6" s="1"/>
  <c r="M20" i="6"/>
  <c r="P20" i="6" s="1"/>
  <c r="K185" i="6"/>
  <c r="O185" i="6" s="1"/>
  <c r="K50" i="6"/>
  <c r="O50" i="6" s="1"/>
  <c r="K18" i="6"/>
  <c r="O18" i="6" s="1"/>
  <c r="K105" i="6"/>
  <c r="O105" i="6" s="1"/>
  <c r="K59" i="6"/>
  <c r="O59" i="6" s="1"/>
  <c r="K47" i="6"/>
  <c r="O47" i="6" s="1"/>
  <c r="K197" i="6"/>
  <c r="O197" i="6" s="1"/>
  <c r="K143" i="6"/>
  <c r="O143" i="6" s="1"/>
  <c r="K150" i="6"/>
  <c r="O150" i="6" s="1"/>
  <c r="K163" i="6"/>
  <c r="O163" i="6" s="1"/>
  <c r="K84" i="6"/>
  <c r="O84" i="6" s="1"/>
  <c r="K15" i="6"/>
  <c r="O15" i="6" s="1"/>
  <c r="K189" i="6"/>
  <c r="O189" i="6" s="1"/>
  <c r="K175" i="6"/>
  <c r="O175" i="6" s="1"/>
  <c r="K100" i="6"/>
  <c r="O100" i="6" s="1"/>
  <c r="K153" i="6"/>
  <c r="O153" i="6" s="1"/>
  <c r="K131" i="6"/>
  <c r="O131" i="6" s="1"/>
  <c r="K13" i="6"/>
  <c r="O13" i="6" s="1"/>
  <c r="K23" i="6"/>
  <c r="O23" i="6" s="1"/>
  <c r="K7" i="6"/>
  <c r="O7" i="6" s="1"/>
  <c r="K56" i="6"/>
  <c r="O56" i="6" s="1"/>
  <c r="K8" i="6"/>
  <c r="O8" i="6" s="1"/>
  <c r="K4" i="6"/>
  <c r="O4" i="6" s="1"/>
  <c r="K180" i="6"/>
  <c r="O180" i="6" s="1"/>
  <c r="K141" i="6"/>
  <c r="O141" i="6" s="1"/>
  <c r="K38" i="6"/>
  <c r="O38" i="6" s="1"/>
  <c r="L79" i="26"/>
  <c r="L132" i="26"/>
  <c r="L125" i="26"/>
  <c r="L123" i="26"/>
  <c r="M121" i="6"/>
  <c r="P121" i="6" s="1"/>
  <c r="M116" i="6"/>
  <c r="P116" i="6" s="1"/>
  <c r="M69" i="6"/>
  <c r="P69" i="6" s="1"/>
  <c r="M56" i="6"/>
  <c r="P56" i="6" s="1"/>
  <c r="M196" i="6"/>
  <c r="P196" i="6" s="1"/>
  <c r="M29" i="6"/>
  <c r="P29" i="6" s="1"/>
  <c r="M159" i="6"/>
  <c r="P159" i="6" s="1"/>
  <c r="M44" i="6"/>
  <c r="P44" i="6" s="1"/>
  <c r="M39" i="6"/>
  <c r="P39" i="6" s="1"/>
  <c r="M130" i="6"/>
  <c r="P130" i="6" s="1"/>
  <c r="M53" i="6"/>
  <c r="P53" i="6" s="1"/>
  <c r="M100" i="6"/>
  <c r="P100" i="6" s="1"/>
  <c r="M157" i="6"/>
  <c r="P157" i="6" s="1"/>
  <c r="M77" i="6"/>
  <c r="P77" i="6" s="1"/>
  <c r="M111" i="6"/>
  <c r="P111" i="6" s="1"/>
  <c r="M35" i="6"/>
  <c r="P35" i="6" s="1"/>
  <c r="M43" i="6"/>
  <c r="P43" i="6" s="1"/>
  <c r="M65" i="6"/>
  <c r="P65" i="6" s="1"/>
  <c r="M60" i="6"/>
  <c r="P60" i="6" s="1"/>
  <c r="M28" i="6"/>
  <c r="P28" i="6" s="1"/>
  <c r="M136" i="6"/>
  <c r="P136" i="6" s="1"/>
  <c r="M74" i="6"/>
  <c r="P74" i="6" s="1"/>
  <c r="K78" i="6"/>
  <c r="O78" i="6" s="1"/>
  <c r="K114" i="6"/>
  <c r="O114" i="6" s="1"/>
  <c r="K27" i="6"/>
  <c r="O27" i="6" s="1"/>
  <c r="K81" i="6"/>
  <c r="O81" i="6" s="1"/>
  <c r="K16" i="6"/>
  <c r="O16" i="6" s="1"/>
  <c r="K188" i="6"/>
  <c r="O188" i="6" s="1"/>
  <c r="K87" i="6"/>
  <c r="O87" i="6" s="1"/>
  <c r="K65" i="6"/>
  <c r="O65" i="6" s="1"/>
  <c r="K172" i="6"/>
  <c r="O172" i="6" s="1"/>
  <c r="K49" i="6"/>
  <c r="O49" i="6" s="1"/>
  <c r="K55" i="6"/>
  <c r="O55" i="6" s="1"/>
  <c r="K156" i="6"/>
  <c r="O156" i="6" s="1"/>
  <c r="K10" i="6"/>
  <c r="O10" i="6" s="1"/>
  <c r="K148" i="6"/>
  <c r="O148" i="6" s="1"/>
  <c r="K11" i="6"/>
  <c r="O11" i="6" s="1"/>
  <c r="K44" i="6"/>
  <c r="O44" i="6" s="1"/>
  <c r="K198" i="6"/>
  <c r="O198" i="6" s="1"/>
  <c r="K82" i="6"/>
  <c r="O82" i="6" s="1"/>
  <c r="K88" i="6"/>
  <c r="O88" i="6" s="1"/>
  <c r="K123" i="6"/>
  <c r="O123" i="6" s="1"/>
  <c r="K138" i="6"/>
  <c r="O138" i="6" s="1"/>
  <c r="K48" i="6"/>
  <c r="O48" i="6" s="1"/>
  <c r="K61" i="6"/>
  <c r="O61" i="6" s="1"/>
  <c r="K12" i="6"/>
  <c r="O12" i="6" s="1"/>
  <c r="K33" i="6"/>
  <c r="O33" i="6" s="1"/>
  <c r="K91" i="6"/>
  <c r="O91" i="6" s="1"/>
  <c r="L102" i="26"/>
  <c r="L180" i="26"/>
  <c r="L97" i="26"/>
  <c r="M34" i="6"/>
  <c r="P34" i="6" s="1"/>
  <c r="M164" i="6"/>
  <c r="P164" i="6" s="1"/>
  <c r="M93" i="6"/>
  <c r="P93" i="6" s="1"/>
  <c r="M22" i="6"/>
  <c r="P22" i="6" s="1"/>
  <c r="M176" i="6"/>
  <c r="P176" i="6" s="1"/>
  <c r="M61" i="6"/>
  <c r="P61" i="6" s="1"/>
  <c r="M151" i="6"/>
  <c r="P151" i="6" s="1"/>
  <c r="M19" i="6"/>
  <c r="P19" i="6" s="1"/>
  <c r="L11" i="26"/>
  <c r="L150" i="26"/>
  <c r="M169" i="6"/>
  <c r="P169" i="6" s="1"/>
  <c r="L182" i="26"/>
  <c r="L62" i="26"/>
  <c r="L3" i="26"/>
  <c r="L29" i="26"/>
  <c r="L177" i="26"/>
  <c r="L168" i="26"/>
  <c r="L86" i="26"/>
  <c r="L201" i="26"/>
  <c r="L152" i="26"/>
  <c r="L91" i="26"/>
  <c r="L93" i="26"/>
  <c r="L98" i="26"/>
  <c r="L40" i="26"/>
  <c r="L133" i="26"/>
  <c r="L82" i="26"/>
  <c r="L42" i="26"/>
  <c r="L38" i="26"/>
  <c r="L54" i="26"/>
  <c r="L35" i="26"/>
  <c r="L78" i="26"/>
  <c r="L199" i="26"/>
  <c r="L50" i="26"/>
  <c r="L183" i="26"/>
  <c r="L14" i="26"/>
  <c r="L84" i="26"/>
  <c r="L145" i="26"/>
  <c r="L68" i="26"/>
  <c r="L197" i="26"/>
  <c r="L92" i="26"/>
  <c r="L154" i="26"/>
  <c r="L151" i="26"/>
  <c r="L181" i="26"/>
  <c r="L23" i="26"/>
  <c r="L189" i="26"/>
  <c r="L107" i="26"/>
  <c r="L47" i="26"/>
  <c r="L60" i="26"/>
  <c r="L25" i="26"/>
  <c r="L28" i="26"/>
  <c r="L202" i="26"/>
  <c r="L15" i="26"/>
  <c r="L76" i="26"/>
  <c r="L61" i="26"/>
  <c r="L112" i="26"/>
  <c r="L48" i="26"/>
  <c r="L44" i="26"/>
  <c r="L95" i="26"/>
  <c r="L111" i="26"/>
  <c r="L186" i="26"/>
  <c r="L170" i="26"/>
  <c r="L87" i="26"/>
  <c r="L188" i="26"/>
  <c r="E4" i="36"/>
  <c r="E4" i="45"/>
  <c r="L155" i="26"/>
  <c r="L165" i="26"/>
  <c r="L122" i="26"/>
  <c r="L4" i="26"/>
  <c r="L187" i="26"/>
  <c r="L67" i="26"/>
  <c r="L58" i="26"/>
  <c r="L118" i="26"/>
  <c r="L19" i="26"/>
  <c r="L12" i="26"/>
  <c r="L120" i="26"/>
  <c r="L128" i="26"/>
  <c r="L53" i="26"/>
  <c r="L80" i="26"/>
  <c r="L203" i="26"/>
  <c r="L142" i="26"/>
  <c r="L126" i="26"/>
  <c r="L196" i="26"/>
  <c r="L166" i="26"/>
  <c r="L32" i="26"/>
  <c r="I21" i="26"/>
  <c r="I29" i="26" s="1"/>
  <c r="I27" i="46"/>
  <c r="H38" i="46" s="1"/>
  <c r="L94" i="26"/>
  <c r="L5" i="26"/>
  <c r="L148" i="26"/>
  <c r="L193" i="26"/>
  <c r="L184" i="26"/>
  <c r="L36" i="26"/>
  <c r="L139" i="26"/>
  <c r="L200" i="26"/>
  <c r="L153" i="26"/>
  <c r="L179" i="26"/>
  <c r="L83" i="26"/>
  <c r="L134" i="26"/>
  <c r="L138" i="26"/>
  <c r="L100" i="26"/>
  <c r="L70" i="26"/>
  <c r="L161" i="26"/>
  <c r="L18" i="26"/>
  <c r="L191" i="26"/>
  <c r="L49" i="26"/>
  <c r="L2" i="26"/>
  <c r="L162" i="26"/>
  <c r="L143" i="26"/>
  <c r="L66" i="26"/>
  <c r="L172" i="26"/>
  <c r="L204" i="26"/>
  <c r="L135" i="26"/>
  <c r="L130" i="26"/>
  <c r="L89" i="26"/>
  <c r="L6" i="26"/>
  <c r="L57" i="26"/>
  <c r="L26" i="26"/>
  <c r="L63" i="26"/>
  <c r="L74" i="26"/>
  <c r="L71" i="26"/>
  <c r="L198" i="26"/>
  <c r="L159" i="26"/>
  <c r="L55" i="26"/>
  <c r="L124" i="26"/>
  <c r="L163" i="26"/>
  <c r="L30" i="26"/>
  <c r="L157" i="26"/>
  <c r="L81" i="26"/>
  <c r="L90" i="26"/>
  <c r="L175" i="26"/>
  <c r="L10" i="26"/>
  <c r="L7" i="26"/>
  <c r="L108" i="26"/>
  <c r="L51" i="26"/>
  <c r="L156" i="26"/>
  <c r="L69" i="26"/>
  <c r="L17" i="26"/>
  <c r="L9" i="26"/>
  <c r="L115" i="26"/>
  <c r="L105" i="26"/>
  <c r="L85" i="26"/>
  <c r="L164" i="26"/>
  <c r="L41" i="26"/>
  <c r="I22" i="26"/>
  <c r="I31" i="46"/>
  <c r="M181" i="46"/>
  <c r="P181" i="46" s="1"/>
  <c r="M149" i="46"/>
  <c r="P149" i="46" s="1"/>
  <c r="K180" i="46"/>
  <c r="O180" i="46" s="1"/>
  <c r="K148" i="46"/>
  <c r="O148" i="46" s="1"/>
  <c r="K197" i="46"/>
  <c r="O197" i="46" s="1"/>
  <c r="K165" i="46"/>
  <c r="O165" i="46" s="1"/>
  <c r="K133" i="46"/>
  <c r="O133" i="46" s="1"/>
  <c r="M192" i="46"/>
  <c r="P192" i="46" s="1"/>
  <c r="M160" i="46"/>
  <c r="P160" i="46" s="1"/>
  <c r="M128" i="46"/>
  <c r="P128" i="46" s="1"/>
  <c r="M177" i="46"/>
  <c r="P177" i="46" s="1"/>
  <c r="M185" i="46"/>
  <c r="P185" i="46" s="1"/>
  <c r="M121" i="46"/>
  <c r="P121" i="46" s="1"/>
  <c r="M81" i="46"/>
  <c r="P81" i="46" s="1"/>
  <c r="M178" i="46"/>
  <c r="P178" i="46" s="1"/>
  <c r="M115" i="46"/>
  <c r="P115" i="46" s="1"/>
  <c r="M203" i="46"/>
  <c r="P203" i="46" s="1"/>
  <c r="K89" i="46"/>
  <c r="O89" i="46" s="1"/>
  <c r="M186" i="46"/>
  <c r="P186" i="46" s="1"/>
  <c r="M110" i="46"/>
  <c r="P110" i="46" s="1"/>
  <c r="K146" i="46"/>
  <c r="O146" i="46" s="1"/>
  <c r="K101" i="46"/>
  <c r="O101" i="46" s="1"/>
  <c r="M61" i="46"/>
  <c r="P61" i="46" s="1"/>
  <c r="K37" i="46"/>
  <c r="O37" i="46" s="1"/>
  <c r="K136" i="46"/>
  <c r="O136" i="46" s="1"/>
  <c r="M70" i="46"/>
  <c r="P70" i="46" s="1"/>
  <c r="K86" i="46"/>
  <c r="O86" i="46" s="1"/>
  <c r="K54" i="46"/>
  <c r="O54" i="46" s="1"/>
  <c r="M170" i="46"/>
  <c r="P170" i="46" s="1"/>
  <c r="K93" i="46"/>
  <c r="O93" i="46" s="1"/>
  <c r="K55" i="46"/>
  <c r="O55" i="46" s="1"/>
  <c r="M116" i="46"/>
  <c r="P116" i="46" s="1"/>
  <c r="K62" i="46"/>
  <c r="O62" i="46" s="1"/>
  <c r="K200" i="46"/>
  <c r="O200" i="46" s="1"/>
  <c r="K27" i="46"/>
  <c r="O27" i="46" s="1"/>
  <c r="K98" i="46"/>
  <c r="O98" i="46" s="1"/>
  <c r="K21" i="46"/>
  <c r="O21" i="46" s="1"/>
  <c r="M10" i="46"/>
  <c r="P10" i="46" s="1"/>
  <c r="K24" i="46"/>
  <c r="O24" i="46" s="1"/>
  <c r="M52" i="46"/>
  <c r="P52" i="46" s="1"/>
  <c r="M15" i="46"/>
  <c r="P15" i="46" s="1"/>
  <c r="M14" i="46"/>
  <c r="P14" i="46" s="1"/>
  <c r="M12" i="46"/>
  <c r="P12" i="46" s="1"/>
  <c r="M6" i="46"/>
  <c r="P6" i="46" s="1"/>
  <c r="K124" i="46"/>
  <c r="O124" i="46" s="1"/>
  <c r="M200" i="46"/>
  <c r="P200" i="46" s="1"/>
  <c r="M194" i="46"/>
  <c r="P194" i="46" s="1"/>
  <c r="K97" i="46"/>
  <c r="O97" i="46" s="1"/>
  <c r="K129" i="46"/>
  <c r="O129" i="46" s="1"/>
  <c r="K78" i="46"/>
  <c r="O78" i="46" s="1"/>
  <c r="K120" i="46"/>
  <c r="O120" i="46" s="1"/>
  <c r="K41" i="46"/>
  <c r="O41" i="46" s="1"/>
  <c r="K90" i="46"/>
  <c r="O90" i="46" s="1"/>
  <c r="K94" i="46"/>
  <c r="O94" i="46" s="1"/>
  <c r="K187" i="46"/>
  <c r="O187" i="46" s="1"/>
  <c r="K191" i="46"/>
  <c r="O191" i="46" s="1"/>
  <c r="K87" i="46"/>
  <c r="O87" i="46" s="1"/>
  <c r="K153" i="46"/>
  <c r="O153" i="46" s="1"/>
  <c r="K179" i="46"/>
  <c r="O179" i="46" s="1"/>
  <c r="K147" i="46"/>
  <c r="O147" i="46" s="1"/>
  <c r="K115" i="46"/>
  <c r="O115" i="46" s="1"/>
  <c r="M174" i="46"/>
  <c r="P174" i="46" s="1"/>
  <c r="M142" i="46"/>
  <c r="P142" i="46" s="1"/>
  <c r="M191" i="46"/>
  <c r="P191" i="46" s="1"/>
  <c r="K190" i="46"/>
  <c r="O190" i="46" s="1"/>
  <c r="K158" i="46"/>
  <c r="O158" i="46" s="1"/>
  <c r="K126" i="46"/>
  <c r="O126" i="46" s="1"/>
  <c r="K175" i="46"/>
  <c r="O175" i="46" s="1"/>
  <c r="K170" i="46"/>
  <c r="O170" i="46" s="1"/>
  <c r="K183" i="46"/>
  <c r="O183" i="46" s="1"/>
  <c r="K119" i="46"/>
  <c r="O119" i="46" s="1"/>
  <c r="K79" i="46"/>
  <c r="O79" i="46" s="1"/>
  <c r="K176" i="46"/>
  <c r="O176" i="46" s="1"/>
  <c r="M113" i="46"/>
  <c r="P113" i="46" s="1"/>
  <c r="K201" i="46"/>
  <c r="O201" i="46" s="1"/>
  <c r="K137" i="46"/>
  <c r="O137" i="46" s="1"/>
  <c r="K108" i="46"/>
  <c r="O108" i="46" s="1"/>
  <c r="K99" i="46"/>
  <c r="O99" i="46" s="1"/>
  <c r="K60" i="46"/>
  <c r="O60" i="46" s="1"/>
  <c r="K36" i="46"/>
  <c r="O36" i="46" s="1"/>
  <c r="K112" i="46"/>
  <c r="O112" i="46" s="1"/>
  <c r="M64" i="46"/>
  <c r="P64" i="46" s="1"/>
  <c r="K84" i="46"/>
  <c r="O84" i="46" s="1"/>
  <c r="M48" i="46"/>
  <c r="P48" i="46" s="1"/>
  <c r="K91" i="46"/>
  <c r="O91" i="46" s="1"/>
  <c r="K113" i="46"/>
  <c r="O113" i="46" s="1"/>
  <c r="M59" i="46"/>
  <c r="P59" i="46" s="1"/>
  <c r="K92" i="46"/>
  <c r="O92" i="46" s="1"/>
  <c r="K26" i="46"/>
  <c r="O26" i="46" s="1"/>
  <c r="M77" i="46"/>
  <c r="P77" i="46" s="1"/>
  <c r="M16" i="46"/>
  <c r="P16" i="46" s="1"/>
  <c r="M60" i="46"/>
  <c r="P60" i="46" s="1"/>
  <c r="K8" i="46"/>
  <c r="O8" i="46" s="1"/>
  <c r="M74" i="46"/>
  <c r="P74" i="46" s="1"/>
  <c r="M19" i="46"/>
  <c r="P19" i="46" s="1"/>
  <c r="K50" i="46"/>
  <c r="O50" i="46" s="1"/>
  <c r="M2" i="46"/>
  <c r="P2" i="46" s="1"/>
  <c r="K5" i="46"/>
  <c r="O5" i="46" s="1"/>
  <c r="K9" i="46"/>
  <c r="O9" i="46" s="1"/>
  <c r="K100" i="46"/>
  <c r="O100" i="46" s="1"/>
  <c r="K12" i="46"/>
  <c r="O12" i="46" s="1"/>
  <c r="M173" i="46"/>
  <c r="P173" i="46" s="1"/>
  <c r="M141" i="46"/>
  <c r="P141" i="46" s="1"/>
  <c r="K204" i="46"/>
  <c r="O204" i="46" s="1"/>
  <c r="K172" i="46"/>
  <c r="O172" i="46" s="1"/>
  <c r="K140" i="46"/>
  <c r="O140" i="46" s="1"/>
  <c r="K189" i="46"/>
  <c r="O189" i="46" s="1"/>
  <c r="K157" i="46"/>
  <c r="O157" i="46" s="1"/>
  <c r="K125" i="46"/>
  <c r="O125" i="46" s="1"/>
  <c r="M120" i="46"/>
  <c r="P120" i="46" s="1"/>
  <c r="M156" i="46"/>
  <c r="P156" i="46" s="1"/>
  <c r="M106" i="46"/>
  <c r="P106" i="46" s="1"/>
  <c r="M73" i="46"/>
  <c r="P73" i="46" s="1"/>
  <c r="M162" i="46"/>
  <c r="P162" i="46" s="1"/>
  <c r="M187" i="46"/>
  <c r="P187" i="46" s="1"/>
  <c r="M123" i="46"/>
  <c r="P123" i="46" s="1"/>
  <c r="K81" i="46"/>
  <c r="O81" i="46" s="1"/>
  <c r="K168" i="46"/>
  <c r="O168" i="46" s="1"/>
  <c r="M104" i="46"/>
  <c r="P104" i="46" s="1"/>
  <c r="M179" i="46"/>
  <c r="P179" i="46" s="1"/>
  <c r="M88" i="46"/>
  <c r="P88" i="46" s="1"/>
  <c r="M54" i="46"/>
  <c r="P54" i="46" s="1"/>
  <c r="M32" i="46"/>
  <c r="P32" i="46" s="1"/>
  <c r="K145" i="46"/>
  <c r="O145" i="46" s="1"/>
  <c r="M82" i="46"/>
  <c r="P82" i="46" s="1"/>
  <c r="K46" i="46"/>
  <c r="O46" i="46" s="1"/>
  <c r="K82" i="46"/>
  <c r="O82" i="46" s="1"/>
  <c r="K47" i="46"/>
  <c r="O47" i="46" s="1"/>
  <c r="M96" i="46"/>
  <c r="P96" i="46" s="1"/>
  <c r="K57" i="46"/>
  <c r="O57" i="46" s="1"/>
  <c r="M22" i="46"/>
  <c r="P22" i="46" s="1"/>
  <c r="M72" i="46"/>
  <c r="P72" i="46" s="1"/>
  <c r="K15" i="46"/>
  <c r="O15" i="46" s="1"/>
  <c r="K58" i="46"/>
  <c r="O58" i="46" s="1"/>
  <c r="K114" i="46"/>
  <c r="O114" i="46" s="1"/>
  <c r="K66" i="46"/>
  <c r="O66" i="46" s="1"/>
  <c r="M13" i="46"/>
  <c r="P13" i="46" s="1"/>
  <c r="M38" i="46"/>
  <c r="P38" i="46" s="1"/>
  <c r="K2" i="46"/>
  <c r="O2" i="46" s="1"/>
  <c r="M29" i="46"/>
  <c r="P29" i="46" s="1"/>
  <c r="M85" i="46"/>
  <c r="P85" i="46" s="1"/>
  <c r="K59" i="46"/>
  <c r="O59" i="46" s="1"/>
  <c r="K10" i="46"/>
  <c r="O10" i="46" s="1"/>
  <c r="K188" i="46"/>
  <c r="O188" i="46" s="1"/>
  <c r="K141" i="46"/>
  <c r="O141" i="46" s="1"/>
  <c r="M136" i="46"/>
  <c r="P136" i="46" s="1"/>
  <c r="M130" i="46"/>
  <c r="P130" i="46" s="1"/>
  <c r="K65" i="46"/>
  <c r="O65" i="46" s="1"/>
  <c r="K72" i="46"/>
  <c r="O72" i="46" s="1"/>
  <c r="K22" i="46"/>
  <c r="O22" i="46" s="1"/>
  <c r="K17" i="46"/>
  <c r="O17" i="46" s="1"/>
  <c r="M108" i="46"/>
  <c r="P108" i="46" s="1"/>
  <c r="K123" i="46"/>
  <c r="O123" i="46" s="1"/>
  <c r="M199" i="46"/>
  <c r="P199" i="46" s="1"/>
  <c r="K166" i="46"/>
  <c r="O166" i="46" s="1"/>
  <c r="K186" i="46"/>
  <c r="O186" i="46" s="1"/>
  <c r="K192" i="46"/>
  <c r="O192" i="46" s="1"/>
  <c r="K193" i="46"/>
  <c r="O193" i="46" s="1"/>
  <c r="K203" i="46"/>
  <c r="O203" i="46" s="1"/>
  <c r="K171" i="46"/>
  <c r="O171" i="46" s="1"/>
  <c r="K139" i="46"/>
  <c r="O139" i="46" s="1"/>
  <c r="M198" i="46"/>
  <c r="P198" i="46" s="1"/>
  <c r="M166" i="46"/>
  <c r="P166" i="46" s="1"/>
  <c r="M134" i="46"/>
  <c r="P134" i="46" s="1"/>
  <c r="M183" i="46"/>
  <c r="P183" i="46" s="1"/>
  <c r="M151" i="46"/>
  <c r="P151" i="46" s="1"/>
  <c r="M119" i="46"/>
  <c r="P119" i="46" s="1"/>
  <c r="K182" i="46"/>
  <c r="O182" i="46" s="1"/>
  <c r="K150" i="46"/>
  <c r="O150" i="46" s="1"/>
  <c r="K118" i="46"/>
  <c r="O118" i="46" s="1"/>
  <c r="K159" i="46"/>
  <c r="O159" i="46" s="1"/>
  <c r="K154" i="46"/>
  <c r="O154" i="46" s="1"/>
  <c r="K167" i="46"/>
  <c r="O167" i="46" s="1"/>
  <c r="K104" i="46"/>
  <c r="O104" i="46" s="1"/>
  <c r="K71" i="46"/>
  <c r="O71" i="46" s="1"/>
  <c r="K160" i="46"/>
  <c r="O160" i="46" s="1"/>
  <c r="K105" i="46"/>
  <c r="O105" i="46" s="1"/>
  <c r="K185" i="46"/>
  <c r="O185" i="46" s="1"/>
  <c r="K121" i="46"/>
  <c r="O121" i="46" s="1"/>
  <c r="K162" i="46"/>
  <c r="O162" i="46" s="1"/>
  <c r="M101" i="46"/>
  <c r="P101" i="46" s="1"/>
  <c r="K161" i="46"/>
  <c r="O161" i="46" s="1"/>
  <c r="M86" i="46"/>
  <c r="P86" i="46" s="1"/>
  <c r="K52" i="46"/>
  <c r="O52" i="46" s="1"/>
  <c r="M202" i="46"/>
  <c r="P202" i="46" s="1"/>
  <c r="K107" i="46"/>
  <c r="O107" i="46" s="1"/>
  <c r="M114" i="46"/>
  <c r="P114" i="46" s="1"/>
  <c r="M79" i="46"/>
  <c r="P79" i="46" s="1"/>
  <c r="K39" i="46"/>
  <c r="O39" i="46" s="1"/>
  <c r="K76" i="46"/>
  <c r="O76" i="46" s="1"/>
  <c r="M94" i="46"/>
  <c r="P94" i="46" s="1"/>
  <c r="M51" i="46"/>
  <c r="P51" i="46" s="1"/>
  <c r="K20" i="46"/>
  <c r="O20" i="46" s="1"/>
  <c r="M58" i="46"/>
  <c r="P58" i="46" s="1"/>
  <c r="M50" i="46"/>
  <c r="P50" i="46" s="1"/>
  <c r="K11" i="46"/>
  <c r="O11" i="46" s="1"/>
  <c r="K33" i="46"/>
  <c r="O33" i="46" s="1"/>
  <c r="M25" i="46"/>
  <c r="P25" i="46" s="1"/>
  <c r="M27" i="46"/>
  <c r="P27" i="46" s="1"/>
  <c r="M45" i="46"/>
  <c r="P45" i="46" s="1"/>
  <c r="M35" i="46"/>
  <c r="P35" i="46" s="1"/>
  <c r="M7" i="46"/>
  <c r="P7" i="46" s="1"/>
  <c r="M125" i="46"/>
  <c r="P125" i="46" s="1"/>
  <c r="M165" i="46"/>
  <c r="P165" i="46" s="1"/>
  <c r="M133" i="46"/>
  <c r="P133" i="46" s="1"/>
  <c r="K196" i="46"/>
  <c r="O196" i="46" s="1"/>
  <c r="K164" i="46"/>
  <c r="O164" i="46" s="1"/>
  <c r="K132" i="46"/>
  <c r="O132" i="46" s="1"/>
  <c r="K181" i="46"/>
  <c r="O181" i="46" s="1"/>
  <c r="K149" i="46"/>
  <c r="O149" i="46" s="1"/>
  <c r="K117" i="46"/>
  <c r="O117" i="46" s="1"/>
  <c r="M176" i="46"/>
  <c r="P176" i="46" s="1"/>
  <c r="M144" i="46"/>
  <c r="P144" i="46" s="1"/>
  <c r="M112" i="46"/>
  <c r="P112" i="46" s="1"/>
  <c r="M204" i="46"/>
  <c r="P204" i="46" s="1"/>
  <c r="M97" i="46"/>
  <c r="P97" i="46" s="1"/>
  <c r="M146" i="46"/>
  <c r="P146" i="46" s="1"/>
  <c r="M98" i="46"/>
  <c r="P98" i="46" s="1"/>
  <c r="M171" i="46"/>
  <c r="P171" i="46" s="1"/>
  <c r="K106" i="46"/>
  <c r="O106" i="46" s="1"/>
  <c r="K73" i="46"/>
  <c r="O73" i="46" s="1"/>
  <c r="M147" i="46"/>
  <c r="P147" i="46" s="1"/>
  <c r="K85" i="46"/>
  <c r="O85" i="46" s="1"/>
  <c r="M145" i="46"/>
  <c r="P145" i="46" s="1"/>
  <c r="M46" i="46"/>
  <c r="P46" i="46" s="1"/>
  <c r="M95" i="46"/>
  <c r="P95" i="46" s="1"/>
  <c r="K111" i="46"/>
  <c r="O111" i="46" s="1"/>
  <c r="K67" i="46"/>
  <c r="O67" i="46" s="1"/>
  <c r="M33" i="46"/>
  <c r="P33" i="46" s="1"/>
  <c r="K127" i="46"/>
  <c r="O127" i="46" s="1"/>
  <c r="K70" i="46"/>
  <c r="O70" i="46" s="1"/>
  <c r="M163" i="46"/>
  <c r="P163" i="46" s="1"/>
  <c r="M92" i="46"/>
  <c r="P92" i="46" s="1"/>
  <c r="K49" i="46"/>
  <c r="O49" i="46" s="1"/>
  <c r="K45" i="46"/>
  <c r="O45" i="46" s="1"/>
  <c r="K14" i="46"/>
  <c r="O14" i="46" s="1"/>
  <c r="K56" i="46"/>
  <c r="O56" i="46" s="1"/>
  <c r="K7" i="46"/>
  <c r="O7" i="46" s="1"/>
  <c r="K31" i="46"/>
  <c r="O31" i="46" s="1"/>
  <c r="K51" i="46"/>
  <c r="O51" i="46" s="1"/>
  <c r="K48" i="46"/>
  <c r="O48" i="46" s="1"/>
  <c r="M5" i="46"/>
  <c r="P5" i="46" s="1"/>
  <c r="K19" i="46"/>
  <c r="O19" i="46" s="1"/>
  <c r="K13" i="46"/>
  <c r="O13" i="46" s="1"/>
  <c r="M11" i="46"/>
  <c r="P11" i="46" s="1"/>
  <c r="K53" i="46"/>
  <c r="O53" i="46" s="1"/>
  <c r="K4" i="46"/>
  <c r="O4" i="46" s="1"/>
  <c r="M40" i="46"/>
  <c r="P40" i="46" s="1"/>
  <c r="M168" i="46"/>
  <c r="P168" i="46" s="1"/>
  <c r="M90" i="46"/>
  <c r="P90" i="46" s="1"/>
  <c r="M122" i="46"/>
  <c r="P122" i="46" s="1"/>
  <c r="M39" i="46"/>
  <c r="P39" i="46" s="1"/>
  <c r="K61" i="46"/>
  <c r="O61" i="46" s="1"/>
  <c r="M138" i="46"/>
  <c r="P138" i="46" s="1"/>
  <c r="K6" i="46"/>
  <c r="O6" i="46" s="1"/>
  <c r="M43" i="46"/>
  <c r="P43" i="46" s="1"/>
  <c r="M55" i="46"/>
  <c r="P55" i="46" s="1"/>
  <c r="M4" i="46"/>
  <c r="P4" i="46" s="1"/>
  <c r="K155" i="46"/>
  <c r="O155" i="46" s="1"/>
  <c r="M167" i="46"/>
  <c r="P167" i="46" s="1"/>
  <c r="K134" i="46"/>
  <c r="O134" i="46" s="1"/>
  <c r="K135" i="46"/>
  <c r="O135" i="46" s="1"/>
  <c r="K88" i="46"/>
  <c r="O88" i="46" s="1"/>
  <c r="K195" i="46"/>
  <c r="O195" i="46" s="1"/>
  <c r="K163" i="46"/>
  <c r="O163" i="46" s="1"/>
  <c r="K131" i="46"/>
  <c r="O131" i="46" s="1"/>
  <c r="M190" i="46"/>
  <c r="P190" i="46" s="1"/>
  <c r="M175" i="46"/>
  <c r="P175" i="46" s="1"/>
  <c r="M143" i="46"/>
  <c r="P143" i="46" s="1"/>
  <c r="M111" i="46"/>
  <c r="P111" i="46" s="1"/>
  <c r="K174" i="46"/>
  <c r="O174" i="46" s="1"/>
  <c r="K142" i="46"/>
  <c r="O142" i="46" s="1"/>
  <c r="K110" i="46"/>
  <c r="O110" i="46" s="1"/>
  <c r="K202" i="46"/>
  <c r="O202" i="46" s="1"/>
  <c r="K138" i="46"/>
  <c r="O138" i="46" s="1"/>
  <c r="K151" i="46"/>
  <c r="O151" i="46" s="1"/>
  <c r="K95" i="46"/>
  <c r="O95" i="46" s="1"/>
  <c r="K63" i="46"/>
  <c r="O63" i="46" s="1"/>
  <c r="K144" i="46"/>
  <c r="O144" i="46" s="1"/>
  <c r="K96" i="46"/>
  <c r="O96" i="46" s="1"/>
  <c r="K169" i="46"/>
  <c r="O169" i="46" s="1"/>
  <c r="M99" i="46"/>
  <c r="P99" i="46" s="1"/>
  <c r="M67" i="46"/>
  <c r="P67" i="46" s="1"/>
  <c r="M129" i="46"/>
  <c r="P129" i="46" s="1"/>
  <c r="K83" i="46"/>
  <c r="O83" i="46" s="1"/>
  <c r="K75" i="46"/>
  <c r="O75" i="46" s="1"/>
  <c r="K43" i="46"/>
  <c r="O43" i="46" s="1"/>
  <c r="K184" i="46"/>
  <c r="O184" i="46" s="1"/>
  <c r="M105" i="46"/>
  <c r="P105" i="46" s="1"/>
  <c r="K64" i="46"/>
  <c r="O64" i="46" s="1"/>
  <c r="K32" i="46"/>
  <c r="O32" i="46" s="1"/>
  <c r="M124" i="46"/>
  <c r="P124" i="46" s="1"/>
  <c r="M68" i="46"/>
  <c r="P68" i="46" s="1"/>
  <c r="K152" i="46"/>
  <c r="O152" i="46" s="1"/>
  <c r="M80" i="46"/>
  <c r="P80" i="46" s="1"/>
  <c r="M42" i="46"/>
  <c r="P42" i="46" s="1"/>
  <c r="K35" i="46"/>
  <c r="O35" i="46" s="1"/>
  <c r="M8" i="46"/>
  <c r="P8" i="46" s="1"/>
  <c r="K30" i="46"/>
  <c r="O30" i="46" s="1"/>
  <c r="K143" i="46"/>
  <c r="O143" i="46" s="1"/>
  <c r="M23" i="46"/>
  <c r="P23" i="46" s="1"/>
  <c r="K42" i="46"/>
  <c r="O42" i="46" s="1"/>
  <c r="K3" i="46"/>
  <c r="O3" i="46" s="1"/>
  <c r="K18" i="46"/>
  <c r="O18" i="46" s="1"/>
  <c r="M66" i="46"/>
  <c r="P66" i="46" s="1"/>
  <c r="M3" i="46"/>
  <c r="P3" i="46" s="1"/>
  <c r="K44" i="46"/>
  <c r="O44" i="46" s="1"/>
  <c r="M18" i="46"/>
  <c r="P18" i="46" s="1"/>
  <c r="K23" i="46"/>
  <c r="O23" i="46" s="1"/>
  <c r="K173" i="46"/>
  <c r="O173" i="46" s="1"/>
  <c r="M193" i="46"/>
  <c r="P193" i="46" s="1"/>
  <c r="M89" i="46"/>
  <c r="P89" i="46" s="1"/>
  <c r="K80" i="46"/>
  <c r="O80" i="46" s="1"/>
  <c r="K178" i="46"/>
  <c r="O178" i="46" s="1"/>
  <c r="K74" i="46"/>
  <c r="O74" i="46" s="1"/>
  <c r="K29" i="46"/>
  <c r="O29" i="46" s="1"/>
  <c r="K40" i="46"/>
  <c r="O40" i="46" s="1"/>
  <c r="M28" i="46"/>
  <c r="P28" i="46" s="1"/>
  <c r="M182" i="46"/>
  <c r="P182" i="46" s="1"/>
  <c r="K198" i="46"/>
  <c r="O198" i="46" s="1"/>
  <c r="K199" i="46"/>
  <c r="O199" i="46" s="1"/>
  <c r="K128" i="46"/>
  <c r="O128" i="46" s="1"/>
  <c r="M91" i="46"/>
  <c r="P91" i="46" s="1"/>
  <c r="K156" i="46"/>
  <c r="O156" i="46" s="1"/>
  <c r="M31" i="46"/>
  <c r="P31" i="46" s="1"/>
  <c r="K16" i="46"/>
  <c r="O16" i="46" s="1"/>
  <c r="K116" i="46"/>
  <c r="O116" i="46" s="1"/>
  <c r="M56" i="46"/>
  <c r="P56" i="46" s="1"/>
  <c r="K194" i="46"/>
  <c r="O194" i="46" s="1"/>
  <c r="M30" i="46"/>
  <c r="P30" i="46" s="1"/>
  <c r="K77" i="46"/>
  <c r="O77" i="46" s="1"/>
  <c r="K177" i="46"/>
  <c r="O177" i="46" s="1"/>
  <c r="K28" i="46"/>
  <c r="O28" i="46" s="1"/>
  <c r="M24" i="46"/>
  <c r="P24" i="46" s="1"/>
  <c r="K122" i="46"/>
  <c r="O122" i="46" s="1"/>
  <c r="K109" i="46"/>
  <c r="O109" i="46" s="1"/>
  <c r="M71" i="46"/>
  <c r="P71" i="46" s="1"/>
  <c r="K25" i="46"/>
  <c r="O25" i="46" s="1"/>
  <c r="K69" i="46"/>
  <c r="O69" i="46" s="1"/>
  <c r="M26" i="46"/>
  <c r="P26" i="46" s="1"/>
  <c r="K38" i="46"/>
  <c r="O38" i="46" s="1"/>
  <c r="K130" i="46"/>
  <c r="O130" i="46" s="1"/>
  <c r="K102" i="46"/>
  <c r="O102" i="46" s="1"/>
  <c r="M154" i="46"/>
  <c r="P154" i="46" s="1"/>
  <c r="K68" i="46"/>
  <c r="O68" i="46" s="1"/>
  <c r="M76" i="46"/>
  <c r="P76" i="46" s="1"/>
  <c r="K34" i="46"/>
  <c r="O34" i="46" s="1"/>
  <c r="M69" i="46"/>
  <c r="P69" i="46" s="1"/>
  <c r="I45" i="46"/>
  <c r="H37" i="46"/>
  <c r="L109" i="26"/>
  <c r="L167" i="26"/>
  <c r="L46" i="26"/>
  <c r="L33" i="26"/>
  <c r="L45" i="26"/>
  <c r="L77" i="26"/>
  <c r="L147" i="26"/>
  <c r="L129" i="26"/>
  <c r="L169" i="26"/>
  <c r="L104" i="26"/>
  <c r="L27" i="26"/>
  <c r="L137" i="26"/>
  <c r="L194" i="26"/>
  <c r="L16" i="26"/>
  <c r="L160" i="26"/>
  <c r="L192" i="26"/>
  <c r="L20" i="26"/>
  <c r="L8" i="26"/>
  <c r="L113" i="26"/>
  <c r="L21" i="26"/>
  <c r="L39" i="26"/>
  <c r="L178" i="26"/>
  <c r="L144" i="26"/>
  <c r="L65" i="26"/>
  <c r="L146" i="26"/>
  <c r="L114" i="26"/>
  <c r="L131" i="26"/>
  <c r="L56" i="26"/>
  <c r="L43" i="26"/>
  <c r="L190" i="26"/>
  <c r="L176" i="26"/>
  <c r="L149" i="26"/>
  <c r="L59" i="26"/>
  <c r="L52" i="26"/>
  <c r="L185" i="26"/>
  <c r="L22" i="26"/>
  <c r="L72" i="26"/>
  <c r="L119" i="26"/>
  <c r="L195" i="26"/>
  <c r="L31" i="26"/>
  <c r="L110" i="26"/>
  <c r="L116" i="26"/>
  <c r="L171" i="26"/>
  <c r="L127" i="26"/>
  <c r="L121" i="26"/>
  <c r="L140" i="26"/>
  <c r="L34" i="26"/>
  <c r="I44" i="40"/>
  <c r="I45" i="40"/>
  <c r="H37" i="40"/>
  <c r="L147" i="39"/>
  <c r="L52" i="39"/>
  <c r="L149" i="39"/>
  <c r="L189" i="39"/>
  <c r="L91" i="39"/>
  <c r="L119" i="39"/>
  <c r="L128" i="39"/>
  <c r="A240" i="33"/>
  <c r="A245" i="33"/>
  <c r="A246" i="33"/>
  <c r="A238" i="33"/>
  <c r="A235" i="33"/>
  <c r="A239" i="33"/>
  <c r="A254" i="33"/>
  <c r="A257" i="33"/>
  <c r="A248" i="33"/>
  <c r="A251" i="33"/>
  <c r="A256" i="33"/>
  <c r="A255" i="33"/>
  <c r="A243" i="33"/>
  <c r="A247" i="33"/>
  <c r="A252" i="33"/>
  <c r="A260" i="33"/>
  <c r="A261" i="33"/>
  <c r="A242" i="33"/>
  <c r="A253" i="33"/>
  <c r="A250" i="33"/>
  <c r="A259" i="33"/>
  <c r="A258" i="33"/>
  <c r="A244" i="33"/>
  <c r="A249" i="33"/>
  <c r="A237" i="33"/>
  <c r="A241" i="33"/>
  <c r="A236" i="33"/>
  <c r="L87" i="39"/>
  <c r="L146" i="39"/>
  <c r="L57" i="39"/>
  <c r="L19" i="39"/>
  <c r="L115" i="39"/>
  <c r="L43" i="39"/>
  <c r="L193" i="39"/>
  <c r="L105" i="39"/>
  <c r="L99" i="39"/>
  <c r="I22" i="39"/>
  <c r="L64" i="39"/>
  <c r="L3" i="39"/>
  <c r="L80" i="39"/>
  <c r="L169" i="39"/>
  <c r="L110" i="39"/>
  <c r="L159" i="39"/>
  <c r="L11" i="39"/>
  <c r="L86" i="39"/>
  <c r="L158" i="39"/>
  <c r="L50" i="39"/>
  <c r="L7" i="39"/>
  <c r="L157" i="39"/>
  <c r="L38" i="39"/>
  <c r="L179" i="39"/>
  <c r="L63" i="39"/>
  <c r="L120" i="39"/>
  <c r="L150" i="39"/>
  <c r="L59" i="39"/>
  <c r="L30" i="39"/>
  <c r="L12" i="39"/>
  <c r="L75" i="39"/>
  <c r="L6" i="39"/>
  <c r="L148" i="39"/>
  <c r="L172" i="39"/>
  <c r="L192" i="39"/>
  <c r="L160" i="39"/>
  <c r="L83" i="39"/>
  <c r="L109" i="39"/>
  <c r="L35" i="39"/>
  <c r="L37" i="39"/>
  <c r="L161" i="39"/>
  <c r="L14" i="39"/>
  <c r="E28" i="3"/>
  <c r="E22" i="3"/>
  <c r="H40" i="10"/>
  <c r="I37" i="6"/>
  <c r="H34" i="6"/>
  <c r="H35" i="6"/>
  <c r="I29" i="6"/>
  <c r="I27" i="6"/>
  <c r="L13" i="39"/>
  <c r="L134" i="39"/>
  <c r="L36" i="39"/>
  <c r="L8" i="39"/>
  <c r="L62" i="39"/>
  <c r="L24" i="39"/>
  <c r="L202" i="39"/>
  <c r="L162" i="39"/>
  <c r="L200" i="39"/>
  <c r="L164" i="39"/>
  <c r="L175" i="39"/>
  <c r="L81" i="39"/>
  <c r="L144" i="39"/>
  <c r="L104" i="39"/>
  <c r="L166" i="39"/>
  <c r="L165" i="39"/>
  <c r="L79" i="39"/>
  <c r="L143" i="39"/>
  <c r="L53" i="39"/>
  <c r="L93" i="39"/>
  <c r="L73" i="39"/>
  <c r="L111" i="39"/>
  <c r="L49" i="39"/>
  <c r="L77" i="39"/>
  <c r="L114" i="39"/>
  <c r="L194" i="39"/>
  <c r="L27" i="39"/>
  <c r="L68" i="39"/>
  <c r="L39" i="39"/>
  <c r="L10" i="39"/>
  <c r="L85" i="39"/>
  <c r="L199" i="39"/>
  <c r="L204" i="39"/>
  <c r="L92" i="39"/>
  <c r="L56" i="39"/>
  <c r="L197" i="39"/>
  <c r="L32" i="39"/>
  <c r="L139" i="39"/>
  <c r="L117" i="39"/>
  <c r="L182" i="39"/>
  <c r="L102" i="39"/>
  <c r="L156" i="39"/>
  <c r="L167" i="39"/>
  <c r="L46" i="39"/>
  <c r="L101" i="39"/>
  <c r="L84" i="39"/>
  <c r="L23" i="39"/>
  <c r="L9" i="39"/>
  <c r="I21" i="39"/>
  <c r="I29" i="39" s="1"/>
  <c r="L48" i="39"/>
  <c r="L74" i="39"/>
  <c r="L107" i="39"/>
  <c r="L171" i="39"/>
  <c r="L112" i="39"/>
  <c r="L95" i="39"/>
  <c r="L71" i="39"/>
  <c r="L154" i="39"/>
  <c r="L17" i="39"/>
  <c r="L138" i="39"/>
  <c r="L125" i="39"/>
  <c r="L61" i="39"/>
  <c r="L122" i="39"/>
  <c r="L94" i="39"/>
  <c r="L201" i="39"/>
  <c r="L124" i="39"/>
  <c r="L16" i="39"/>
  <c r="L34" i="39"/>
  <c r="L152" i="39"/>
  <c r="L89" i="39"/>
  <c r="L33" i="39"/>
  <c r="L54" i="39"/>
  <c r="L196" i="39"/>
  <c r="L72" i="39"/>
  <c r="L96" i="39"/>
  <c r="L190" i="39"/>
  <c r="L188" i="39"/>
  <c r="L123" i="39"/>
  <c r="L116" i="39"/>
  <c r="L25" i="39"/>
  <c r="L142" i="39"/>
  <c r="L133" i="39"/>
  <c r="L127" i="39"/>
  <c r="L170" i="39"/>
  <c r="L153" i="39"/>
  <c r="L126" i="39"/>
  <c r="L137" i="39"/>
  <c r="L155" i="39"/>
  <c r="L129" i="39"/>
  <c r="L181" i="39"/>
  <c r="L131" i="39"/>
  <c r="L4" i="39"/>
  <c r="I38" i="10"/>
  <c r="L58" i="39"/>
  <c r="L130" i="39"/>
  <c r="L173" i="39"/>
  <c r="L176" i="39"/>
  <c r="L70" i="39"/>
  <c r="L141" i="39"/>
  <c r="L145" i="39"/>
  <c r="L140" i="39"/>
  <c r="L31" i="39"/>
  <c r="L135" i="39"/>
  <c r="L88" i="39"/>
  <c r="L184" i="39"/>
  <c r="L15" i="39"/>
  <c r="L82" i="39"/>
  <c r="L29" i="39"/>
  <c r="I14" i="26"/>
  <c r="I28" i="26"/>
  <c r="L69" i="39"/>
  <c r="L55" i="39"/>
  <c r="L203" i="39"/>
  <c r="L41" i="39"/>
  <c r="L106" i="39"/>
  <c r="L187" i="39"/>
  <c r="L76" i="39"/>
  <c r="L195" i="39"/>
  <c r="L42" i="39"/>
  <c r="L90" i="39"/>
  <c r="L26" i="39"/>
  <c r="L198" i="39"/>
  <c r="L163" i="39"/>
  <c r="L113" i="39"/>
  <c r="L66" i="39"/>
  <c r="L185" i="39"/>
  <c r="I14" i="39"/>
  <c r="I27" i="39"/>
  <c r="I28" i="39"/>
  <c r="L44" i="39"/>
  <c r="L100" i="39"/>
  <c r="L47" i="39"/>
  <c r="L2" i="39"/>
  <c r="L151" i="39"/>
  <c r="L45" i="39"/>
  <c r="L168" i="39"/>
  <c r="L132" i="39"/>
  <c r="L40" i="39"/>
  <c r="L65" i="39"/>
  <c r="L183" i="39"/>
  <c r="L118" i="39"/>
  <c r="L21" i="39"/>
  <c r="L5" i="39"/>
  <c r="L51" i="39"/>
  <c r="L136" i="39"/>
  <c r="I44" i="10"/>
  <c r="H34" i="10"/>
  <c r="I37" i="10"/>
  <c r="H35" i="10"/>
  <c r="I38" i="6"/>
  <c r="L67" i="39"/>
  <c r="L191" i="39"/>
  <c r="L20" i="39"/>
  <c r="L97" i="39"/>
  <c r="L28" i="39"/>
  <c r="L18" i="39"/>
  <c r="L178" i="39"/>
  <c r="L177" i="39"/>
  <c r="L60" i="39"/>
  <c r="L180" i="39"/>
  <c r="L108" i="39"/>
  <c r="L78" i="39"/>
  <c r="L121" i="39"/>
  <c r="L22" i="39"/>
  <c r="L174" i="39"/>
  <c r="L98" i="39"/>
  <c r="I27" i="26" l="1"/>
  <c r="I29" i="40"/>
  <c r="H38" i="40" s="1"/>
  <c r="H40" i="40" s="1"/>
  <c r="M111" i="26"/>
  <c r="P111" i="26" s="1"/>
  <c r="I30" i="40"/>
  <c r="I37" i="40" s="1"/>
  <c r="I30" i="46"/>
  <c r="I38" i="40"/>
  <c r="H34" i="40"/>
  <c r="I38" i="46"/>
  <c r="H40" i="46"/>
  <c r="M173" i="26"/>
  <c r="P173" i="26" s="1"/>
  <c r="M154" i="26"/>
  <c r="P154" i="26" s="1"/>
  <c r="D4" i="36"/>
  <c r="C23" i="36" s="1"/>
  <c r="D4" i="45"/>
  <c r="M50" i="26"/>
  <c r="P50" i="26" s="1"/>
  <c r="M91" i="26"/>
  <c r="P91" i="26" s="1"/>
  <c r="M40" i="26"/>
  <c r="P40" i="26" s="1"/>
  <c r="M119" i="26"/>
  <c r="P119" i="26" s="1"/>
  <c r="H35" i="46"/>
  <c r="H34" i="46"/>
  <c r="I37" i="46"/>
  <c r="I44" i="46"/>
  <c r="M25" i="39"/>
  <c r="P25" i="39" s="1"/>
  <c r="M54" i="39"/>
  <c r="P54" i="39" s="1"/>
  <c r="M33" i="26"/>
  <c r="P33" i="26" s="1"/>
  <c r="M141" i="26"/>
  <c r="P141" i="26" s="1"/>
  <c r="M101" i="26"/>
  <c r="P101" i="26" s="1"/>
  <c r="M20" i="26"/>
  <c r="P20" i="26" s="1"/>
  <c r="M142" i="26"/>
  <c r="P142" i="26" s="1"/>
  <c r="M140" i="26"/>
  <c r="P140" i="26" s="1"/>
  <c r="M152" i="26"/>
  <c r="P152" i="26" s="1"/>
  <c r="M3" i="26"/>
  <c r="P3" i="26" s="1"/>
  <c r="M203" i="26"/>
  <c r="P203" i="26" s="1"/>
  <c r="M58" i="26"/>
  <c r="P58" i="26" s="1"/>
  <c r="M5" i="26"/>
  <c r="P5" i="26" s="1"/>
  <c r="M193" i="26"/>
  <c r="P193" i="26" s="1"/>
  <c r="M123" i="39"/>
  <c r="P123" i="39" s="1"/>
  <c r="M61" i="39"/>
  <c r="P61" i="39" s="1"/>
  <c r="M32" i="39"/>
  <c r="P32" i="39" s="1"/>
  <c r="M117" i="26"/>
  <c r="P117" i="26" s="1"/>
  <c r="M139" i="26"/>
  <c r="P139" i="26" s="1"/>
  <c r="M169" i="26"/>
  <c r="P169" i="26" s="1"/>
  <c r="M89" i="26"/>
  <c r="P89" i="26" s="1"/>
  <c r="M60" i="26"/>
  <c r="P60" i="26" s="1"/>
  <c r="M199" i="26"/>
  <c r="P199" i="26" s="1"/>
  <c r="M34" i="26"/>
  <c r="P34" i="26" s="1"/>
  <c r="M4" i="26"/>
  <c r="P4" i="26" s="1"/>
  <c r="M139" i="39"/>
  <c r="P139" i="39" s="1"/>
  <c r="M37" i="26"/>
  <c r="P37" i="26" s="1"/>
  <c r="M107" i="26"/>
  <c r="P107" i="26" s="1"/>
  <c r="M68" i="26"/>
  <c r="P68" i="26" s="1"/>
  <c r="M35" i="26"/>
  <c r="P35" i="26" s="1"/>
  <c r="M121" i="26"/>
  <c r="P121" i="26" s="1"/>
  <c r="M31" i="26"/>
  <c r="P31" i="26" s="1"/>
  <c r="M62" i="26"/>
  <c r="P62" i="26" s="1"/>
  <c r="M48" i="26"/>
  <c r="P48" i="26" s="1"/>
  <c r="M77" i="26"/>
  <c r="P77" i="26" s="1"/>
  <c r="M52" i="26"/>
  <c r="P52" i="26" s="1"/>
  <c r="M188" i="39"/>
  <c r="P188" i="39" s="1"/>
  <c r="M152" i="39"/>
  <c r="P152" i="39" s="1"/>
  <c r="M125" i="39"/>
  <c r="P125" i="39" s="1"/>
  <c r="M107" i="39"/>
  <c r="P107" i="39" s="1"/>
  <c r="M197" i="39"/>
  <c r="P197" i="39" s="1"/>
  <c r="M106" i="26"/>
  <c r="P106" i="26" s="1"/>
  <c r="M44" i="26"/>
  <c r="P44" i="26" s="1"/>
  <c r="M131" i="26"/>
  <c r="P131" i="26" s="1"/>
  <c r="M129" i="26"/>
  <c r="P129" i="26" s="1"/>
  <c r="M49" i="26"/>
  <c r="P49" i="26" s="1"/>
  <c r="M127" i="26"/>
  <c r="P127" i="26" s="1"/>
  <c r="M86" i="26"/>
  <c r="P86" i="26" s="1"/>
  <c r="M182" i="26"/>
  <c r="P182" i="26" s="1"/>
  <c r="M61" i="26"/>
  <c r="P61" i="26" s="1"/>
  <c r="M76" i="26"/>
  <c r="P76" i="26" s="1"/>
  <c r="M28" i="26"/>
  <c r="P28" i="26" s="1"/>
  <c r="M88" i="26"/>
  <c r="P88" i="26" s="1"/>
  <c r="M114" i="26"/>
  <c r="P114" i="26" s="1"/>
  <c r="M83" i="26"/>
  <c r="P83" i="26" s="1"/>
  <c r="M109" i="26"/>
  <c r="P109" i="26" s="1"/>
  <c r="M110" i="26"/>
  <c r="P110" i="26" s="1"/>
  <c r="M80" i="26"/>
  <c r="P80" i="26" s="1"/>
  <c r="M116" i="39"/>
  <c r="P116" i="39" s="1"/>
  <c r="M87" i="26"/>
  <c r="P87" i="26" s="1"/>
  <c r="M78" i="26"/>
  <c r="P78" i="26" s="1"/>
  <c r="M23" i="26"/>
  <c r="P23" i="26" s="1"/>
  <c r="M84" i="26"/>
  <c r="P84" i="26" s="1"/>
  <c r="M38" i="26"/>
  <c r="P38" i="26" s="1"/>
  <c r="M171" i="26"/>
  <c r="P171" i="26" s="1"/>
  <c r="M195" i="26"/>
  <c r="P195" i="26" s="1"/>
  <c r="M22" i="26"/>
  <c r="P22" i="26" s="1"/>
  <c r="I32" i="26"/>
  <c r="M148" i="26"/>
  <c r="P148" i="26" s="1"/>
  <c r="M165" i="26"/>
  <c r="P165" i="26" s="1"/>
  <c r="M75" i="26"/>
  <c r="P75" i="26" s="1"/>
  <c r="M146" i="26"/>
  <c r="P146" i="26" s="1"/>
  <c r="M164" i="26"/>
  <c r="P164" i="26" s="1"/>
  <c r="M92" i="26"/>
  <c r="P92" i="26" s="1"/>
  <c r="M29" i="26"/>
  <c r="P29" i="26" s="1"/>
  <c r="M147" i="26"/>
  <c r="P147" i="26" s="1"/>
  <c r="M112" i="39"/>
  <c r="P112" i="39" s="1"/>
  <c r="M47" i="26"/>
  <c r="P47" i="26" s="1"/>
  <c r="M197" i="26"/>
  <c r="P197" i="26" s="1"/>
  <c r="M189" i="26"/>
  <c r="P189" i="26" s="1"/>
  <c r="M145" i="26"/>
  <c r="P145" i="26" s="1"/>
  <c r="M54" i="26"/>
  <c r="P54" i="26" s="1"/>
  <c r="M181" i="26"/>
  <c r="P181" i="26" s="1"/>
  <c r="M14" i="26"/>
  <c r="P14" i="26" s="1"/>
  <c r="M42" i="26"/>
  <c r="P42" i="26" s="1"/>
  <c r="M36" i="26"/>
  <c r="P36" i="26" s="1"/>
  <c r="M93" i="26"/>
  <c r="P93" i="26" s="1"/>
  <c r="M168" i="26"/>
  <c r="P168" i="26" s="1"/>
  <c r="M15" i="26"/>
  <c r="P15" i="26" s="1"/>
  <c r="M167" i="26"/>
  <c r="P167" i="26" s="1"/>
  <c r="M158" i="26"/>
  <c r="P158" i="26" s="1"/>
  <c r="M113" i="26"/>
  <c r="P113" i="26" s="1"/>
  <c r="M184" i="26"/>
  <c r="P184" i="26" s="1"/>
  <c r="M51" i="26"/>
  <c r="P51" i="26" s="1"/>
  <c r="M122" i="39"/>
  <c r="P122" i="39" s="1"/>
  <c r="M27" i="26"/>
  <c r="P27" i="26" s="1"/>
  <c r="M151" i="26"/>
  <c r="P151" i="26" s="1"/>
  <c r="M183" i="26"/>
  <c r="P183" i="26" s="1"/>
  <c r="M133" i="26"/>
  <c r="P133" i="26" s="1"/>
  <c r="M120" i="26"/>
  <c r="P120" i="26" s="1"/>
  <c r="M116" i="26"/>
  <c r="P116" i="26" s="1"/>
  <c r="M177" i="26"/>
  <c r="P177" i="26" s="1"/>
  <c r="M185" i="26"/>
  <c r="P185" i="26" s="1"/>
  <c r="M155" i="26"/>
  <c r="P155" i="26" s="1"/>
  <c r="M13" i="26"/>
  <c r="P13" i="26" s="1"/>
  <c r="M8" i="26"/>
  <c r="P8" i="26" s="1"/>
  <c r="M30" i="26"/>
  <c r="P30" i="26" s="1"/>
  <c r="M94" i="39"/>
  <c r="P94" i="39" s="1"/>
  <c r="M95" i="39"/>
  <c r="P95" i="39" s="1"/>
  <c r="M117" i="39"/>
  <c r="P117" i="39" s="1"/>
  <c r="M123" i="26"/>
  <c r="P123" i="26" s="1"/>
  <c r="M125" i="26"/>
  <c r="P125" i="26" s="1"/>
  <c r="M132" i="26"/>
  <c r="P132" i="26" s="1"/>
  <c r="M79" i="26"/>
  <c r="P79" i="26" s="1"/>
  <c r="M56" i="26"/>
  <c r="P56" i="26" s="1"/>
  <c r="M21" i="26"/>
  <c r="P21" i="26" s="1"/>
  <c r="M137" i="26"/>
  <c r="P137" i="26" s="1"/>
  <c r="M95" i="26"/>
  <c r="P95" i="26" s="1"/>
  <c r="M41" i="26"/>
  <c r="P41" i="26" s="1"/>
  <c r="M156" i="26"/>
  <c r="P156" i="26" s="1"/>
  <c r="M157" i="26"/>
  <c r="P157" i="26" s="1"/>
  <c r="M188" i="26"/>
  <c r="P188" i="26" s="1"/>
  <c r="M6" i="26"/>
  <c r="P6" i="26" s="1"/>
  <c r="M2" i="26"/>
  <c r="P2" i="26" s="1"/>
  <c r="M134" i="26"/>
  <c r="P134" i="26" s="1"/>
  <c r="M85" i="26"/>
  <c r="P85" i="26" s="1"/>
  <c r="M108" i="26"/>
  <c r="P108" i="26" s="1"/>
  <c r="M163" i="26"/>
  <c r="P163" i="26" s="1"/>
  <c r="M53" i="26"/>
  <c r="P53" i="26" s="1"/>
  <c r="M130" i="26"/>
  <c r="P130" i="26" s="1"/>
  <c r="M191" i="26"/>
  <c r="P191" i="26" s="1"/>
  <c r="M179" i="26"/>
  <c r="P179" i="26" s="1"/>
  <c r="M105" i="26"/>
  <c r="P105" i="26" s="1"/>
  <c r="M7" i="26"/>
  <c r="P7" i="26" s="1"/>
  <c r="M124" i="26"/>
  <c r="P124" i="26" s="1"/>
  <c r="M112" i="26"/>
  <c r="P112" i="26" s="1"/>
  <c r="M135" i="26"/>
  <c r="P135" i="26" s="1"/>
  <c r="M18" i="26"/>
  <c r="P18" i="26" s="1"/>
  <c r="M153" i="26"/>
  <c r="P153" i="26" s="1"/>
  <c r="I45" i="39"/>
  <c r="H37" i="39"/>
  <c r="H38" i="26"/>
  <c r="M67" i="26"/>
  <c r="P67" i="26" s="1"/>
  <c r="M202" i="26"/>
  <c r="P202" i="26" s="1"/>
  <c r="M25" i="26"/>
  <c r="P25" i="26" s="1"/>
  <c r="M190" i="39"/>
  <c r="P190" i="39" s="1"/>
  <c r="M34" i="39"/>
  <c r="P34" i="39" s="1"/>
  <c r="M73" i="26"/>
  <c r="P73" i="26" s="1"/>
  <c r="M99" i="26"/>
  <c r="P99" i="26" s="1"/>
  <c r="M174" i="26"/>
  <c r="P174" i="26" s="1"/>
  <c r="M19" i="26"/>
  <c r="P19" i="26" s="1"/>
  <c r="M149" i="26"/>
  <c r="P149" i="26" s="1"/>
  <c r="M65" i="26"/>
  <c r="P65" i="26" s="1"/>
  <c r="M192" i="26"/>
  <c r="P192" i="26" s="1"/>
  <c r="H38" i="6"/>
  <c r="H40" i="6" s="1"/>
  <c r="M115" i="26"/>
  <c r="P115" i="26" s="1"/>
  <c r="M10" i="26"/>
  <c r="P10" i="26" s="1"/>
  <c r="M55" i="26"/>
  <c r="P55" i="26" s="1"/>
  <c r="M204" i="26"/>
  <c r="P204" i="26" s="1"/>
  <c r="M161" i="26"/>
  <c r="P161" i="26" s="1"/>
  <c r="M170" i="26"/>
  <c r="P170" i="26" s="1"/>
  <c r="H38" i="39"/>
  <c r="H37" i="26"/>
  <c r="I45" i="26"/>
  <c r="M17" i="39"/>
  <c r="P17" i="39" s="1"/>
  <c r="M24" i="26"/>
  <c r="P24" i="26" s="1"/>
  <c r="M136" i="26"/>
  <c r="P136" i="26" s="1"/>
  <c r="M96" i="26"/>
  <c r="P96" i="26" s="1"/>
  <c r="M176" i="26"/>
  <c r="P176" i="26" s="1"/>
  <c r="M144" i="26"/>
  <c r="P144" i="26" s="1"/>
  <c r="M160" i="26"/>
  <c r="P160" i="26" s="1"/>
  <c r="M9" i="26"/>
  <c r="P9" i="26" s="1"/>
  <c r="M175" i="26"/>
  <c r="P175" i="26" s="1"/>
  <c r="M159" i="26"/>
  <c r="P159" i="26" s="1"/>
  <c r="M63" i="26"/>
  <c r="P63" i="26" s="1"/>
  <c r="M172" i="26"/>
  <c r="P172" i="26" s="1"/>
  <c r="M70" i="26"/>
  <c r="P70" i="26" s="1"/>
  <c r="M39" i="36"/>
  <c r="A15" i="36"/>
  <c r="A26" i="36"/>
  <c r="A21" i="36"/>
  <c r="A23" i="36"/>
  <c r="A19" i="36"/>
  <c r="C15" i="36"/>
  <c r="C19" i="36"/>
  <c r="M35" i="36"/>
  <c r="A12" i="36"/>
  <c r="M37" i="36"/>
  <c r="M28" i="36"/>
  <c r="M33" i="36"/>
  <c r="A36" i="36"/>
  <c r="A14" i="36"/>
  <c r="C35" i="36"/>
  <c r="A11" i="36"/>
  <c r="M21" i="36"/>
  <c r="A25" i="36"/>
  <c r="A33" i="36"/>
  <c r="M27" i="36"/>
  <c r="M19" i="36"/>
  <c r="M41" i="36"/>
  <c r="C37" i="36"/>
  <c r="C11" i="36"/>
  <c r="A20" i="36"/>
  <c r="A27" i="36"/>
  <c r="M24" i="36"/>
  <c r="A29" i="36"/>
  <c r="M20" i="36"/>
  <c r="C29" i="36"/>
  <c r="A35" i="36"/>
  <c r="A13" i="36"/>
  <c r="A16" i="36"/>
  <c r="C34" i="36"/>
  <c r="C16" i="36"/>
  <c r="C21" i="36"/>
  <c r="A30" i="36"/>
  <c r="M32" i="36"/>
  <c r="M43" i="36"/>
  <c r="C18" i="36"/>
  <c r="C17" i="36"/>
  <c r="C26" i="36"/>
  <c r="C14" i="36"/>
  <c r="M29" i="36"/>
  <c r="M31" i="36"/>
  <c r="M22" i="36"/>
  <c r="M25" i="36"/>
  <c r="M18" i="36"/>
  <c r="C30" i="36"/>
  <c r="C12" i="36"/>
  <c r="C36" i="36"/>
  <c r="C28" i="36"/>
  <c r="C25" i="36"/>
  <c r="M127" i="39"/>
  <c r="P127" i="39" s="1"/>
  <c r="M105" i="39"/>
  <c r="P105" i="39" s="1"/>
  <c r="M154" i="39"/>
  <c r="P154" i="39" s="1"/>
  <c r="K27" i="39"/>
  <c r="O27" i="39" s="1"/>
  <c r="M66" i="39"/>
  <c r="P66" i="39" s="1"/>
  <c r="K25" i="39"/>
  <c r="O25" i="39" s="1"/>
  <c r="K156" i="39"/>
  <c r="O156" i="39" s="1"/>
  <c r="M161" i="39"/>
  <c r="P161" i="39" s="1"/>
  <c r="K71" i="39"/>
  <c r="O71" i="39" s="1"/>
  <c r="K99" i="39"/>
  <c r="O99" i="39" s="1"/>
  <c r="K20" i="39"/>
  <c r="O20" i="39" s="1"/>
  <c r="M102" i="39"/>
  <c r="P102" i="39" s="1"/>
  <c r="K160" i="39"/>
  <c r="O160" i="39" s="1"/>
  <c r="M145" i="39"/>
  <c r="P145" i="39" s="1"/>
  <c r="K139" i="39"/>
  <c r="O139" i="39" s="1"/>
  <c r="K110" i="39"/>
  <c r="O110" i="39" s="1"/>
  <c r="M150" i="39"/>
  <c r="P150" i="39" s="1"/>
  <c r="M63" i="39"/>
  <c r="P63" i="39" s="1"/>
  <c r="M100" i="39"/>
  <c r="P100" i="39" s="1"/>
  <c r="K41" i="39"/>
  <c r="O41" i="39" s="1"/>
  <c r="M16" i="39"/>
  <c r="P16" i="39" s="1"/>
  <c r="K50" i="39"/>
  <c r="O50" i="39" s="1"/>
  <c r="K148" i="39"/>
  <c r="O148" i="39" s="1"/>
  <c r="K144" i="39"/>
  <c r="O144" i="39" s="1"/>
  <c r="K63" i="39"/>
  <c r="O63" i="39" s="1"/>
  <c r="M177" i="39"/>
  <c r="P177" i="39" s="1"/>
  <c r="M38" i="39"/>
  <c r="P38" i="39" s="1"/>
  <c r="M137" i="39"/>
  <c r="P137" i="39" s="1"/>
  <c r="M141" i="39"/>
  <c r="P141" i="39" s="1"/>
  <c r="M176" i="39"/>
  <c r="P176" i="39" s="1"/>
  <c r="M89" i="39"/>
  <c r="P89" i="39" s="1"/>
  <c r="M2" i="39"/>
  <c r="P2" i="39" s="1"/>
  <c r="M167" i="39"/>
  <c r="P167" i="39" s="1"/>
  <c r="M7" i="39"/>
  <c r="P7" i="39" s="1"/>
  <c r="M51" i="39"/>
  <c r="P51" i="39" s="1"/>
  <c r="M12" i="39"/>
  <c r="P12" i="39" s="1"/>
  <c r="K7" i="39"/>
  <c r="O7" i="39" s="1"/>
  <c r="K165" i="39"/>
  <c r="O165" i="39" s="1"/>
  <c r="K36" i="39"/>
  <c r="O36" i="39" s="1"/>
  <c r="K35" i="39"/>
  <c r="O35" i="39" s="1"/>
  <c r="M30" i="39"/>
  <c r="P30" i="39" s="1"/>
  <c r="K87" i="39"/>
  <c r="O87" i="39" s="1"/>
  <c r="K163" i="39"/>
  <c r="O163" i="39" s="1"/>
  <c r="K197" i="39"/>
  <c r="O197" i="39" s="1"/>
  <c r="M81" i="39"/>
  <c r="P81" i="39" s="1"/>
  <c r="K80" i="39"/>
  <c r="O80" i="39" s="1"/>
  <c r="M133" i="39"/>
  <c r="P133" i="39" s="1"/>
  <c r="K40" i="39"/>
  <c r="O40" i="39" s="1"/>
  <c r="K45" i="39"/>
  <c r="O45" i="39" s="1"/>
  <c r="K189" i="39"/>
  <c r="O189" i="39" s="1"/>
  <c r="K107" i="39"/>
  <c r="O107" i="39" s="1"/>
  <c r="M193" i="39"/>
  <c r="P193" i="39" s="1"/>
  <c r="K172" i="39"/>
  <c r="O172" i="39" s="1"/>
  <c r="M183" i="39"/>
  <c r="P183" i="39" s="1"/>
  <c r="M129" i="39"/>
  <c r="P129" i="39" s="1"/>
  <c r="M108" i="39"/>
  <c r="P108" i="39" s="1"/>
  <c r="K61" i="39"/>
  <c r="O61" i="39" s="1"/>
  <c r="K59" i="39"/>
  <c r="O59" i="39" s="1"/>
  <c r="M174" i="39"/>
  <c r="P174" i="39" s="1"/>
  <c r="K145" i="39"/>
  <c r="O145" i="39" s="1"/>
  <c r="K100" i="39"/>
  <c r="O100" i="39" s="1"/>
  <c r="K47" i="39"/>
  <c r="O47" i="39" s="1"/>
  <c r="M185" i="39"/>
  <c r="P185" i="39" s="1"/>
  <c r="K198" i="39"/>
  <c r="O198" i="39" s="1"/>
  <c r="M147" i="39"/>
  <c r="P147" i="39" s="1"/>
  <c r="K88" i="39"/>
  <c r="O88" i="39" s="1"/>
  <c r="M164" i="39"/>
  <c r="P164" i="39" s="1"/>
  <c r="M192" i="39"/>
  <c r="P192" i="39" s="1"/>
  <c r="M72" i="39"/>
  <c r="P72" i="39" s="1"/>
  <c r="M74" i="39"/>
  <c r="P74" i="39" s="1"/>
  <c r="K31" i="39"/>
  <c r="O31" i="39" s="1"/>
  <c r="K2" i="39"/>
  <c r="O2" i="39" s="1"/>
  <c r="K84" i="39"/>
  <c r="O84" i="39" s="1"/>
  <c r="K124" i="39"/>
  <c r="O124" i="39" s="1"/>
  <c r="K101" i="39"/>
  <c r="O101" i="39" s="1"/>
  <c r="K184" i="39"/>
  <c r="O184" i="39" s="1"/>
  <c r="M42" i="39"/>
  <c r="P42" i="39" s="1"/>
  <c r="K91" i="39"/>
  <c r="O91" i="39" s="1"/>
  <c r="K168" i="39"/>
  <c r="O168" i="39" s="1"/>
  <c r="M69" i="39"/>
  <c r="P69" i="39" s="1"/>
  <c r="K17" i="39"/>
  <c r="O17" i="39" s="1"/>
  <c r="K204" i="39"/>
  <c r="O204" i="39" s="1"/>
  <c r="K128" i="39"/>
  <c r="O128" i="39" s="1"/>
  <c r="M118" i="39"/>
  <c r="P118" i="39" s="1"/>
  <c r="M155" i="39"/>
  <c r="P155" i="39" s="1"/>
  <c r="M68" i="39"/>
  <c r="P68" i="39" s="1"/>
  <c r="M91" i="39"/>
  <c r="P91" i="39" s="1"/>
  <c r="M48" i="39"/>
  <c r="P48" i="39" s="1"/>
  <c r="M19" i="39"/>
  <c r="P19" i="39" s="1"/>
  <c r="K116" i="39"/>
  <c r="O116" i="39" s="1"/>
  <c r="K93" i="39"/>
  <c r="O93" i="39" s="1"/>
  <c r="M153" i="39"/>
  <c r="P153" i="39" s="1"/>
  <c r="K83" i="39"/>
  <c r="O83" i="39" s="1"/>
  <c r="M8" i="39"/>
  <c r="P8" i="39" s="1"/>
  <c r="M14" i="39"/>
  <c r="P14" i="39" s="1"/>
  <c r="M109" i="39"/>
  <c r="P109" i="39" s="1"/>
  <c r="M144" i="39"/>
  <c r="P144" i="39" s="1"/>
  <c r="M57" i="39"/>
  <c r="P57" i="39" s="1"/>
  <c r="K108" i="39"/>
  <c r="O108" i="39" s="1"/>
  <c r="M136" i="39"/>
  <c r="P136" i="39" s="1"/>
  <c r="K46" i="39"/>
  <c r="O46" i="39" s="1"/>
  <c r="K96" i="39"/>
  <c r="O96" i="39" s="1"/>
  <c r="K112" i="39"/>
  <c r="O112" i="39" s="1"/>
  <c r="K119" i="39"/>
  <c r="O119" i="39" s="1"/>
  <c r="K134" i="39"/>
  <c r="O134" i="39" s="1"/>
  <c r="K5" i="39"/>
  <c r="O5" i="39" s="1"/>
  <c r="M6" i="39"/>
  <c r="P6" i="39" s="1"/>
  <c r="K166" i="39"/>
  <c r="O166" i="39" s="1"/>
  <c r="M115" i="39"/>
  <c r="P115" i="39" s="1"/>
  <c r="K78" i="39"/>
  <c r="O78" i="39" s="1"/>
  <c r="K199" i="39"/>
  <c r="O199" i="39" s="1"/>
  <c r="K90" i="39"/>
  <c r="O90" i="39" s="1"/>
  <c r="M200" i="39"/>
  <c r="P200" i="39" s="1"/>
  <c r="M79" i="39"/>
  <c r="P79" i="39" s="1"/>
  <c r="M189" i="39"/>
  <c r="P189" i="39" s="1"/>
  <c r="M179" i="39"/>
  <c r="P179" i="39" s="1"/>
  <c r="M186" i="39"/>
  <c r="P186" i="39" s="1"/>
  <c r="K194" i="39"/>
  <c r="O194" i="39" s="1"/>
  <c r="K69" i="39"/>
  <c r="O69" i="39" s="1"/>
  <c r="K106" i="39"/>
  <c r="O106" i="39" s="1"/>
  <c r="K21" i="39"/>
  <c r="O21" i="39" s="1"/>
  <c r="M24" i="39"/>
  <c r="P24" i="39" s="1"/>
  <c r="K53" i="39"/>
  <c r="O53" i="39" s="1"/>
  <c r="M96" i="39"/>
  <c r="P96" i="39" s="1"/>
  <c r="M39" i="39"/>
  <c r="P39" i="39" s="1"/>
  <c r="K186" i="39"/>
  <c r="O186" i="39" s="1"/>
  <c r="K98" i="39"/>
  <c r="O98" i="39" s="1"/>
  <c r="K34" i="39"/>
  <c r="O34" i="39" s="1"/>
  <c r="K39" i="39"/>
  <c r="O39" i="39" s="1"/>
  <c r="M130" i="39"/>
  <c r="P130" i="39" s="1"/>
  <c r="K142" i="39"/>
  <c r="O142" i="39" s="1"/>
  <c r="M140" i="39"/>
  <c r="P140" i="39" s="1"/>
  <c r="K131" i="39"/>
  <c r="O131" i="39" s="1"/>
  <c r="M162" i="39"/>
  <c r="P162" i="39" s="1"/>
  <c r="M203" i="39"/>
  <c r="P203" i="39" s="1"/>
  <c r="M59" i="39"/>
  <c r="P59" i="39" s="1"/>
  <c r="M84" i="39"/>
  <c r="P84" i="39" s="1"/>
  <c r="M41" i="39"/>
  <c r="P41" i="39" s="1"/>
  <c r="K113" i="39"/>
  <c r="O113" i="39" s="1"/>
  <c r="M160" i="39"/>
  <c r="P160" i="39" s="1"/>
  <c r="M28" i="39"/>
  <c r="P28" i="39" s="1"/>
  <c r="K181" i="39"/>
  <c r="O181" i="39" s="1"/>
  <c r="K201" i="39"/>
  <c r="O201" i="39" s="1"/>
  <c r="M90" i="39"/>
  <c r="P90" i="39" s="1"/>
  <c r="M191" i="39"/>
  <c r="P191" i="39" s="1"/>
  <c r="M157" i="39"/>
  <c r="P157" i="39" s="1"/>
  <c r="M128" i="39"/>
  <c r="P128" i="39" s="1"/>
  <c r="M106" i="39"/>
  <c r="P106" i="39" s="1"/>
  <c r="K97" i="39"/>
  <c r="O97" i="39" s="1"/>
  <c r="K51" i="39"/>
  <c r="O51" i="39" s="1"/>
  <c r="M20" i="39"/>
  <c r="P20" i="39" s="1"/>
  <c r="K162" i="39"/>
  <c r="O162" i="39" s="1"/>
  <c r="K157" i="39"/>
  <c r="O157" i="39" s="1"/>
  <c r="K167" i="39"/>
  <c r="O167" i="39" s="1"/>
  <c r="K74" i="39"/>
  <c r="O74" i="39" s="1"/>
  <c r="K43" i="39"/>
  <c r="O43" i="39" s="1"/>
  <c r="M45" i="39"/>
  <c r="P45" i="39" s="1"/>
  <c r="K23" i="39"/>
  <c r="O23" i="39" s="1"/>
  <c r="M75" i="39"/>
  <c r="P75" i="39" s="1"/>
  <c r="M5" i="39"/>
  <c r="P5" i="39" s="1"/>
  <c r="K140" i="39"/>
  <c r="O140" i="39" s="1"/>
  <c r="K137" i="39"/>
  <c r="O137" i="39" s="1"/>
  <c r="M151" i="39"/>
  <c r="P151" i="39" s="1"/>
  <c r="M64" i="39"/>
  <c r="P64" i="39" s="1"/>
  <c r="M58" i="39"/>
  <c r="P58" i="39" s="1"/>
  <c r="M21" i="39"/>
  <c r="P21" i="39" s="1"/>
  <c r="M27" i="39"/>
  <c r="P27" i="39" s="1"/>
  <c r="K154" i="39"/>
  <c r="O154" i="39" s="1"/>
  <c r="K149" i="39"/>
  <c r="O149" i="39" s="1"/>
  <c r="K152" i="39"/>
  <c r="O152" i="39" s="1"/>
  <c r="K66" i="39"/>
  <c r="O66" i="39" s="1"/>
  <c r="K89" i="39"/>
  <c r="O89" i="39" s="1"/>
  <c r="K15" i="39"/>
  <c r="O15" i="39" s="1"/>
  <c r="M13" i="39"/>
  <c r="P13" i="39" s="1"/>
  <c r="M142" i="39"/>
  <c r="P142" i="39" s="1"/>
  <c r="M87" i="39"/>
  <c r="P87" i="39" s="1"/>
  <c r="M60" i="39"/>
  <c r="P60" i="39" s="1"/>
  <c r="K85" i="39"/>
  <c r="O85" i="39" s="1"/>
  <c r="M131" i="39"/>
  <c r="P131" i="39" s="1"/>
  <c r="M52" i="39"/>
  <c r="P52" i="39" s="1"/>
  <c r="K3" i="39"/>
  <c r="O3" i="39" s="1"/>
  <c r="K60" i="39"/>
  <c r="O60" i="39" s="1"/>
  <c r="K191" i="39"/>
  <c r="O191" i="39" s="1"/>
  <c r="K114" i="39"/>
  <c r="O114" i="39" s="1"/>
  <c r="K127" i="39"/>
  <c r="O127" i="39" s="1"/>
  <c r="K55" i="39"/>
  <c r="O55" i="39" s="1"/>
  <c r="K13" i="39"/>
  <c r="O13" i="39" s="1"/>
  <c r="M50" i="39"/>
  <c r="P50" i="39" s="1"/>
  <c r="M36" i="39"/>
  <c r="P36" i="39" s="1"/>
  <c r="K195" i="39"/>
  <c r="O195" i="39" s="1"/>
  <c r="K48" i="39"/>
  <c r="O48" i="39" s="1"/>
  <c r="M78" i="39"/>
  <c r="P78" i="39" s="1"/>
  <c r="M43" i="39"/>
  <c r="P43" i="39" s="1"/>
  <c r="M70" i="39"/>
  <c r="P70" i="39" s="1"/>
  <c r="M71" i="39"/>
  <c r="P71" i="39" s="1"/>
  <c r="K30" i="39"/>
  <c r="O30" i="39" s="1"/>
  <c r="M158" i="39"/>
  <c r="P158" i="39" s="1"/>
  <c r="K177" i="39"/>
  <c r="O177" i="39" s="1"/>
  <c r="M73" i="39"/>
  <c r="P73" i="39" s="1"/>
  <c r="K33" i="39"/>
  <c r="O33" i="39" s="1"/>
  <c r="M22" i="39"/>
  <c r="P22" i="39" s="1"/>
  <c r="K8" i="39"/>
  <c r="O8" i="39" s="1"/>
  <c r="K187" i="39"/>
  <c r="O187" i="39" s="1"/>
  <c r="K125" i="39"/>
  <c r="O125" i="39" s="1"/>
  <c r="K102" i="39"/>
  <c r="O102" i="39" s="1"/>
  <c r="K143" i="39"/>
  <c r="O143" i="39" s="1"/>
  <c r="K26" i="39"/>
  <c r="O26" i="39" s="1"/>
  <c r="K193" i="39"/>
  <c r="O193" i="39" s="1"/>
  <c r="K183" i="39"/>
  <c r="O183" i="39" s="1"/>
  <c r="K92" i="39"/>
  <c r="O92" i="39" s="1"/>
  <c r="K4" i="39"/>
  <c r="O4" i="39" s="1"/>
  <c r="K173" i="39"/>
  <c r="O173" i="39" s="1"/>
  <c r="K54" i="39"/>
  <c r="O54" i="39" s="1"/>
  <c r="M119" i="39"/>
  <c r="P119" i="39" s="1"/>
  <c r="K161" i="39"/>
  <c r="O161" i="39" s="1"/>
  <c r="I30" i="39"/>
  <c r="K200" i="39"/>
  <c r="O200" i="39" s="1"/>
  <c r="K65" i="39"/>
  <c r="O65" i="39" s="1"/>
  <c r="K179" i="39"/>
  <c r="O179" i="39" s="1"/>
  <c r="K117" i="39"/>
  <c r="O117" i="39" s="1"/>
  <c r="K94" i="39"/>
  <c r="O94" i="39" s="1"/>
  <c r="K111" i="39"/>
  <c r="O111" i="39" s="1"/>
  <c r="K38" i="39"/>
  <c r="O38" i="39" s="1"/>
  <c r="M169" i="39"/>
  <c r="P169" i="39" s="1"/>
  <c r="K18" i="39"/>
  <c r="O18" i="39" s="1"/>
  <c r="M110" i="39"/>
  <c r="P110" i="39" s="1"/>
  <c r="M55" i="39"/>
  <c r="P55" i="39" s="1"/>
  <c r="K52" i="39"/>
  <c r="O52" i="39" s="1"/>
  <c r="K86" i="39"/>
  <c r="O86" i="39" s="1"/>
  <c r="K185" i="39"/>
  <c r="O185" i="39" s="1"/>
  <c r="K29" i="39"/>
  <c r="O29" i="39" s="1"/>
  <c r="M10" i="39"/>
  <c r="P10" i="39" s="1"/>
  <c r="K12" i="39"/>
  <c r="O12" i="39" s="1"/>
  <c r="M124" i="39"/>
  <c r="P124" i="39" s="1"/>
  <c r="K129" i="39"/>
  <c r="O129" i="39" s="1"/>
  <c r="K22" i="39"/>
  <c r="O22" i="39" s="1"/>
  <c r="K136" i="39"/>
  <c r="O136" i="39" s="1"/>
  <c r="K9" i="39"/>
  <c r="O9" i="39" s="1"/>
  <c r="M98" i="39"/>
  <c r="P98" i="39" s="1"/>
  <c r="M171" i="39"/>
  <c r="P171" i="39" s="1"/>
  <c r="K164" i="39"/>
  <c r="O164" i="39" s="1"/>
  <c r="K175" i="39"/>
  <c r="O175" i="39" s="1"/>
  <c r="K11" i="39"/>
  <c r="O11" i="39" s="1"/>
  <c r="M126" i="39"/>
  <c r="P126" i="39" s="1"/>
  <c r="M104" i="39"/>
  <c r="P104" i="39" s="1"/>
  <c r="M187" i="39"/>
  <c r="P187" i="39" s="1"/>
  <c r="M101" i="39"/>
  <c r="P101" i="39" s="1"/>
  <c r="K122" i="39"/>
  <c r="O122" i="39" s="1"/>
  <c r="K135" i="39"/>
  <c r="O135" i="39" s="1"/>
  <c r="K155" i="39"/>
  <c r="O155" i="39" s="1"/>
  <c r="K190" i="39"/>
  <c r="O190" i="39" s="1"/>
  <c r="K70" i="39"/>
  <c r="O70" i="39" s="1"/>
  <c r="K72" i="39"/>
  <c r="O72" i="39" s="1"/>
  <c r="K24" i="39"/>
  <c r="O24" i="39" s="1"/>
  <c r="M3" i="39"/>
  <c r="P3" i="39" s="1"/>
  <c r="K16" i="39"/>
  <c r="O16" i="39" s="1"/>
  <c r="M15" i="39"/>
  <c r="P15" i="39" s="1"/>
  <c r="K178" i="39"/>
  <c r="O178" i="39" s="1"/>
  <c r="K141" i="39"/>
  <c r="O141" i="39" s="1"/>
  <c r="M156" i="39"/>
  <c r="P156" i="39" s="1"/>
  <c r="M184" i="39"/>
  <c r="P184" i="39" s="1"/>
  <c r="M97" i="39"/>
  <c r="P97" i="39" s="1"/>
  <c r="K81" i="39"/>
  <c r="O81" i="39" s="1"/>
  <c r="M40" i="39"/>
  <c r="P40" i="39" s="1"/>
  <c r="M113" i="39"/>
  <c r="P113" i="39" s="1"/>
  <c r="K147" i="39"/>
  <c r="O147" i="39" s="1"/>
  <c r="K182" i="39"/>
  <c r="O182" i="39" s="1"/>
  <c r="K62" i="39"/>
  <c r="O62" i="39" s="1"/>
  <c r="K56" i="39"/>
  <c r="O56" i="39" s="1"/>
  <c r="K153" i="39"/>
  <c r="O153" i="39" s="1"/>
  <c r="M18" i="39"/>
  <c r="P18" i="39" s="1"/>
  <c r="M180" i="39"/>
  <c r="P180" i="39" s="1"/>
  <c r="M175" i="39"/>
  <c r="P175" i="39" s="1"/>
  <c r="M88" i="39"/>
  <c r="P88" i="39" s="1"/>
  <c r="K159" i="39"/>
  <c r="O159" i="39" s="1"/>
  <c r="K130" i="39"/>
  <c r="O130" i="39" s="1"/>
  <c r="K120" i="39"/>
  <c r="O120" i="39" s="1"/>
  <c r="K76" i="39"/>
  <c r="O76" i="39" s="1"/>
  <c r="M134" i="39"/>
  <c r="P134" i="39" s="1"/>
  <c r="M199" i="39"/>
  <c r="P199" i="39" s="1"/>
  <c r="M121" i="39"/>
  <c r="P121" i="39" s="1"/>
  <c r="K105" i="39"/>
  <c r="O105" i="39" s="1"/>
  <c r="M114" i="39"/>
  <c r="P114" i="39" s="1"/>
  <c r="K10" i="39"/>
  <c r="O10" i="39" s="1"/>
  <c r="M166" i="39"/>
  <c r="P166" i="39" s="1"/>
  <c r="M165" i="39"/>
  <c r="P165" i="39" s="1"/>
  <c r="M194" i="39"/>
  <c r="P194" i="39" s="1"/>
  <c r="K133" i="39"/>
  <c r="O133" i="39" s="1"/>
  <c r="M31" i="39"/>
  <c r="P31" i="39" s="1"/>
  <c r="K132" i="39"/>
  <c r="O132" i="39" s="1"/>
  <c r="K202" i="39"/>
  <c r="O202" i="39" s="1"/>
  <c r="M76" i="39"/>
  <c r="P76" i="39" s="1"/>
  <c r="K158" i="39"/>
  <c r="O158" i="39" s="1"/>
  <c r="M11" i="39"/>
  <c r="P11" i="39" s="1"/>
  <c r="K109" i="39"/>
  <c r="O109" i="39" s="1"/>
  <c r="I31" i="39"/>
  <c r="K150" i="39"/>
  <c r="O150" i="39" s="1"/>
  <c r="M93" i="39"/>
  <c r="P93" i="39" s="1"/>
  <c r="K37" i="39"/>
  <c r="O37" i="39" s="1"/>
  <c r="M80" i="39"/>
  <c r="P80" i="39" s="1"/>
  <c r="K79" i="39"/>
  <c r="O79" i="39" s="1"/>
  <c r="K73" i="39"/>
  <c r="O73" i="39" s="1"/>
  <c r="K77" i="39"/>
  <c r="O77" i="39" s="1"/>
  <c r="M65" i="39"/>
  <c r="P65" i="39" s="1"/>
  <c r="K19" i="39"/>
  <c r="O19" i="39" s="1"/>
  <c r="M49" i="39"/>
  <c r="P49" i="39" s="1"/>
  <c r="K49" i="39"/>
  <c r="O49" i="39" s="1"/>
  <c r="K126" i="39"/>
  <c r="O126" i="39" s="1"/>
  <c r="K32" i="39"/>
  <c r="O32" i="39" s="1"/>
  <c r="K174" i="39"/>
  <c r="O174" i="39" s="1"/>
  <c r="M85" i="39"/>
  <c r="P85" i="39" s="1"/>
  <c r="K118" i="39"/>
  <c r="O118" i="39" s="1"/>
  <c r="M26" i="39"/>
  <c r="P26" i="39" s="1"/>
  <c r="K44" i="39"/>
  <c r="O44" i="39" s="1"/>
  <c r="M35" i="39"/>
  <c r="P35" i="39" s="1"/>
  <c r="M163" i="39"/>
  <c r="P163" i="39" s="1"/>
  <c r="M4" i="39"/>
  <c r="P4" i="39" s="1"/>
  <c r="M138" i="39"/>
  <c r="P138" i="39" s="1"/>
  <c r="M56" i="39"/>
  <c r="P56" i="39" s="1"/>
  <c r="M46" i="39"/>
  <c r="P46" i="39" s="1"/>
  <c r="K176" i="39"/>
  <c r="O176" i="39" s="1"/>
  <c r="M23" i="39"/>
  <c r="P23" i="39" s="1"/>
  <c r="M181" i="39"/>
  <c r="P181" i="39" s="1"/>
  <c r="K14" i="39"/>
  <c r="O14" i="39" s="1"/>
  <c r="K146" i="39"/>
  <c r="O146" i="39" s="1"/>
  <c r="M148" i="39"/>
  <c r="P148" i="39" s="1"/>
  <c r="M172" i="39"/>
  <c r="P172" i="39" s="1"/>
  <c r="M202" i="39"/>
  <c r="P202" i="39" s="1"/>
  <c r="M168" i="39"/>
  <c r="P168" i="39" s="1"/>
  <c r="K192" i="39"/>
  <c r="O192" i="39" s="1"/>
  <c r="K68" i="39"/>
  <c r="O68" i="39" s="1"/>
  <c r="M86" i="39"/>
  <c r="P86" i="39" s="1"/>
  <c r="K104" i="39"/>
  <c r="O104" i="39" s="1"/>
  <c r="M92" i="39"/>
  <c r="P92" i="39" s="1"/>
  <c r="M149" i="39"/>
  <c r="P149" i="39" s="1"/>
  <c r="M77" i="39"/>
  <c r="P77" i="39" s="1"/>
  <c r="K95" i="39"/>
  <c r="O95" i="39" s="1"/>
  <c r="M173" i="39"/>
  <c r="P173" i="39" s="1"/>
  <c r="M198" i="39"/>
  <c r="P198" i="39" s="1"/>
  <c r="K138" i="39"/>
  <c r="O138" i="39" s="1"/>
  <c r="K58" i="39"/>
  <c r="O58" i="39" s="1"/>
  <c r="K121" i="39"/>
  <c r="O121" i="39" s="1"/>
  <c r="M159" i="39"/>
  <c r="P159" i="39" s="1"/>
  <c r="M62" i="39"/>
  <c r="P62" i="39" s="1"/>
  <c r="M83" i="39"/>
  <c r="P83" i="39" s="1"/>
  <c r="M37" i="39"/>
  <c r="P37" i="39" s="1"/>
  <c r="M120" i="39"/>
  <c r="P120" i="39" s="1"/>
  <c r="M9" i="39"/>
  <c r="P9" i="39" s="1"/>
  <c r="M178" i="39"/>
  <c r="P178" i="39" s="1"/>
  <c r="M143" i="39"/>
  <c r="P143" i="39" s="1"/>
  <c r="K67" i="39"/>
  <c r="O67" i="39" s="1"/>
  <c r="K170" i="39"/>
  <c r="O170" i="39" s="1"/>
  <c r="M135" i="39"/>
  <c r="P135" i="39" s="1"/>
  <c r="M82" i="39"/>
  <c r="P82" i="39" s="1"/>
  <c r="K123" i="39"/>
  <c r="O123" i="39" s="1"/>
  <c r="M47" i="39"/>
  <c r="P47" i="39" s="1"/>
  <c r="M29" i="39"/>
  <c r="P29" i="39" s="1"/>
  <c r="I32" i="39"/>
  <c r="K6" i="39"/>
  <c r="O6" i="39" s="1"/>
  <c r="M146" i="39"/>
  <c r="P146" i="39" s="1"/>
  <c r="K75" i="39"/>
  <c r="O75" i="39" s="1"/>
  <c r="M67" i="39"/>
  <c r="P67" i="39" s="1"/>
  <c r="M111" i="39"/>
  <c r="P111" i="39" s="1"/>
  <c r="K57" i="39"/>
  <c r="O57" i="39" s="1"/>
  <c r="K196" i="39"/>
  <c r="O196" i="39" s="1"/>
  <c r="M195" i="39"/>
  <c r="P195" i="39" s="1"/>
  <c r="K42" i="39"/>
  <c r="O42" i="39" s="1"/>
  <c r="K115" i="39"/>
  <c r="O115" i="39" s="1"/>
  <c r="M99" i="39"/>
  <c r="P99" i="39" s="1"/>
  <c r="M170" i="39"/>
  <c r="P170" i="39" s="1"/>
  <c r="K188" i="39"/>
  <c r="O188" i="39" s="1"/>
  <c r="M44" i="39"/>
  <c r="P44" i="39" s="1"/>
  <c r="K171" i="39"/>
  <c r="O171" i="39" s="1"/>
  <c r="K169" i="39"/>
  <c r="O169" i="39" s="1"/>
  <c r="K180" i="39"/>
  <c r="O180" i="39" s="1"/>
  <c r="K151" i="39"/>
  <c r="O151" i="39" s="1"/>
  <c r="M132" i="39"/>
  <c r="P132" i="39" s="1"/>
  <c r="K28" i="39"/>
  <c r="O28" i="39" s="1"/>
  <c r="M53" i="39"/>
  <c r="P53" i="39" s="1"/>
  <c r="K64" i="39"/>
  <c r="O64" i="39" s="1"/>
  <c r="M33" i="39"/>
  <c r="P33" i="39" s="1"/>
  <c r="K203" i="39"/>
  <c r="O203" i="39" s="1"/>
  <c r="K82" i="39"/>
  <c r="O82" i="39" s="1"/>
  <c r="K175" i="26"/>
  <c r="O175" i="26" s="1"/>
  <c r="K165" i="26"/>
  <c r="O165" i="26" s="1"/>
  <c r="K96" i="26"/>
  <c r="O96" i="26" s="1"/>
  <c r="K15" i="26"/>
  <c r="O15" i="26" s="1"/>
  <c r="K91" i="26"/>
  <c r="O91" i="26" s="1"/>
  <c r="K187" i="26"/>
  <c r="O187" i="26" s="1"/>
  <c r="K125" i="26"/>
  <c r="O125" i="26" s="1"/>
  <c r="K30" i="26"/>
  <c r="O30" i="26" s="1"/>
  <c r="K6" i="26"/>
  <c r="O6" i="26" s="1"/>
  <c r="K162" i="26"/>
  <c r="O162" i="26" s="1"/>
  <c r="K191" i="26"/>
  <c r="O191" i="26" s="1"/>
  <c r="K149" i="26"/>
  <c r="O149" i="26" s="1"/>
  <c r="K82" i="26"/>
  <c r="O82" i="26" s="1"/>
  <c r="K31" i="26"/>
  <c r="O31" i="26" s="1"/>
  <c r="K141" i="26"/>
  <c r="O141" i="26" s="1"/>
  <c r="K193" i="26"/>
  <c r="O193" i="26" s="1"/>
  <c r="K94" i="26"/>
  <c r="O94" i="26" s="1"/>
  <c r="K8" i="26"/>
  <c r="O8" i="26" s="1"/>
  <c r="K14" i="26"/>
  <c r="O14" i="26" s="1"/>
  <c r="K152" i="26"/>
  <c r="O152" i="26" s="1"/>
  <c r="K74" i="26"/>
  <c r="O74" i="26" s="1"/>
  <c r="K119" i="26"/>
  <c r="O119" i="26" s="1"/>
  <c r="K121" i="26"/>
  <c r="O121" i="26" s="1"/>
  <c r="K106" i="26"/>
  <c r="O106" i="26" s="1"/>
  <c r="K18" i="26"/>
  <c r="O18" i="26" s="1"/>
  <c r="K86" i="26"/>
  <c r="O86" i="26" s="1"/>
  <c r="K22" i="26"/>
  <c r="O22" i="26" s="1"/>
  <c r="K131" i="26"/>
  <c r="O131" i="26" s="1"/>
  <c r="K166" i="26"/>
  <c r="O166" i="26" s="1"/>
  <c r="K64" i="26"/>
  <c r="O64" i="26" s="1"/>
  <c r="K97" i="26"/>
  <c r="O97" i="26" s="1"/>
  <c r="K49" i="26"/>
  <c r="O49" i="26" s="1"/>
  <c r="K188" i="26"/>
  <c r="O188" i="26" s="1"/>
  <c r="K146" i="26"/>
  <c r="O146" i="26" s="1"/>
  <c r="K77" i="26"/>
  <c r="O77" i="26" s="1"/>
  <c r="K11" i="26"/>
  <c r="O11" i="26" s="1"/>
  <c r="K51" i="26"/>
  <c r="O51" i="26" s="1"/>
  <c r="K115" i="26"/>
  <c r="O115" i="26" s="1"/>
  <c r="K184" i="26"/>
  <c r="O184" i="26" s="1"/>
  <c r="K68" i="26"/>
  <c r="O68" i="26" s="1"/>
  <c r="K183" i="26"/>
  <c r="O183" i="26" s="1"/>
  <c r="K87" i="26"/>
  <c r="O87" i="26" s="1"/>
  <c r="K154" i="26"/>
  <c r="O154" i="26" s="1"/>
  <c r="K120" i="26"/>
  <c r="O120" i="26" s="1"/>
  <c r="K56" i="26"/>
  <c r="O56" i="26" s="1"/>
  <c r="K140" i="26"/>
  <c r="O140" i="26" s="1"/>
  <c r="M74" i="26"/>
  <c r="P74" i="26" s="1"/>
  <c r="K24" i="26"/>
  <c r="O24" i="26" s="1"/>
  <c r="K98" i="26"/>
  <c r="O98" i="26" s="1"/>
  <c r="K10" i="26"/>
  <c r="O10" i="26" s="1"/>
  <c r="M162" i="26"/>
  <c r="P162" i="26" s="1"/>
  <c r="K200" i="26"/>
  <c r="O200" i="26" s="1"/>
  <c r="K52" i="26"/>
  <c r="O52" i="26" s="1"/>
  <c r="K132" i="26"/>
  <c r="O132" i="26" s="1"/>
  <c r="K47" i="26"/>
  <c r="O47" i="26" s="1"/>
  <c r="K20" i="26"/>
  <c r="O20" i="26" s="1"/>
  <c r="K202" i="26"/>
  <c r="O202" i="26" s="1"/>
  <c r="K88" i="26"/>
  <c r="O88" i="26" s="1"/>
  <c r="K189" i="26"/>
  <c r="O189" i="26" s="1"/>
  <c r="K150" i="26"/>
  <c r="O150" i="26" s="1"/>
  <c r="K5" i="26"/>
  <c r="O5" i="26" s="1"/>
  <c r="K169" i="26"/>
  <c r="O169" i="26" s="1"/>
  <c r="K144" i="26"/>
  <c r="O144" i="26" s="1"/>
  <c r="K116" i="26"/>
  <c r="O116" i="26" s="1"/>
  <c r="K95" i="26"/>
  <c r="O95" i="26" s="1"/>
  <c r="K32" i="26"/>
  <c r="O32" i="26" s="1"/>
  <c r="K172" i="26"/>
  <c r="O172" i="26" s="1"/>
  <c r="K35" i="26"/>
  <c r="O35" i="26" s="1"/>
  <c r="K75" i="26"/>
  <c r="O75" i="26" s="1"/>
  <c r="K160" i="26"/>
  <c r="O160" i="26" s="1"/>
  <c r="K39" i="26"/>
  <c r="O39" i="26" s="1"/>
  <c r="K145" i="26"/>
  <c r="O145" i="26" s="1"/>
  <c r="K143" i="26"/>
  <c r="O143" i="26" s="1"/>
  <c r="K67" i="26"/>
  <c r="O67" i="26" s="1"/>
  <c r="K48" i="26"/>
  <c r="O48" i="26" s="1"/>
  <c r="K16" i="26"/>
  <c r="O16" i="26" s="1"/>
  <c r="K85" i="26"/>
  <c r="O85" i="26" s="1"/>
  <c r="K50" i="26"/>
  <c r="O50" i="26" s="1"/>
  <c r="K126" i="26"/>
  <c r="O126" i="26" s="1"/>
  <c r="K163" i="26"/>
  <c r="O163" i="26" s="1"/>
  <c r="K60" i="26"/>
  <c r="O60" i="26" s="1"/>
  <c r="K92" i="26"/>
  <c r="O92" i="26" s="1"/>
  <c r="K155" i="26"/>
  <c r="O155" i="26" s="1"/>
  <c r="K71" i="26"/>
  <c r="O71" i="26" s="1"/>
  <c r="M82" i="26"/>
  <c r="P82" i="26" s="1"/>
  <c r="K93" i="26"/>
  <c r="O93" i="26" s="1"/>
  <c r="K112" i="26"/>
  <c r="O112" i="26" s="1"/>
  <c r="K61" i="26"/>
  <c r="O61" i="26" s="1"/>
  <c r="K151" i="26"/>
  <c r="O151" i="26" s="1"/>
  <c r="K80" i="26"/>
  <c r="O80" i="26" s="1"/>
  <c r="K2" i="26"/>
  <c r="O2" i="26" s="1"/>
  <c r="K36" i="26"/>
  <c r="O36" i="26" s="1"/>
  <c r="K58" i="26"/>
  <c r="O58" i="26" s="1"/>
  <c r="K159" i="26"/>
  <c r="O159" i="26" s="1"/>
  <c r="K3" i="26"/>
  <c r="O3" i="26" s="1"/>
  <c r="K134" i="26"/>
  <c r="O134" i="26" s="1"/>
  <c r="K196" i="26"/>
  <c r="O196" i="26" s="1"/>
  <c r="K90" i="26"/>
  <c r="O90" i="26" s="1"/>
  <c r="K177" i="26"/>
  <c r="O177" i="26" s="1"/>
  <c r="K123" i="26"/>
  <c r="O123" i="26" s="1"/>
  <c r="K129" i="26"/>
  <c r="O129" i="26" s="1"/>
  <c r="K40" i="26"/>
  <c r="O40" i="26" s="1"/>
  <c r="K179" i="26"/>
  <c r="O179" i="26" s="1"/>
  <c r="K142" i="26"/>
  <c r="O142" i="26" s="1"/>
  <c r="K84" i="26"/>
  <c r="O84" i="26" s="1"/>
  <c r="K27" i="26"/>
  <c r="O27" i="26" s="1"/>
  <c r="K192" i="26"/>
  <c r="O192" i="26" s="1"/>
  <c r="K171" i="26"/>
  <c r="O171" i="26" s="1"/>
  <c r="K168" i="26"/>
  <c r="O168" i="26" s="1"/>
  <c r="M200" i="26"/>
  <c r="P200" i="26" s="1"/>
  <c r="K100" i="26"/>
  <c r="O100" i="26" s="1"/>
  <c r="K23" i="26"/>
  <c r="O23" i="26" s="1"/>
  <c r="K164" i="26"/>
  <c r="O164" i="26" s="1"/>
  <c r="K33" i="26"/>
  <c r="O33" i="26" s="1"/>
  <c r="K170" i="26"/>
  <c r="O170" i="26" s="1"/>
  <c r="K156" i="26"/>
  <c r="O156" i="26" s="1"/>
  <c r="K122" i="26"/>
  <c r="O122" i="26" s="1"/>
  <c r="K201" i="26"/>
  <c r="O201" i="26" s="1"/>
  <c r="K147" i="26"/>
  <c r="O147" i="26" s="1"/>
  <c r="K63" i="26"/>
  <c r="O63" i="26" s="1"/>
  <c r="K203" i="26"/>
  <c r="O203" i="26" s="1"/>
  <c r="K161" i="26"/>
  <c r="O161" i="26" s="1"/>
  <c r="K57" i="26"/>
  <c r="O57" i="26" s="1"/>
  <c r="K204" i="26"/>
  <c r="O204" i="26" s="1"/>
  <c r="K127" i="26"/>
  <c r="O127" i="26" s="1"/>
  <c r="K76" i="26"/>
  <c r="O76" i="26" s="1"/>
  <c r="K37" i="26"/>
  <c r="O37" i="26" s="1"/>
  <c r="K9" i="26"/>
  <c r="O9" i="26" s="1"/>
  <c r="K133" i="26"/>
  <c r="O133" i="26" s="1"/>
  <c r="K81" i="26"/>
  <c r="O81" i="26" s="1"/>
  <c r="K78" i="26"/>
  <c r="O78" i="26" s="1"/>
  <c r="K157" i="26"/>
  <c r="O157" i="26" s="1"/>
  <c r="K41" i="26"/>
  <c r="O41" i="26" s="1"/>
  <c r="K114" i="26"/>
  <c r="O114" i="26" s="1"/>
  <c r="K148" i="26"/>
  <c r="O148" i="26" s="1"/>
  <c r="K28" i="26"/>
  <c r="O28" i="26" s="1"/>
  <c r="K108" i="26"/>
  <c r="O108" i="26" s="1"/>
  <c r="K167" i="26"/>
  <c r="O167" i="26" s="1"/>
  <c r="K43" i="26"/>
  <c r="O43" i="26" s="1"/>
  <c r="K109" i="26"/>
  <c r="O109" i="26" s="1"/>
  <c r="K26" i="26"/>
  <c r="O26" i="26" s="1"/>
  <c r="K99" i="26"/>
  <c r="O99" i="26" s="1"/>
  <c r="K153" i="26"/>
  <c r="O153" i="26" s="1"/>
  <c r="K101" i="26"/>
  <c r="O101" i="26" s="1"/>
  <c r="K198" i="26"/>
  <c r="O198" i="26" s="1"/>
  <c r="M66" i="26"/>
  <c r="P66" i="26" s="1"/>
  <c r="K138" i="26"/>
  <c r="O138" i="26" s="1"/>
  <c r="K190" i="26"/>
  <c r="O190" i="26" s="1"/>
  <c r="K53" i="26"/>
  <c r="O53" i="26" s="1"/>
  <c r="K83" i="26"/>
  <c r="O83" i="26" s="1"/>
  <c r="K181" i="26"/>
  <c r="O181" i="26" s="1"/>
  <c r="K176" i="26"/>
  <c r="O176" i="26" s="1"/>
  <c r="K174" i="26"/>
  <c r="O174" i="26" s="1"/>
  <c r="K110" i="26"/>
  <c r="O110" i="26" s="1"/>
  <c r="K7" i="26"/>
  <c r="O7" i="26" s="1"/>
  <c r="K55" i="26"/>
  <c r="O55" i="26" s="1"/>
  <c r="K19" i="26"/>
  <c r="O19" i="26" s="1"/>
  <c r="K29" i="26"/>
  <c r="O29" i="26" s="1"/>
  <c r="K42" i="26"/>
  <c r="O42" i="26" s="1"/>
  <c r="K73" i="26"/>
  <c r="O73" i="26" s="1"/>
  <c r="K195" i="26"/>
  <c r="O195" i="26" s="1"/>
  <c r="K79" i="26"/>
  <c r="O79" i="26" s="1"/>
  <c r="K38" i="26"/>
  <c r="O38" i="26" s="1"/>
  <c r="K199" i="26"/>
  <c r="O199" i="26" s="1"/>
  <c r="K104" i="26"/>
  <c r="O104" i="26" s="1"/>
  <c r="K21" i="26"/>
  <c r="O21" i="26" s="1"/>
  <c r="K70" i="26"/>
  <c r="O70" i="26" s="1"/>
  <c r="K182" i="26"/>
  <c r="O182" i="26" s="1"/>
  <c r="K34" i="26"/>
  <c r="O34" i="26" s="1"/>
  <c r="K130" i="26"/>
  <c r="O130" i="26" s="1"/>
  <c r="K62" i="26"/>
  <c r="O62" i="26" s="1"/>
  <c r="K46" i="26"/>
  <c r="O46" i="26" s="1"/>
  <c r="K118" i="26"/>
  <c r="O118" i="26" s="1"/>
  <c r="K89" i="26"/>
  <c r="O89" i="26" s="1"/>
  <c r="K12" i="26"/>
  <c r="O12" i="26" s="1"/>
  <c r="K113" i="26"/>
  <c r="O113" i="26" s="1"/>
  <c r="K54" i="26"/>
  <c r="O54" i="26" s="1"/>
  <c r="K72" i="26"/>
  <c r="O72" i="26" s="1"/>
  <c r="K194" i="26"/>
  <c r="O194" i="26" s="1"/>
  <c r="K186" i="26"/>
  <c r="O186" i="26" s="1"/>
  <c r="M104" i="26"/>
  <c r="P104" i="26" s="1"/>
  <c r="K197" i="26"/>
  <c r="O197" i="26" s="1"/>
  <c r="K139" i="26"/>
  <c r="O139" i="26" s="1"/>
  <c r="K17" i="26"/>
  <c r="O17" i="26" s="1"/>
  <c r="K25" i="26"/>
  <c r="O25" i="26" s="1"/>
  <c r="K102" i="26"/>
  <c r="O102" i="26" s="1"/>
  <c r="K137" i="26"/>
  <c r="O137" i="26" s="1"/>
  <c r="K105" i="26"/>
  <c r="O105" i="26" s="1"/>
  <c r="K59" i="26"/>
  <c r="O59" i="26" s="1"/>
  <c r="K180" i="26"/>
  <c r="O180" i="26" s="1"/>
  <c r="K66" i="26"/>
  <c r="O66" i="26" s="1"/>
  <c r="K107" i="26"/>
  <c r="O107" i="26" s="1"/>
  <c r="K128" i="26"/>
  <c r="O128" i="26" s="1"/>
  <c r="K117" i="26"/>
  <c r="O117" i="26" s="1"/>
  <c r="K13" i="26"/>
  <c r="O13" i="26" s="1"/>
  <c r="K136" i="26"/>
  <c r="O136" i="26" s="1"/>
  <c r="K124" i="26"/>
  <c r="O124" i="26" s="1"/>
  <c r="K65" i="26"/>
  <c r="O65" i="26" s="1"/>
  <c r="K173" i="26"/>
  <c r="O173" i="26" s="1"/>
  <c r="K178" i="26"/>
  <c r="O178" i="26" s="1"/>
  <c r="K158" i="26"/>
  <c r="O158" i="26" s="1"/>
  <c r="K69" i="26"/>
  <c r="O69" i="26" s="1"/>
  <c r="K4" i="26"/>
  <c r="O4" i="26" s="1"/>
  <c r="K45" i="26"/>
  <c r="O45" i="26" s="1"/>
  <c r="I31" i="26"/>
  <c r="K111" i="26"/>
  <c r="O111" i="26" s="1"/>
  <c r="K44" i="26"/>
  <c r="O44" i="26" s="1"/>
  <c r="K135" i="26"/>
  <c r="O135" i="26" s="1"/>
  <c r="K185" i="26"/>
  <c r="O185" i="26" s="1"/>
  <c r="I30" i="26"/>
  <c r="M45" i="26"/>
  <c r="P45" i="26" s="1"/>
  <c r="M122" i="26"/>
  <c r="P122" i="26" s="1"/>
  <c r="M59" i="26"/>
  <c r="P59" i="26" s="1"/>
  <c r="M204" i="39"/>
  <c r="P204" i="39" s="1"/>
  <c r="M150" i="26"/>
  <c r="P150" i="26" s="1"/>
  <c r="M64" i="26"/>
  <c r="P64" i="26" s="1"/>
  <c r="M11" i="26"/>
  <c r="P11" i="26" s="1"/>
  <c r="M190" i="26"/>
  <c r="P190" i="26" s="1"/>
  <c r="M178" i="26"/>
  <c r="P178" i="26" s="1"/>
  <c r="M16" i="26"/>
  <c r="P16" i="26" s="1"/>
  <c r="M166" i="26"/>
  <c r="P166" i="26" s="1"/>
  <c r="M17" i="26"/>
  <c r="P17" i="26" s="1"/>
  <c r="M90" i="26"/>
  <c r="P90" i="26" s="1"/>
  <c r="M198" i="26"/>
  <c r="P198" i="26" s="1"/>
  <c r="M26" i="26"/>
  <c r="P26" i="26" s="1"/>
  <c r="M143" i="26"/>
  <c r="P143" i="26" s="1"/>
  <c r="M100" i="26"/>
  <c r="P100" i="26" s="1"/>
  <c r="M128" i="26"/>
  <c r="P128" i="26" s="1"/>
  <c r="M126" i="26"/>
  <c r="P126" i="26" s="1"/>
  <c r="M98" i="26"/>
  <c r="P98" i="26" s="1"/>
  <c r="M201" i="26"/>
  <c r="P201" i="26" s="1"/>
  <c r="M72" i="26"/>
  <c r="P72" i="26" s="1"/>
  <c r="M196" i="26"/>
  <c r="P196" i="26" s="1"/>
  <c r="M118" i="26"/>
  <c r="P118" i="26" s="1"/>
  <c r="M187" i="26"/>
  <c r="P187" i="26" s="1"/>
  <c r="M46" i="26"/>
  <c r="P46" i="26" s="1"/>
  <c r="M94" i="26"/>
  <c r="P94" i="26" s="1"/>
  <c r="M196" i="39"/>
  <c r="P196" i="39" s="1"/>
  <c r="M201" i="39"/>
  <c r="P201" i="39" s="1"/>
  <c r="M182" i="39"/>
  <c r="P182" i="39" s="1"/>
  <c r="M97" i="26"/>
  <c r="P97" i="26" s="1"/>
  <c r="M180" i="26"/>
  <c r="P180" i="26" s="1"/>
  <c r="M102" i="26"/>
  <c r="P102" i="26" s="1"/>
  <c r="M43" i="26"/>
  <c r="P43" i="26" s="1"/>
  <c r="M39" i="26"/>
  <c r="P39" i="26" s="1"/>
  <c r="M194" i="26"/>
  <c r="P194" i="26" s="1"/>
  <c r="M186" i="26"/>
  <c r="P186" i="26" s="1"/>
  <c r="M69" i="26"/>
  <c r="P69" i="26" s="1"/>
  <c r="M81" i="26"/>
  <c r="P81" i="26" s="1"/>
  <c r="M71" i="26"/>
  <c r="P71" i="26" s="1"/>
  <c r="M57" i="26"/>
  <c r="P57" i="26" s="1"/>
  <c r="M32" i="26"/>
  <c r="P32" i="26" s="1"/>
  <c r="M138" i="26"/>
  <c r="P138" i="26" s="1"/>
  <c r="M12" i="26"/>
  <c r="P12" i="26" s="1"/>
  <c r="I38" i="26" l="1"/>
  <c r="C27" i="36"/>
  <c r="M34" i="36"/>
  <c r="A31" i="36"/>
  <c r="C33" i="36"/>
  <c r="M40" i="36"/>
  <c r="A37" i="36"/>
  <c r="C22" i="36"/>
  <c r="M36" i="36"/>
  <c r="M26" i="36"/>
  <c r="C31" i="36"/>
  <c r="M42" i="36"/>
  <c r="C24" i="36"/>
  <c r="C32" i="36"/>
  <c r="A34" i="36"/>
  <c r="A28" i="36"/>
  <c r="A17" i="36"/>
  <c r="M23" i="36"/>
  <c r="I38" i="39"/>
  <c r="A18" i="36"/>
  <c r="A22" i="36"/>
  <c r="M38" i="36"/>
  <c r="C13" i="36"/>
  <c r="I4" i="36"/>
  <c r="I6" i="36" s="1" a="1"/>
  <c r="I7" i="36" s="1"/>
  <c r="A32" i="36"/>
  <c r="M30" i="36"/>
  <c r="A24" i="36"/>
  <c r="C20" i="36"/>
  <c r="M35" i="45"/>
  <c r="M26" i="45"/>
  <c r="A20" i="45"/>
  <c r="M31" i="45"/>
  <c r="M19" i="45"/>
  <c r="I4" i="45"/>
  <c r="I6" i="45" s="1" a="1"/>
  <c r="M22" i="45"/>
  <c r="M30" i="45"/>
  <c r="M23" i="45"/>
  <c r="M18" i="45"/>
  <c r="A16" i="45"/>
  <c r="A13" i="45"/>
  <c r="M27" i="45"/>
  <c r="A12" i="45"/>
  <c r="A21" i="45"/>
  <c r="C26" i="45"/>
  <c r="A26" i="45"/>
  <c r="A15" i="45"/>
  <c r="M29" i="45"/>
  <c r="M39" i="45"/>
  <c r="C19" i="45"/>
  <c r="C35" i="45"/>
  <c r="C24" i="45"/>
  <c r="C13" i="45"/>
  <c r="A17" i="45"/>
  <c r="M32" i="45"/>
  <c r="A19" i="45"/>
  <c r="M40" i="45"/>
  <c r="M34" i="45"/>
  <c r="C17" i="45"/>
  <c r="C33" i="45"/>
  <c r="A24" i="45"/>
  <c r="C30" i="45"/>
  <c r="A34" i="45"/>
  <c r="M21" i="45"/>
  <c r="A31" i="45"/>
  <c r="M41" i="45"/>
  <c r="C23" i="45"/>
  <c r="A36" i="45"/>
  <c r="C28" i="45"/>
  <c r="A22" i="45"/>
  <c r="M37" i="45"/>
  <c r="C31" i="45"/>
  <c r="C36" i="45"/>
  <c r="A32" i="45"/>
  <c r="C14" i="45"/>
  <c r="A14" i="45"/>
  <c r="M33" i="45"/>
  <c r="M42" i="45"/>
  <c r="C12" i="45"/>
  <c r="C21" i="45"/>
  <c r="M43" i="45"/>
  <c r="C27" i="45"/>
  <c r="C32" i="45"/>
  <c r="A29" i="45"/>
  <c r="A30" i="45"/>
  <c r="C11" i="45"/>
  <c r="A33" i="45"/>
  <c r="A28" i="45"/>
  <c r="C18" i="45"/>
  <c r="C34" i="45"/>
  <c r="A18" i="45"/>
  <c r="M28" i="45"/>
  <c r="A23" i="45"/>
  <c r="C16" i="45"/>
  <c r="M20" i="45"/>
  <c r="M25" i="45"/>
  <c r="A35" i="45"/>
  <c r="C25" i="45"/>
  <c r="C22" i="45"/>
  <c r="M36" i="45"/>
  <c r="C15" i="45"/>
  <c r="C20" i="45"/>
  <c r="C37" i="45"/>
  <c r="C29" i="45"/>
  <c r="A27" i="45"/>
  <c r="M38" i="45"/>
  <c r="M24" i="45"/>
  <c r="A11" i="45"/>
  <c r="A25" i="45"/>
  <c r="A37" i="45"/>
  <c r="I37" i="26"/>
  <c r="H34" i="39"/>
  <c r="I37" i="39"/>
  <c r="I44" i="39"/>
  <c r="H35" i="39"/>
  <c r="H35" i="26"/>
  <c r="I44" i="26"/>
  <c r="H34" i="26"/>
  <c r="H40" i="26"/>
  <c r="H40" i="39"/>
  <c r="I6" i="36" l="1"/>
  <c r="J6" i="36"/>
  <c r="H3" i="36" s="1"/>
  <c r="G3" i="36" s="1"/>
  <c r="J7" i="36"/>
  <c r="I6" i="45"/>
  <c r="I7" i="45"/>
  <c r="J6" i="45"/>
  <c r="J7" i="45"/>
  <c r="H4" i="36"/>
  <c r="G4" i="36" s="1"/>
  <c r="H2" i="36" l="1"/>
  <c r="G2" i="36" s="1"/>
  <c r="H5" i="36"/>
  <c r="G5" i="36" s="1"/>
  <c r="H5" i="45"/>
  <c r="G5" i="45" s="1"/>
  <c r="H4" i="45"/>
  <c r="G4" i="45" s="1"/>
  <c r="H3" i="45"/>
  <c r="G3" i="45" s="1"/>
  <c r="H2" i="45"/>
  <c r="G2" i="45" s="1"/>
  <c r="Q26" i="36"/>
  <c r="Q27" i="36"/>
  <c r="Q36" i="36"/>
  <c r="Q42" i="36"/>
  <c r="Q32" i="36"/>
  <c r="Q28" i="36"/>
  <c r="Q20" i="36"/>
  <c r="Q29" i="36"/>
  <c r="Q23" i="36"/>
  <c r="Q35" i="36"/>
  <c r="Q43" i="36"/>
  <c r="Q41" i="36"/>
  <c r="Q40" i="36"/>
  <c r="Q38" i="36"/>
  <c r="Q31" i="36"/>
  <c r="Q19" i="36"/>
  <c r="Q18" i="36"/>
  <c r="Q24" i="36"/>
  <c r="Q25" i="36"/>
  <c r="Q39" i="36"/>
  <c r="Q33" i="36"/>
  <c r="Q22" i="36"/>
  <c r="Q21" i="36"/>
  <c r="Q34" i="36"/>
  <c r="Q30" i="36"/>
  <c r="Q37" i="36"/>
  <c r="O18" i="36"/>
  <c r="O34" i="36"/>
  <c r="O29" i="36"/>
  <c r="O30" i="36"/>
  <c r="O40" i="36"/>
  <c r="O25" i="36"/>
  <c r="O22" i="36"/>
  <c r="O41" i="36"/>
  <c r="O27" i="36"/>
  <c r="O21" i="36"/>
  <c r="O33" i="36"/>
  <c r="O19" i="36"/>
  <c r="O31" i="36"/>
  <c r="O37" i="36"/>
  <c r="O42" i="36"/>
  <c r="O24" i="36"/>
  <c r="O35" i="36"/>
  <c r="O26" i="36"/>
  <c r="O32" i="36"/>
  <c r="O20" i="36"/>
  <c r="O23" i="36"/>
  <c r="O36" i="36"/>
  <c r="O38" i="36"/>
  <c r="O39" i="36"/>
  <c r="O28" i="36"/>
  <c r="O43" i="36"/>
  <c r="P24" i="36"/>
  <c r="P33" i="36"/>
  <c r="P18" i="36"/>
  <c r="P37" i="36"/>
  <c r="P31" i="36"/>
  <c r="P36" i="36"/>
  <c r="P43" i="36"/>
  <c r="P25" i="36"/>
  <c r="P26" i="36"/>
  <c r="P22" i="36"/>
  <c r="P23" i="36"/>
  <c r="P19" i="36"/>
  <c r="P20" i="36"/>
  <c r="P28" i="36"/>
  <c r="P38" i="36"/>
  <c r="P30" i="36"/>
  <c r="P35" i="36"/>
  <c r="P21" i="36"/>
  <c r="P27" i="36"/>
  <c r="P39" i="36"/>
  <c r="P32" i="36"/>
  <c r="P42" i="36"/>
  <c r="P41" i="36"/>
  <c r="P40" i="36"/>
  <c r="P34" i="36"/>
  <c r="P29" i="36"/>
  <c r="R23" i="36"/>
  <c r="R37" i="36"/>
  <c r="R38" i="36"/>
  <c r="R32" i="36"/>
  <c r="R30" i="36"/>
  <c r="R36" i="36"/>
  <c r="R22" i="36"/>
  <c r="R20" i="36"/>
  <c r="R25" i="36"/>
  <c r="R41" i="36"/>
  <c r="R26" i="36"/>
  <c r="R43" i="36"/>
  <c r="R31" i="36"/>
  <c r="R29" i="36"/>
  <c r="R42" i="36"/>
  <c r="R18" i="36"/>
  <c r="R40" i="36"/>
  <c r="R28" i="36"/>
  <c r="R27" i="36"/>
  <c r="R33" i="36"/>
  <c r="R24" i="36"/>
  <c r="R21" i="36"/>
  <c r="R35" i="36"/>
  <c r="R19" i="36"/>
  <c r="R39" i="36"/>
  <c r="R34" i="36"/>
  <c r="O18" i="45" l="1"/>
  <c r="O30" i="45"/>
  <c r="O33" i="45"/>
  <c r="O31" i="45"/>
  <c r="O20" i="45"/>
  <c r="O43" i="45"/>
  <c r="O29" i="45"/>
  <c r="O26" i="45"/>
  <c r="O42" i="45"/>
  <c r="O36" i="45"/>
  <c r="O27" i="45"/>
  <c r="O21" i="45"/>
  <c r="O41" i="45"/>
  <c r="O32" i="45"/>
  <c r="O23" i="45"/>
  <c r="O40" i="45"/>
  <c r="O28" i="45"/>
  <c r="O19" i="45"/>
  <c r="O39" i="45"/>
  <c r="O24" i="45"/>
  <c r="O22" i="45"/>
  <c r="O38" i="45"/>
  <c r="O25" i="45"/>
  <c r="O34" i="45"/>
  <c r="O37" i="45"/>
  <c r="O35" i="45"/>
  <c r="P18" i="45"/>
  <c r="P33" i="45"/>
  <c r="P20" i="45"/>
  <c r="P43" i="45"/>
  <c r="P29" i="45"/>
  <c r="P35" i="45"/>
  <c r="P42" i="45"/>
  <c r="P25" i="45"/>
  <c r="P31" i="45"/>
  <c r="P38" i="45"/>
  <c r="P41" i="45"/>
  <c r="P21" i="45"/>
  <c r="P27" i="45"/>
  <c r="P34" i="45"/>
  <c r="P40" i="45"/>
  <c r="P36" i="45"/>
  <c r="P23" i="45"/>
  <c r="P28" i="45"/>
  <c r="P30" i="45"/>
  <c r="P39" i="45"/>
  <c r="P32" i="45"/>
  <c r="P19" i="45"/>
  <c r="P26" i="45"/>
  <c r="P37" i="45"/>
  <c r="P24" i="45"/>
  <c r="P22" i="45"/>
  <c r="Q43" i="45"/>
  <c r="Q36" i="45"/>
  <c r="Q34" i="45"/>
  <c r="Q21" i="45"/>
  <c r="Q23" i="45"/>
  <c r="Q42" i="45"/>
  <c r="Q32" i="45"/>
  <c r="Q26" i="45"/>
  <c r="Q24" i="45"/>
  <c r="Q41" i="45"/>
  <c r="Q28" i="45"/>
  <c r="Q22" i="45"/>
  <c r="Q40" i="45"/>
  <c r="Q35" i="45"/>
  <c r="Q18" i="45"/>
  <c r="Q39" i="45"/>
  <c r="Q31" i="45"/>
  <c r="Q29" i="45"/>
  <c r="Q37" i="45"/>
  <c r="Q38" i="45"/>
  <c r="Q27" i="45"/>
  <c r="Q25" i="45"/>
  <c r="Q30" i="45"/>
  <c r="Q33" i="45"/>
  <c r="Q19" i="45"/>
  <c r="Q20" i="45"/>
  <c r="R37" i="45"/>
  <c r="R24" i="45"/>
  <c r="R30" i="45"/>
  <c r="R19" i="45"/>
  <c r="R33" i="45"/>
  <c r="R20" i="45"/>
  <c r="R26" i="45"/>
  <c r="R43" i="45"/>
  <c r="R29" i="45"/>
  <c r="R35" i="45"/>
  <c r="R22" i="45"/>
  <c r="R39" i="45"/>
  <c r="R42" i="45"/>
  <c r="R25" i="45"/>
  <c r="R31" i="45"/>
  <c r="R18" i="45"/>
  <c r="R41" i="45"/>
  <c r="R21" i="45"/>
  <c r="R27" i="45"/>
  <c r="R32" i="45"/>
  <c r="R40" i="45"/>
  <c r="R36" i="45"/>
  <c r="R23" i="45"/>
  <c r="R38" i="45"/>
  <c r="R28" i="45"/>
  <c r="R34" i="45"/>
</calcChain>
</file>

<file path=xl/comments1.xml><?xml version="1.0" encoding="utf-8"?>
<comments xmlns="http://schemas.openxmlformats.org/spreadsheetml/2006/main">
  <authors>
    <author>Jakob Ilsted Bech</author>
  </authors>
  <commentList>
    <comment ref="Q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Baglæns extrapolation for at finde tidspunkt for skadesinitiering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</commentList>
</comments>
</file>

<file path=xl/comments2.xml><?xml version="1.0" encoding="utf-8"?>
<comments xmlns="http://schemas.openxmlformats.org/spreadsheetml/2006/main">
  <authors>
    <author>Jakob Ilsted Bech</author>
  </authors>
  <commentList>
    <comment ref="Q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Baglæns extrapolation for at finde tidspunkt for skadesinitiering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</commentList>
</comments>
</file>

<file path=xl/comments3.xml><?xml version="1.0" encoding="utf-8"?>
<comments xmlns="http://schemas.openxmlformats.org/spreadsheetml/2006/main">
  <authors>
    <author>Jakob Ilsted Bech</author>
  </authors>
  <commentList>
    <comment ref="Q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Baglæns extrapolation for at finde tidspunkt for skadesinitiering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</commentList>
</comments>
</file>

<file path=xl/comments4.xml><?xml version="1.0" encoding="utf-8"?>
<comments xmlns="http://schemas.openxmlformats.org/spreadsheetml/2006/main">
  <authors>
    <author>Jakob Ilsted Bech</author>
  </authors>
  <commentList>
    <comment ref="Q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Baglæns extrapolation for at finde tidspunkt for skadesinitiering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1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4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5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6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7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8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29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0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1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2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4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5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6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7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8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39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0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1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2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  <comment ref="Q343" authorId="0" shapeId="0">
      <text>
        <r>
          <rPr>
            <b/>
            <sz val="9"/>
            <color indexed="81"/>
            <rFont val="Tahoma"/>
            <family val="2"/>
          </rPr>
          <t>Jakob Ilsted Bech:</t>
        </r>
        <r>
          <rPr>
            <sz val="9"/>
            <color indexed="81"/>
            <rFont val="Tahoma"/>
            <family val="2"/>
          </rPr>
          <t xml:space="preserve">
Valgte tidspunkter for aflæsning
</t>
        </r>
      </text>
    </comment>
  </commentList>
</comments>
</file>

<file path=xl/comments5.xml><?xml version="1.0" encoding="utf-8"?>
<comments xmlns="http://schemas.openxmlformats.org/spreadsheetml/2006/main">
  <authors>
    <author>Jakob Ilsted Bech</author>
  </authors>
  <commentList>
    <comment ref="D2" authorId="0" shapeId="0">
      <text>
        <r>
          <rPr>
            <b/>
            <sz val="9"/>
            <color indexed="81"/>
            <rFont val="Tahoma"/>
            <charset val="1"/>
          </rPr>
          <t>Jakob Ilsted Bech:</t>
        </r>
        <r>
          <rPr>
            <sz val="9"/>
            <color indexed="81"/>
            <rFont val="Tahoma"/>
            <charset val="1"/>
          </rPr>
          <t xml:space="preserve">
Har fjernet 10^(B2)</t>
        </r>
      </text>
    </comment>
    <comment ref="O2" authorId="0" shapeId="0">
      <text>
        <r>
          <rPr>
            <b/>
            <sz val="9"/>
            <color indexed="81"/>
            <rFont val="Tahoma"/>
            <charset val="1"/>
          </rPr>
          <t>Jakob Ilsted Bech:</t>
        </r>
        <r>
          <rPr>
            <sz val="9"/>
            <color indexed="81"/>
            <rFont val="Tahoma"/>
            <charset val="1"/>
          </rPr>
          <t xml:space="preserve">
Har fjernet 10^O2</t>
        </r>
      </text>
    </comment>
    <comment ref="P2" authorId="0" shapeId="0">
      <text>
        <r>
          <rPr>
            <b/>
            <sz val="9"/>
            <color indexed="81"/>
            <rFont val="Tahoma"/>
            <charset val="1"/>
          </rPr>
          <t>Jakob Ilsted Bech:</t>
        </r>
        <r>
          <rPr>
            <sz val="9"/>
            <color indexed="81"/>
            <rFont val="Tahoma"/>
            <charset val="1"/>
          </rPr>
          <t xml:space="preserve">
Har fjernet 10^P2</t>
        </r>
      </text>
    </comment>
    <comment ref="I31" authorId="0" shapeId="0">
      <text>
        <r>
          <rPr>
            <b/>
            <sz val="9"/>
            <color indexed="81"/>
            <rFont val="Tahoma"/>
            <charset val="1"/>
          </rPr>
          <t>Jakob Ilsted Bech:</t>
        </r>
        <r>
          <rPr>
            <sz val="9"/>
            <color indexed="81"/>
            <rFont val="Tahoma"/>
            <charset val="1"/>
          </rPr>
          <t xml:space="preserve">
Har fjernet 10^x</t>
        </r>
      </text>
    </comment>
  </commentList>
</comments>
</file>

<file path=xl/sharedStrings.xml><?xml version="1.0" encoding="utf-8"?>
<sst xmlns="http://schemas.openxmlformats.org/spreadsheetml/2006/main" count="1363" uniqueCount="161">
  <si>
    <t>r0</t>
  </si>
  <si>
    <t>Ri</t>
  </si>
  <si>
    <t>RPM</t>
  </si>
  <si>
    <t>RtipRain</t>
  </si>
  <si>
    <t>Rtip</t>
  </si>
  <si>
    <t>Dyse</t>
  </si>
  <si>
    <t>dråbe Dia</t>
  </si>
  <si>
    <t>fall height</t>
  </si>
  <si>
    <t>drop vel.</t>
  </si>
  <si>
    <t>rain intensity</t>
  </si>
  <si>
    <t>l/h</t>
  </si>
  <si>
    <t>mass</t>
  </si>
  <si>
    <t>Blade length</t>
  </si>
  <si>
    <t>m^3/s</t>
  </si>
  <si>
    <t>coverage factor phi</t>
  </si>
  <si>
    <t>G27</t>
  </si>
  <si>
    <t>teste name</t>
  </si>
  <si>
    <t>Wing number</t>
  </si>
  <si>
    <t>vinkelhastighed</t>
  </si>
  <si>
    <t>tip radius</t>
  </si>
  <si>
    <t>tip speed</t>
  </si>
  <si>
    <t>dråbediameter</t>
  </si>
  <si>
    <t>faldhøjde</t>
  </si>
  <si>
    <t>fald-hastighed</t>
  </si>
  <si>
    <t>Impingment rate while in rain field</t>
  </si>
  <si>
    <t>Specific Impact rate while in rain field</t>
  </si>
  <si>
    <t xml:space="preserve">Specific number of impact  incubation </t>
  </si>
  <si>
    <t>test duration MÅLT</t>
  </si>
  <si>
    <t>accumulated rain@failure</t>
  </si>
  <si>
    <t>Radius Of steady state erosion front</t>
  </si>
  <si>
    <t>local rotor speed at steady state from</t>
  </si>
  <si>
    <t xml:space="preserve">Time from start </t>
  </si>
  <si>
    <t>steady state erosion distance from collar</t>
  </si>
  <si>
    <t>[RPM]</t>
  </si>
  <si>
    <t>[rad/s]</t>
  </si>
  <si>
    <t>[m]</t>
  </si>
  <si>
    <t>[m/s]</t>
  </si>
  <si>
    <t>m/s</t>
  </si>
  <si>
    <t>1/s</t>
  </si>
  <si>
    <t>n</t>
  </si>
  <si>
    <t>[s]</t>
  </si>
  <si>
    <t>[min]</t>
  </si>
  <si>
    <t>mm</t>
  </si>
  <si>
    <t>S</t>
  </si>
  <si>
    <t>N</t>
  </si>
  <si>
    <t>X</t>
  </si>
  <si>
    <t>Y</t>
  </si>
  <si>
    <t>X^2</t>
  </si>
  <si>
    <t>Y^2</t>
  </si>
  <si>
    <t>X*Y</t>
  </si>
  <si>
    <t>Linear regression</t>
  </si>
  <si>
    <t>X fit</t>
  </si>
  <si>
    <t>Y fit</t>
  </si>
  <si>
    <t>Confidence</t>
  </si>
  <si>
    <t>Y confidence</t>
  </si>
  <si>
    <t>N fit</t>
  </si>
  <si>
    <t>S fit</t>
  </si>
  <si>
    <t>k</t>
  </si>
  <si>
    <t>SUMX</t>
  </si>
  <si>
    <t>SUMY</t>
  </si>
  <si>
    <t>SUMXX</t>
  </si>
  <si>
    <t>SUMYY</t>
  </si>
  <si>
    <t>SUMXY</t>
  </si>
  <si>
    <t>SAKX</t>
  </si>
  <si>
    <t>SAKY</t>
  </si>
  <si>
    <t>SAPXY</t>
  </si>
  <si>
    <t>XMEAN</t>
  </si>
  <si>
    <t>YMEAN</t>
  </si>
  <si>
    <t>B</t>
  </si>
  <si>
    <t>A</t>
  </si>
  <si>
    <t>R2</t>
  </si>
  <si>
    <t>Statistics</t>
  </si>
  <si>
    <t>sigma2</t>
  </si>
  <si>
    <t>tp</t>
  </si>
  <si>
    <t>Fp</t>
  </si>
  <si>
    <t>B confidence</t>
  </si>
  <si>
    <t>A confidence</t>
  </si>
  <si>
    <t>Fit region</t>
  </si>
  <si>
    <t>Xmin</t>
  </si>
  <si>
    <t>Xmax</t>
  </si>
  <si>
    <t>Output values</t>
  </si>
  <si>
    <t>N = 1,61353E23 * S ^ -10</t>
  </si>
  <si>
    <t>m</t>
  </si>
  <si>
    <t>C</t>
  </si>
  <si>
    <t>SN-curve</t>
  </si>
  <si>
    <t>T001 SN_1193_120_G20</t>
  </si>
  <si>
    <t xml:space="preserve">Dropsize and </t>
  </si>
  <si>
    <t>Dropheight</t>
  </si>
  <si>
    <t>2,8mm</t>
  </si>
  <si>
    <t xml:space="preserve">Impacts per square mm as per DNV-GL </t>
  </si>
  <si>
    <t>G20</t>
  </si>
  <si>
    <t>dropsize</t>
  </si>
  <si>
    <t>T002 SN_996_120_G20</t>
  </si>
  <si>
    <t>T003 SN_800_120_G20</t>
  </si>
  <si>
    <t>504 T006 SN_0800_060_G27</t>
  </si>
  <si>
    <t>505 T004 SN_1193_060_G27</t>
  </si>
  <si>
    <t>508 T005 SN_0996_060_G27</t>
  </si>
  <si>
    <t>541 T009 SN_0800_105_G27</t>
  </si>
  <si>
    <t>542 T009 SN_0800_105_G27</t>
  </si>
  <si>
    <t>542 T008 SN_996_105_G27</t>
  </si>
  <si>
    <t>543 T007 SN_1193_105_G27</t>
  </si>
  <si>
    <t>544 T012 SN_0800_085_G30</t>
  </si>
  <si>
    <t>G30</t>
  </si>
  <si>
    <t>545 T011 SN_0996_085_G30</t>
  </si>
  <si>
    <t>546 T010 SN_1193_085_G30</t>
  </si>
  <si>
    <t>G27 105l</t>
  </si>
  <si>
    <t>G0 3,4</t>
  </si>
  <si>
    <t>G20 3,5mm</t>
  </si>
  <si>
    <t xml:space="preserve">Values used </t>
  </si>
  <si>
    <t>G27 2,354mm</t>
  </si>
  <si>
    <t xml:space="preserve">Drop size </t>
  </si>
  <si>
    <t>Exponent</t>
  </si>
  <si>
    <t>Droplet size [mm]: 2.283</t>
  </si>
  <si>
    <t>Droplet speed [m/s]: 2.019</t>
  </si>
  <si>
    <t>Fall height [mm]: 280</t>
  </si>
  <si>
    <t>Droplet diameters and velocities</t>
  </si>
  <si>
    <t>The droplet diameter from our droplet tests showed the following values:</t>
  </si>
  <si>
    <t>G20: 3,5 mm droplet diameter / 2,487 m/s* @ 120 l/h (steady state mode), *This droplet velocity is theoretical.</t>
  </si>
  <si>
    <t>G27: 2,38 mm droplet diameter / 2,645 m/s @ 60 l/h (steady state mode)</t>
  </si>
  <si>
    <t xml:space="preserve">G27: 0,759 mm droplet diameter / 2,351 m/s @ 105 l/h (spray mode) </t>
  </si>
  <si>
    <t>G30: 1,904 mm droplet diameter /  2,32 m/s @ 85 l/h (steady state mode)</t>
  </si>
  <si>
    <t>Measued 400</t>
  </si>
  <si>
    <t xml:space="preserve">Values from hempel </t>
  </si>
  <si>
    <t>Spicific impulse</t>
  </si>
  <si>
    <t>s</t>
  </si>
  <si>
    <t>kinetic energy</t>
  </si>
  <si>
    <t>F0064 LM 2020.11.12</t>
  </si>
  <si>
    <t>F0064 Hempel 2020.11.12</t>
  </si>
  <si>
    <t>F0064 SGRE 2020.11.12</t>
  </si>
  <si>
    <t>stdev m</t>
  </si>
  <si>
    <t>All:</t>
  </si>
  <si>
    <t>"f=s(N)"</t>
  </si>
  <si>
    <t>"N=f(S)</t>
  </si>
  <si>
    <t>G30 85 L</t>
  </si>
  <si>
    <t>G27-105 L</t>
  </si>
  <si>
    <t>G20-120 L</t>
  </si>
  <si>
    <t>G27-60 L</t>
  </si>
  <si>
    <t>Forventet dråbestr</t>
  </si>
  <si>
    <t>15 MW IEA turbine</t>
  </si>
  <si>
    <t>data fit C</t>
  </si>
  <si>
    <t>data fit m</t>
  </si>
  <si>
    <t>NOM max tip</t>
  </si>
  <si>
    <t xml:space="preserve">sum of all impingment </t>
  </si>
  <si>
    <t>SD of 4 VN curves</t>
  </si>
  <si>
    <t>Linear dependent m</t>
  </si>
  <si>
    <t>calculated C using intercept and linear m</t>
  </si>
  <si>
    <t>Speed</t>
  </si>
  <si>
    <t>Forventet dråbestr N</t>
  </si>
  <si>
    <t xml:space="preserve">fitted curves </t>
  </si>
  <si>
    <t>Linear aproximations</t>
  </si>
  <si>
    <t>linear model for impingment at V_norm</t>
  </si>
  <si>
    <t>Red LEP9 for Aberdeen - 2021.06.15</t>
  </si>
  <si>
    <t>No damage</t>
  </si>
  <si>
    <t>skæring m ref tip speed 100 m/s</t>
  </si>
  <si>
    <t>accumulated kinetic energy</t>
  </si>
  <si>
    <t>[J]</t>
  </si>
  <si>
    <t>acc Ekin</t>
  </si>
  <si>
    <t>[J/m^2]</t>
  </si>
  <si>
    <t>n/m^2</t>
  </si>
  <si>
    <t>upper</t>
  </si>
  <si>
    <t>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</si>
</sst>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\-* #,##0.00_-;_-* &quot;-&quot;??_-;_-@_-"/>
    <numFmt numFmtId="164" formatCode="0.000"/>
    <numFmt numFmtId="165" formatCode="0.0"/>
    <numFmt numFmtId="166" formatCode="0.0E+00"/>
    <numFmt numFmtId="167" formatCode="0.00000"/>
    <numFmt numFmtId="168" formatCode="0.000000000"/>
    <numFmt numFmtId="169" formatCode="#,##0.000"/>
    <numFmt numFmtId="170" formatCode="0.000E+00"/>
    <numFmt numFmtId="171" formatCode="0.000000"/>
    <numFmt numFmtId="172" formatCode="0.0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color rgb="FF595959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2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7">
    <xf numFmtId="0" fontId="0" fillId="0" borderId="0"/>
    <xf numFmtId="0" fontId="2" fillId="0" borderId="0"/>
    <xf numFmtId="0" fontId="2" fillId="0" borderId="0"/>
    <xf numFmtId="0" fontId="5" fillId="0" borderId="0"/>
    <xf numFmtId="43" fontId="10" fillId="0" borderId="0" applyFont="0" applyFill="0" applyBorder="0" applyAlignment="0" applyProtection="0"/>
    <xf numFmtId="0" fontId="11" fillId="9" borderId="0" applyNumberFormat="0" applyBorder="0" applyAlignment="0" applyProtection="0"/>
    <xf numFmtId="0" fontId="12" fillId="10" borderId="0" applyNumberFormat="0" applyBorder="0" applyAlignment="0" applyProtection="0"/>
  </cellStyleXfs>
  <cellXfs count="136">
    <xf numFmtId="0" fontId="0" fillId="0" borderId="0" xfId="0"/>
    <xf numFmtId="1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164" fontId="0" fillId="0" borderId="0" xfId="0" applyNumberFormat="1"/>
    <xf numFmtId="11" fontId="0" fillId="3" borderId="2" xfId="0" applyNumberFormat="1" applyFill="1" applyBorder="1"/>
    <xf numFmtId="0" fontId="0" fillId="3" borderId="2" xfId="0" applyFill="1" applyBorder="1"/>
    <xf numFmtId="0" fontId="0" fillId="3" borderId="0" xfId="0" applyFill="1" applyBorder="1"/>
    <xf numFmtId="0" fontId="0" fillId="2" borderId="3" xfId="0" applyFill="1" applyBorder="1"/>
    <xf numFmtId="0" fontId="0" fillId="2" borderId="0" xfId="0" applyFill="1" applyBorder="1"/>
    <xf numFmtId="0" fontId="0" fillId="0" borderId="4" xfId="0" applyBorder="1" applyAlignment="1">
      <alignment wrapText="1"/>
    </xf>
    <xf numFmtId="1" fontId="0" fillId="0" borderId="4" xfId="0" applyNumberFormat="1" applyBorder="1" applyAlignment="1">
      <alignment wrapText="1"/>
    </xf>
    <xf numFmtId="0" fontId="0" fillId="0" borderId="0" xfId="0" applyAlignment="1">
      <alignment wrapText="1"/>
    </xf>
    <xf numFmtId="0" fontId="0" fillId="0" borderId="4" xfId="0" applyBorder="1"/>
    <xf numFmtId="1" fontId="0" fillId="0" borderId="4" xfId="0" applyNumberFormat="1" applyBorder="1"/>
    <xf numFmtId="0" fontId="0" fillId="0" borderId="5" xfId="0" applyBorder="1"/>
    <xf numFmtId="1" fontId="0" fillId="0" borderId="5" xfId="0" applyNumberFormat="1" applyBorder="1"/>
    <xf numFmtId="0" fontId="0" fillId="0" borderId="5" xfId="0" applyBorder="1" applyAlignment="1">
      <alignment wrapText="1"/>
    </xf>
    <xf numFmtId="165" fontId="0" fillId="0" borderId="5" xfId="0" applyNumberFormat="1" applyBorder="1"/>
    <xf numFmtId="0" fontId="0" fillId="0" borderId="6" xfId="0" applyBorder="1"/>
    <xf numFmtId="1" fontId="0" fillId="0" borderId="7" xfId="0" applyNumberFormat="1" applyBorder="1"/>
    <xf numFmtId="0" fontId="0" fillId="0" borderId="8" xfId="0" applyBorder="1"/>
    <xf numFmtId="165" fontId="0" fillId="0" borderId="8" xfId="0" applyNumberFormat="1" applyBorder="1"/>
    <xf numFmtId="166" fontId="0" fillId="0" borderId="8" xfId="0" applyNumberFormat="1" applyBorder="1"/>
    <xf numFmtId="2" fontId="0" fillId="0" borderId="8" xfId="0" applyNumberFormat="1" applyBorder="1"/>
    <xf numFmtId="11" fontId="0" fillId="0" borderId="8" xfId="0" applyNumberFormat="1" applyBorder="1"/>
    <xf numFmtId="167" fontId="0" fillId="0" borderId="8" xfId="0" applyNumberFormat="1" applyBorder="1"/>
    <xf numFmtId="168" fontId="0" fillId="0" borderId="9" xfId="0" applyNumberFormat="1" applyBorder="1"/>
    <xf numFmtId="164" fontId="0" fillId="0" borderId="8" xfId="0" applyNumberFormat="1" applyBorder="1"/>
    <xf numFmtId="0" fontId="2" fillId="0" borderId="0" xfId="1"/>
    <xf numFmtId="165" fontId="0" fillId="0" borderId="4" xfId="0" applyNumberFormat="1" applyBorder="1"/>
    <xf numFmtId="165" fontId="0" fillId="0" borderId="4" xfId="0" applyNumberFormat="1" applyFill="1" applyBorder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8" xfId="0" applyNumberFormat="1" applyFill="1" applyBorder="1"/>
    <xf numFmtId="0" fontId="2" fillId="0" borderId="0" xfId="2"/>
    <xf numFmtId="1" fontId="0" fillId="0" borderId="0" xfId="0" applyNumberFormat="1" applyBorder="1"/>
    <xf numFmtId="165" fontId="0" fillId="0" borderId="9" xfId="0" applyNumberFormat="1" applyBorder="1"/>
    <xf numFmtId="0" fontId="6" fillId="0" borderId="11" xfId="3" applyFont="1" applyBorder="1" applyAlignment="1">
      <alignment horizontal="center" vertical="center"/>
    </xf>
    <xf numFmtId="0" fontId="6" fillId="0" borderId="12" xfId="3" applyFont="1" applyBorder="1" applyAlignment="1">
      <alignment horizontal="center" vertical="center"/>
    </xf>
    <xf numFmtId="0" fontId="7" fillId="0" borderId="13" xfId="3" applyFont="1" applyBorder="1" applyAlignment="1">
      <alignment horizontal="center" vertical="center"/>
    </xf>
    <xf numFmtId="0" fontId="7" fillId="0" borderId="12" xfId="3" applyFont="1" applyBorder="1" applyAlignment="1">
      <alignment horizontal="center" vertical="center"/>
    </xf>
    <xf numFmtId="0" fontId="6" fillId="0" borderId="14" xfId="3" applyFont="1" applyFill="1" applyBorder="1" applyAlignment="1">
      <alignment horizontal="center" vertical="center"/>
    </xf>
    <xf numFmtId="0" fontId="5" fillId="0" borderId="15" xfId="3" applyBorder="1"/>
    <xf numFmtId="0" fontId="7" fillId="0" borderId="0" xfId="3" applyFont="1" applyBorder="1" applyAlignment="1">
      <alignment horizontal="center" vertical="center"/>
    </xf>
    <xf numFmtId="0" fontId="6" fillId="0" borderId="13" xfId="3" applyFont="1" applyBorder="1" applyAlignment="1">
      <alignment horizontal="center" vertical="center"/>
    </xf>
    <xf numFmtId="0" fontId="5" fillId="0" borderId="0" xfId="3"/>
    <xf numFmtId="0" fontId="5" fillId="0" borderId="0" xfId="3" applyBorder="1"/>
    <xf numFmtId="169" fontId="0" fillId="0" borderId="4" xfId="0" applyNumberFormat="1" applyBorder="1" applyAlignment="1">
      <alignment wrapText="1"/>
    </xf>
    <xf numFmtId="11" fontId="0" fillId="0" borderId="4" xfId="0" applyNumberFormat="1" applyBorder="1"/>
    <xf numFmtId="167" fontId="7" fillId="0" borderId="0" xfId="3" applyNumberFormat="1" applyFont="1" applyBorder="1" applyAlignment="1">
      <alignment horizontal="center" vertical="center"/>
    </xf>
    <xf numFmtId="164" fontId="7" fillId="0" borderId="0" xfId="3" applyNumberFormat="1" applyFont="1" applyBorder="1" applyAlignment="1">
      <alignment horizontal="center" vertical="center"/>
    </xf>
    <xf numFmtId="0" fontId="7" fillId="0" borderId="16" xfId="3" applyFont="1" applyBorder="1" applyAlignment="1">
      <alignment horizontal="center" vertical="center"/>
    </xf>
    <xf numFmtId="0" fontId="7" fillId="0" borderId="3" xfId="3" applyFont="1" applyBorder="1"/>
    <xf numFmtId="0" fontId="7" fillId="0" borderId="16" xfId="3" applyFont="1" applyBorder="1"/>
    <xf numFmtId="164" fontId="7" fillId="0" borderId="0" xfId="3" applyNumberFormat="1" applyFont="1" applyAlignment="1">
      <alignment horizontal="center" vertical="center"/>
    </xf>
    <xf numFmtId="1" fontId="7" fillId="0" borderId="0" xfId="3" applyNumberFormat="1" applyFont="1" applyBorder="1" applyAlignment="1">
      <alignment horizontal="center" vertical="center"/>
    </xf>
    <xf numFmtId="1" fontId="7" fillId="0" borderId="16" xfId="3" applyNumberFormat="1" applyFont="1" applyBorder="1" applyAlignment="1">
      <alignment horizontal="center" vertical="center"/>
    </xf>
    <xf numFmtId="164" fontId="7" fillId="0" borderId="16" xfId="3" applyNumberFormat="1" applyFont="1" applyBorder="1"/>
    <xf numFmtId="164" fontId="7" fillId="0" borderId="3" xfId="3" applyNumberFormat="1" applyFont="1" applyBorder="1"/>
    <xf numFmtId="167" fontId="7" fillId="0" borderId="16" xfId="3" applyNumberFormat="1" applyFont="1" applyBorder="1"/>
    <xf numFmtId="0" fontId="7" fillId="0" borderId="17" xfId="3" applyFont="1" applyBorder="1"/>
    <xf numFmtId="164" fontId="7" fillId="0" borderId="18" xfId="3" applyNumberFormat="1" applyFont="1" applyBorder="1"/>
    <xf numFmtId="0" fontId="6" fillId="0" borderId="14" xfId="3" applyFont="1" applyBorder="1"/>
    <xf numFmtId="164" fontId="7" fillId="0" borderId="15" xfId="3" applyNumberFormat="1" applyFont="1" applyBorder="1"/>
    <xf numFmtId="171" fontId="7" fillId="0" borderId="16" xfId="3" applyNumberFormat="1" applyFont="1" applyBorder="1"/>
    <xf numFmtId="0" fontId="8" fillId="0" borderId="3" xfId="3" applyFont="1" applyBorder="1"/>
    <xf numFmtId="9" fontId="8" fillId="0" borderId="16" xfId="3" applyNumberFormat="1" applyFont="1" applyBorder="1"/>
    <xf numFmtId="172" fontId="7" fillId="0" borderId="16" xfId="3" applyNumberFormat="1" applyFont="1" applyBorder="1"/>
    <xf numFmtId="172" fontId="7" fillId="0" borderId="18" xfId="3" applyNumberFormat="1" applyFont="1" applyBorder="1"/>
    <xf numFmtId="172" fontId="7" fillId="0" borderId="15" xfId="3" applyNumberFormat="1" applyFont="1" applyBorder="1"/>
    <xf numFmtId="172" fontId="8" fillId="0" borderId="16" xfId="3" applyNumberFormat="1" applyFont="1" applyBorder="1"/>
    <xf numFmtId="0" fontId="8" fillId="0" borderId="17" xfId="3" applyFont="1" applyBorder="1"/>
    <xf numFmtId="172" fontId="8" fillId="0" borderId="18" xfId="3" applyNumberFormat="1" applyFont="1" applyBorder="1"/>
    <xf numFmtId="2" fontId="7" fillId="0" borderId="16" xfId="3" applyNumberFormat="1" applyFont="1" applyBorder="1"/>
    <xf numFmtId="0" fontId="6" fillId="0" borderId="3" xfId="3" applyFont="1" applyBorder="1"/>
    <xf numFmtId="164" fontId="6" fillId="0" borderId="16" xfId="3" applyNumberFormat="1" applyFont="1" applyBorder="1"/>
    <xf numFmtId="0" fontId="7" fillId="0" borderId="3" xfId="3" applyFont="1" applyFill="1" applyBorder="1"/>
    <xf numFmtId="1" fontId="7" fillId="0" borderId="16" xfId="3" applyNumberFormat="1" applyFont="1" applyBorder="1"/>
    <xf numFmtId="170" fontId="6" fillId="0" borderId="16" xfId="3" applyNumberFormat="1" applyFont="1" applyBorder="1"/>
    <xf numFmtId="1" fontId="7" fillId="0" borderId="18" xfId="3" applyNumberFormat="1" applyFont="1" applyBorder="1"/>
    <xf numFmtId="0" fontId="7" fillId="0" borderId="15" xfId="3" applyFont="1" applyBorder="1"/>
    <xf numFmtId="166" fontId="7" fillId="0" borderId="17" xfId="3" applyNumberFormat="1" applyFont="1" applyBorder="1"/>
    <xf numFmtId="0" fontId="7" fillId="0" borderId="0" xfId="3" applyFont="1"/>
    <xf numFmtId="170" fontId="7" fillId="0" borderId="0" xfId="3" applyNumberFormat="1" applyFont="1"/>
    <xf numFmtId="11" fontId="7" fillId="0" borderId="0" xfId="3" applyNumberFormat="1" applyFont="1" applyBorder="1"/>
    <xf numFmtId="0" fontId="7" fillId="0" borderId="0" xfId="3" applyFont="1" applyBorder="1"/>
    <xf numFmtId="164" fontId="7" fillId="4" borderId="0" xfId="3" applyNumberFormat="1" applyFont="1" applyFill="1" applyBorder="1" applyAlignment="1">
      <alignment horizontal="center" vertical="center"/>
    </xf>
    <xf numFmtId="164" fontId="7" fillId="4" borderId="0" xfId="3" applyNumberFormat="1" applyFont="1" applyFill="1" applyAlignment="1">
      <alignment horizontal="center" vertical="center"/>
    </xf>
    <xf numFmtId="1" fontId="7" fillId="4" borderId="0" xfId="3" applyNumberFormat="1" applyFont="1" applyFill="1" applyBorder="1" applyAlignment="1">
      <alignment horizontal="center" vertical="center"/>
    </xf>
    <xf numFmtId="1" fontId="7" fillId="4" borderId="16" xfId="3" applyNumberFormat="1" applyFont="1" applyFill="1" applyBorder="1" applyAlignment="1">
      <alignment horizontal="center" vertical="center"/>
    </xf>
    <xf numFmtId="1" fontId="7" fillId="0" borderId="19" xfId="3" applyNumberFormat="1" applyFont="1" applyBorder="1" applyAlignment="1">
      <alignment horizontal="center" vertical="center"/>
    </xf>
    <xf numFmtId="1" fontId="7" fillId="0" borderId="18" xfId="3" applyNumberFormat="1" applyFont="1" applyBorder="1" applyAlignment="1">
      <alignment horizontal="center" vertical="center"/>
    </xf>
    <xf numFmtId="0" fontId="5" fillId="0" borderId="0" xfId="3" applyAlignment="1">
      <alignment horizontal="center" vertical="center"/>
    </xf>
    <xf numFmtId="164" fontId="7" fillId="0" borderId="3" xfId="3" applyNumberFormat="1" applyFont="1" applyBorder="1" applyAlignment="1">
      <alignment horizontal="center" vertical="center"/>
    </xf>
    <xf numFmtId="2" fontId="7" fillId="0" borderId="0" xfId="3" applyNumberFormat="1" applyFont="1"/>
    <xf numFmtId="164" fontId="7" fillId="4" borderId="3" xfId="3" applyNumberFormat="1" applyFont="1" applyFill="1" applyBorder="1" applyAlignment="1">
      <alignment horizontal="center" vertical="center"/>
    </xf>
    <xf numFmtId="164" fontId="7" fillId="0" borderId="17" xfId="3" applyNumberFormat="1" applyFont="1" applyBorder="1" applyAlignment="1">
      <alignment horizontal="center" vertical="center"/>
    </xf>
    <xf numFmtId="169" fontId="0" fillId="0" borderId="0" xfId="0" applyNumberFormat="1"/>
    <xf numFmtId="4" fontId="0" fillId="2" borderId="2" xfId="0" applyNumberFormat="1" applyFill="1" applyBorder="1"/>
    <xf numFmtId="169" fontId="0" fillId="5" borderId="0" xfId="0" applyNumberFormat="1" applyFill="1"/>
    <xf numFmtId="0" fontId="0" fillId="5" borderId="0" xfId="0" applyFill="1"/>
    <xf numFmtId="2" fontId="0" fillId="0" borderId="0" xfId="0" applyNumberFormat="1"/>
    <xf numFmtId="0" fontId="0" fillId="0" borderId="0" xfId="0" applyAlignment="1">
      <alignment vertical="center"/>
    </xf>
    <xf numFmtId="0" fontId="9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169" fontId="0" fillId="0" borderId="0" xfId="0" applyNumberFormat="1" applyFill="1"/>
    <xf numFmtId="4" fontId="0" fillId="0" borderId="0" xfId="0" applyNumberFormat="1" applyFill="1"/>
    <xf numFmtId="0" fontId="0" fillId="0" borderId="10" xfId="0" applyFill="1" applyBorder="1"/>
    <xf numFmtId="11" fontId="0" fillId="0" borderId="0" xfId="0" applyNumberFormat="1"/>
    <xf numFmtId="11" fontId="0" fillId="0" borderId="5" xfId="0" applyNumberFormat="1" applyBorder="1" applyAlignment="1">
      <alignment wrapText="1"/>
    </xf>
    <xf numFmtId="11" fontId="0" fillId="6" borderId="4" xfId="0" applyNumberFormat="1" applyFill="1" applyBorder="1"/>
    <xf numFmtId="11" fontId="0" fillId="7" borderId="4" xfId="0" applyNumberFormat="1" applyFill="1" applyBorder="1"/>
    <xf numFmtId="11" fontId="0" fillId="8" borderId="4" xfId="0" applyNumberFormat="1" applyFill="1" applyBorder="1"/>
    <xf numFmtId="170" fontId="7" fillId="0" borderId="0" xfId="3" applyNumberFormat="1" applyFont="1" applyBorder="1"/>
    <xf numFmtId="43" fontId="0" fillId="0" borderId="0" xfId="4" applyFont="1"/>
    <xf numFmtId="0" fontId="11" fillId="9" borderId="0" xfId="5"/>
    <xf numFmtId="0" fontId="12" fillId="10" borderId="0" xfId="6"/>
    <xf numFmtId="0" fontId="13" fillId="0" borderId="0" xfId="0" applyFont="1" applyAlignment="1">
      <alignment horizontal="center" vertical="center" readingOrder="1"/>
    </xf>
    <xf numFmtId="0" fontId="0" fillId="0" borderId="14" xfId="0" applyBorder="1"/>
    <xf numFmtId="0" fontId="0" fillId="0" borderId="15" xfId="0" applyBorder="1"/>
    <xf numFmtId="0" fontId="0" fillId="0" borderId="3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20" xfId="0" applyBorder="1"/>
    <xf numFmtId="0" fontId="0" fillId="0" borderId="0" xfId="0" applyBorder="1"/>
    <xf numFmtId="0" fontId="0" fillId="5" borderId="3" xfId="0" applyFill="1" applyBorder="1"/>
    <xf numFmtId="0" fontId="0" fillId="0" borderId="0" xfId="0" applyFill="1" applyBorder="1"/>
    <xf numFmtId="0" fontId="0" fillId="0" borderId="16" xfId="0" applyFill="1" applyBorder="1"/>
    <xf numFmtId="0" fontId="0" fillId="0" borderId="19" xfId="0" applyBorder="1"/>
    <xf numFmtId="168" fontId="0" fillId="0" borderId="0" xfId="0" applyNumberFormat="1" applyBorder="1"/>
    <xf numFmtId="165" fontId="0" fillId="0" borderId="0" xfId="0" applyNumberFormat="1" applyBorder="1"/>
    <xf numFmtId="0" fontId="11" fillId="9" borderId="0" xfId="5" applyAlignment="1">
      <alignment horizontal="center"/>
    </xf>
    <xf numFmtId="0" fontId="12" fillId="10" borderId="0" xfId="6" applyAlignment="1">
      <alignment horizontal="center"/>
    </xf>
    <xf numFmtId="1" fontId="0" fillId="0" borderId="8" xfId="0" applyNumberFormat="1" applyBorder="1"/>
  </cellXfs>
  <cellStyles count="7">
    <cellStyle name="Comma" xfId="4" builtinId="3"/>
    <cellStyle name="Good" xfId="5" builtinId="26"/>
    <cellStyle name="Neutral" xfId="6" builtinId="28"/>
    <cellStyle name="Normal" xfId="0" builtinId="0"/>
    <cellStyle name="Normal 3" xfId="3"/>
    <cellStyle name="Normal 6 3" xfId="2"/>
    <cellStyle name="Normal 7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6.xml"/><Relationship Id="rId18" Type="http://schemas.openxmlformats.org/officeDocument/2006/relationships/chartsheet" Target="chartsheets/sheet11.xml"/><Relationship Id="rId26" Type="http://schemas.openxmlformats.org/officeDocument/2006/relationships/worksheet" Target="worksheets/sheet15.xml"/><Relationship Id="rId39" Type="http://schemas.openxmlformats.org/officeDocument/2006/relationships/chartsheet" Target="chartsheets/sheet13.xml"/><Relationship Id="rId3" Type="http://schemas.openxmlformats.org/officeDocument/2006/relationships/chartsheet" Target="chartsheets/sheet2.xml"/><Relationship Id="rId21" Type="http://schemas.openxmlformats.org/officeDocument/2006/relationships/worksheet" Target="worksheets/sheet10.xml"/><Relationship Id="rId34" Type="http://schemas.openxmlformats.org/officeDocument/2006/relationships/worksheet" Target="worksheets/sheet23.xml"/><Relationship Id="rId42" Type="http://schemas.openxmlformats.org/officeDocument/2006/relationships/theme" Target="theme/theme1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5.xml"/><Relationship Id="rId17" Type="http://schemas.openxmlformats.org/officeDocument/2006/relationships/chartsheet" Target="chartsheets/sheet10.xml"/><Relationship Id="rId25" Type="http://schemas.openxmlformats.org/officeDocument/2006/relationships/worksheet" Target="worksheets/sheet14.xml"/><Relationship Id="rId33" Type="http://schemas.openxmlformats.org/officeDocument/2006/relationships/worksheet" Target="worksheets/sheet22.xml"/><Relationship Id="rId38" Type="http://schemas.openxmlformats.org/officeDocument/2006/relationships/worksheet" Target="worksheets/sheet26.xml"/><Relationship Id="rId2" Type="http://schemas.openxmlformats.org/officeDocument/2006/relationships/worksheet" Target="worksheets/sheet1.xml"/><Relationship Id="rId16" Type="http://schemas.openxmlformats.org/officeDocument/2006/relationships/chartsheet" Target="chartsheets/sheet9.xml"/><Relationship Id="rId20" Type="http://schemas.openxmlformats.org/officeDocument/2006/relationships/worksheet" Target="worksheets/sheet9.xml"/><Relationship Id="rId29" Type="http://schemas.openxmlformats.org/officeDocument/2006/relationships/worksheet" Target="worksheets/sheet18.xml"/><Relationship Id="rId41" Type="http://schemas.openxmlformats.org/officeDocument/2006/relationships/worksheet" Target="worksheets/sheet27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chartsheet" Target="chartsheets/sheet4.xml"/><Relationship Id="rId24" Type="http://schemas.openxmlformats.org/officeDocument/2006/relationships/worksheet" Target="worksheets/sheet13.xml"/><Relationship Id="rId32" Type="http://schemas.openxmlformats.org/officeDocument/2006/relationships/worksheet" Target="worksheets/sheet21.xml"/><Relationship Id="rId37" Type="http://schemas.openxmlformats.org/officeDocument/2006/relationships/worksheet" Target="worksheets/sheet25.xml"/><Relationship Id="rId40" Type="http://schemas.openxmlformats.org/officeDocument/2006/relationships/chartsheet" Target="chartsheets/sheet14.xml"/><Relationship Id="rId45" Type="http://schemas.openxmlformats.org/officeDocument/2006/relationships/calcChain" Target="calcChain.xml"/><Relationship Id="rId5" Type="http://schemas.openxmlformats.org/officeDocument/2006/relationships/worksheet" Target="worksheets/sheet2.xml"/><Relationship Id="rId15" Type="http://schemas.openxmlformats.org/officeDocument/2006/relationships/chartsheet" Target="chartsheets/sheet8.xml"/><Relationship Id="rId23" Type="http://schemas.openxmlformats.org/officeDocument/2006/relationships/worksheet" Target="worksheets/sheet12.xml"/><Relationship Id="rId28" Type="http://schemas.openxmlformats.org/officeDocument/2006/relationships/worksheet" Target="worksheets/sheet17.xml"/><Relationship Id="rId36" Type="http://schemas.openxmlformats.org/officeDocument/2006/relationships/worksheet" Target="worksheets/sheet24.xml"/><Relationship Id="rId10" Type="http://schemas.openxmlformats.org/officeDocument/2006/relationships/worksheet" Target="worksheets/sheet7.xml"/><Relationship Id="rId19" Type="http://schemas.openxmlformats.org/officeDocument/2006/relationships/worksheet" Target="worksheets/sheet8.xml"/><Relationship Id="rId31" Type="http://schemas.openxmlformats.org/officeDocument/2006/relationships/worksheet" Target="worksheets/sheet20.xml"/><Relationship Id="rId44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chartsheet" Target="chartsheets/sheet7.xml"/><Relationship Id="rId22" Type="http://schemas.openxmlformats.org/officeDocument/2006/relationships/worksheet" Target="worksheets/sheet11.xml"/><Relationship Id="rId27" Type="http://schemas.openxmlformats.org/officeDocument/2006/relationships/worksheet" Target="worksheets/sheet16.xml"/><Relationship Id="rId30" Type="http://schemas.openxmlformats.org/officeDocument/2006/relationships/worksheet" Target="worksheets/sheet19.xml"/><Relationship Id="rId35" Type="http://schemas.openxmlformats.org/officeDocument/2006/relationships/chartsheet" Target="chartsheets/sheet12.xml"/><Relationship Id="rId43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75354921025311"/>
          <c:y val="2.9805201875262761E-2"/>
          <c:w val="0.65618729305409562"/>
          <c:h val="0.83955536022672272"/>
        </c:manualLayout>
      </c:layout>
      <c:scatterChart>
        <c:scatterStyle val="lineMarker"/>
        <c:varyColors val="0"/>
        <c:ser>
          <c:idx val="15"/>
          <c:order val="4"/>
          <c:tx>
            <c:v>0.76 linear model</c:v>
          </c:tx>
          <c:spPr>
            <a:ln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'LINEAR MODEL FIT'!$O$18:$O$43</c:f>
              <c:numCache>
                <c:formatCode>General</c:formatCode>
                <c:ptCount val="26"/>
                <c:pt idx="0">
                  <c:v>1.8715267292856285E-2</c:v>
                </c:pt>
                <c:pt idx="1">
                  <c:v>2.4561514795042878E-2</c:v>
                </c:pt>
                <c:pt idx="2">
                  <c:v>3.2462433454994527E-2</c:v>
                </c:pt>
                <c:pt idx="3">
                  <c:v>4.3225238631837977E-2</c:v>
                </c:pt>
                <c:pt idx="4">
                  <c:v>5.8009773529877302E-2</c:v>
                </c:pt>
                <c:pt idx="5">
                  <c:v>7.8499047916922748E-2</c:v>
                </c:pt>
                <c:pt idx="6">
                  <c:v>0.10716075483813012</c:v>
                </c:pt>
                <c:pt idx="7">
                  <c:v>0.14765314297990964</c:v>
                </c:pt>
                <c:pt idx="8">
                  <c:v>0.20546298049430961</c:v>
                </c:pt>
                <c:pt idx="9">
                  <c:v>0.28892191951183432</c:v>
                </c:pt>
                <c:pt idx="10">
                  <c:v>0.41084901704848703</c:v>
                </c:pt>
                <c:pt idx="11">
                  <c:v>0.59124584284913251</c:v>
                </c:pt>
                <c:pt idx="12">
                  <c:v>0.86179096983205161</c:v>
                </c:pt>
                <c:pt idx="13">
                  <c:v>1.2734660991485125</c:v>
                </c:pt>
                <c:pt idx="14">
                  <c:v>1.9097379557764114</c:v>
                </c:pt>
                <c:pt idx="15">
                  <c:v>2.9098013065465564</c:v>
                </c:pt>
                <c:pt idx="16">
                  <c:v>4.5104492634289519</c:v>
                </c:pt>
                <c:pt idx="17">
                  <c:v>7.1232623580284091</c:v>
                </c:pt>
                <c:pt idx="18">
                  <c:v>11.480513876746848</c:v>
                </c:pt>
                <c:pt idx="19">
                  <c:v>18.918563508409502</c:v>
                </c:pt>
                <c:pt idx="20">
                  <c:v>31.94485228204551</c:v>
                </c:pt>
                <c:pt idx="21">
                  <c:v>55.409715779553466</c:v>
                </c:pt>
                <c:pt idx="22">
                  <c:v>99.01614640760171</c:v>
                </c:pt>
                <c:pt idx="23">
                  <c:v>182.91133277285741</c:v>
                </c:pt>
                <c:pt idx="24">
                  <c:v>350.7021544824467</c:v>
                </c:pt>
                <c:pt idx="25">
                  <c:v>701.2729743297549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4708-4080-8FA1-D50ABBB4868D}"/>
            </c:ext>
          </c:extLst>
        </c:ser>
        <c:ser>
          <c:idx val="16"/>
          <c:order val="5"/>
          <c:tx>
            <c:v>1.90 linear model</c:v>
          </c:tx>
          <c:spPr>
            <a:ln>
              <a:solidFill>
                <a:srgbClr val="FFC000"/>
              </a:solidFill>
              <a:prstDash val="dash"/>
            </a:ln>
          </c:spPr>
          <c:marker>
            <c:symbol val="none"/>
          </c:marker>
          <c:xVal>
            <c:numRef>
              <c:f>'LINEAR MODEL FIT'!$P$18:$P$43</c:f>
              <c:numCache>
                <c:formatCode>General</c:formatCode>
                <c:ptCount val="26"/>
                <c:pt idx="0">
                  <c:v>4.0341194830920218E-2</c:v>
                </c:pt>
                <c:pt idx="1">
                  <c:v>5.0972890831153715E-2</c:v>
                </c:pt>
                <c:pt idx="2">
                  <c:v>6.4799070964857347E-2</c:v>
                </c:pt>
                <c:pt idx="3">
                  <c:v>8.2904494037487939E-2</c:v>
                </c:pt>
                <c:pt idx="4">
                  <c:v>0.10678727157264807</c:v>
                </c:pt>
                <c:pt idx="5">
                  <c:v>0.13853459931956899</c:v>
                </c:pt>
                <c:pt idx="6">
                  <c:v>0.18108144598549056</c:v>
                </c:pt>
                <c:pt idx="7">
                  <c:v>0.23859551370162091</c:v>
                </c:pt>
                <c:pt idx="8">
                  <c:v>0.31705671853498513</c:v>
                </c:pt>
                <c:pt idx="9">
                  <c:v>0.42514015572358349</c:v>
                </c:pt>
                <c:pt idx="10">
                  <c:v>0.57557897499279098</c:v>
                </c:pt>
                <c:pt idx="11">
                  <c:v>0.78729709817383475</c:v>
                </c:pt>
                <c:pt idx="12">
                  <c:v>1.088795848707883</c:v>
                </c:pt>
                <c:pt idx="13">
                  <c:v>1.5236164563710697</c:v>
                </c:pt>
                <c:pt idx="14">
                  <c:v>2.1592995733771088</c:v>
                </c:pt>
                <c:pt idx="15">
                  <c:v>3.1023468581493594</c:v>
                </c:pt>
                <c:pt idx="16">
                  <c:v>4.5236930099321455</c:v>
                </c:pt>
                <c:pt idx="17">
                  <c:v>6.7029856461847581</c:v>
                </c:pt>
                <c:pt idx="18">
                  <c:v>10.107317488666306</c:v>
                </c:pt>
                <c:pt idx="19">
                  <c:v>15.534691057175959</c:v>
                </c:pt>
                <c:pt idx="20">
                  <c:v>24.382518136231411</c:v>
                </c:pt>
                <c:pt idx="21">
                  <c:v>39.165040342350281</c:v>
                </c:pt>
                <c:pt idx="22">
                  <c:v>64.543021017392206</c:v>
                </c:pt>
                <c:pt idx="23">
                  <c:v>109.44697249006961</c:v>
                </c:pt>
                <c:pt idx="24">
                  <c:v>191.63143834223069</c:v>
                </c:pt>
                <c:pt idx="25">
                  <c:v>347.88421253796514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4708-4080-8FA1-D50ABBB4868D}"/>
            </c:ext>
          </c:extLst>
        </c:ser>
        <c:ser>
          <c:idx val="17"/>
          <c:order val="6"/>
          <c:tx>
            <c:v>2.38 linear model</c:v>
          </c:tx>
          <c:spPr>
            <a:ln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'LINEAR MODEL FIT'!$Q$18:$Q$43</c:f>
              <c:numCache>
                <c:formatCode>General</c:formatCode>
                <c:ptCount val="26"/>
                <c:pt idx="0">
                  <c:v>5.4104844963389971E-2</c:v>
                </c:pt>
                <c:pt idx="1">
                  <c:v>6.7294617153592987E-2</c:v>
                </c:pt>
                <c:pt idx="2">
                  <c:v>8.4175490800391287E-2</c:v>
                </c:pt>
                <c:pt idx="3">
                  <c:v>0.10592133194074636</c:v>
                </c:pt>
                <c:pt idx="4">
                  <c:v>0.13412685225116946</c:v>
                </c:pt>
                <c:pt idx="5">
                  <c:v>0.17097658649757289</c:v>
                </c:pt>
                <c:pt idx="6">
                  <c:v>0.21948945113784452</c:v>
                </c:pt>
                <c:pt idx="7">
                  <c:v>0.28387637869173143</c:v>
                </c:pt>
                <c:pt idx="8">
                  <c:v>0.37006907792614108</c:v>
                </c:pt>
                <c:pt idx="9">
                  <c:v>0.4865109419569672</c:v>
                </c:pt>
                <c:pt idx="10">
                  <c:v>0.64535475944966092</c:v>
                </c:pt>
                <c:pt idx="11">
                  <c:v>0.86430042838450416</c:v>
                </c:pt>
                <c:pt idx="12">
                  <c:v>1.1694543761271305</c:v>
                </c:pt>
                <c:pt idx="13">
                  <c:v>1.5998456797882603</c:v>
                </c:pt>
                <c:pt idx="14">
                  <c:v>2.2146737221538122</c:v>
                </c:pt>
                <c:pt idx="15">
                  <c:v>3.1051408316390678</c:v>
                </c:pt>
                <c:pt idx="16">
                  <c:v>4.4141303967580408</c:v>
                </c:pt>
                <c:pt idx="17">
                  <c:v>6.3695907108303551</c:v>
                </c:pt>
                <c:pt idx="18">
                  <c:v>9.3424048285144394</c:v>
                </c:pt>
                <c:pt idx="19">
                  <c:v>13.949082528626565</c:v>
                </c:pt>
                <c:pt idx="20">
                  <c:v>21.238700622338385</c:v>
                </c:pt>
                <c:pt idx="21">
                  <c:v>33.042845794264984</c:v>
                </c:pt>
                <c:pt idx="22">
                  <c:v>52.651108460005382</c:v>
                </c:pt>
                <c:pt idx="23">
                  <c:v>86.159950104882441</c:v>
                </c:pt>
                <c:pt idx="24">
                  <c:v>145.26954768979562</c:v>
                </c:pt>
                <c:pt idx="25">
                  <c:v>253.33214687939949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4708-4080-8FA1-D50ABBB4868D}"/>
            </c:ext>
          </c:extLst>
        </c:ser>
        <c:ser>
          <c:idx val="18"/>
          <c:order val="7"/>
          <c:tx>
            <c:v>3.50 linear model</c:v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'LINEAR MODEL FIT'!$R$18:$R$43</c:f>
              <c:numCache>
                <c:formatCode>General</c:formatCode>
                <c:ptCount val="26"/>
                <c:pt idx="0">
                  <c:v>9.7346749225571724E-2</c:v>
                </c:pt>
                <c:pt idx="1">
                  <c:v>0.11666930036083742</c:v>
                </c:pt>
                <c:pt idx="2">
                  <c:v>0.14048644783313485</c:v>
                </c:pt>
                <c:pt idx="3">
                  <c:v>0.17000587523569349</c:v>
                </c:pt>
                <c:pt idx="4">
                  <c:v>0.20680594099048394</c:v>
                </c:pt>
                <c:pt idx="5">
                  <c:v>0.25296448988080805</c:v>
                </c:pt>
                <c:pt idx="6">
                  <c:v>0.31123798379542661</c:v>
                </c:pt>
                <c:pt idx="7">
                  <c:v>0.38531292049356491</c:v>
                </c:pt>
                <c:pt idx="8">
                  <c:v>0.48016217785482679</c:v>
                </c:pt>
                <c:pt idx="9">
                  <c:v>0.60255533029867347</c:v>
                </c:pt>
                <c:pt idx="10">
                  <c:v>0.76179754549687639</c:v>
                </c:pt>
                <c:pt idx="11">
                  <c:v>0.97081202852910131</c:v>
                </c:pt>
                <c:pt idx="12">
                  <c:v>1.2477456242493399</c:v>
                </c:pt>
                <c:pt idx="13">
                  <c:v>1.6183823239506563</c:v>
                </c:pt>
                <c:pt idx="14">
                  <c:v>2.1198232265439674</c:v>
                </c:pt>
                <c:pt idx="15">
                  <c:v>2.8061838917469459</c:v>
                </c:pt>
                <c:pt idx="16">
                  <c:v>3.7575612071302418</c:v>
                </c:pt>
                <c:pt idx="17">
                  <c:v>5.094398477107708</c:v>
                </c:pt>
                <c:pt idx="18">
                  <c:v>7.0009443428865987</c:v>
                </c:pt>
                <c:pt idx="19">
                  <c:v>9.764368728482717</c:v>
                </c:pt>
                <c:pt idx="20">
                  <c:v>13.841482942590098</c:v>
                </c:pt>
                <c:pt idx="21">
                  <c:v>19.975405309545067</c:v>
                </c:pt>
                <c:pt idx="22">
                  <c:v>29.40520281795046</c:v>
                </c:pt>
                <c:pt idx="23">
                  <c:v>44.254125361783771</c:v>
                </c:pt>
                <c:pt idx="24">
                  <c:v>68.273020386681125</c:v>
                </c:pt>
                <c:pt idx="25">
                  <c:v>108.31802618563756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4708-4080-8FA1-D50ABBB4868D}"/>
            </c:ext>
          </c:extLst>
        </c:ser>
        <c:ser>
          <c:idx val="5"/>
          <c:order val="10"/>
          <c:tx>
            <c:v>Fit 0.76 mm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'G27 105L (m;velo)'!$N$2:$N$102</c:f>
              <c:numCache>
                <c:formatCode>0.000</c:formatCode>
                <c:ptCount val="101"/>
                <c:pt idx="0">
                  <c:v>40.110811626846086</c:v>
                </c:pt>
                <c:pt idx="1">
                  <c:v>39.715454976715939</c:v>
                </c:pt>
                <c:pt idx="2">
                  <c:v>39.3200983265858</c:v>
                </c:pt>
                <c:pt idx="3">
                  <c:v>38.924741676455668</c:v>
                </c:pt>
                <c:pt idx="4">
                  <c:v>38.529385026325507</c:v>
                </c:pt>
                <c:pt idx="5">
                  <c:v>38.134028376195381</c:v>
                </c:pt>
                <c:pt idx="6">
                  <c:v>37.738671726065242</c:v>
                </c:pt>
                <c:pt idx="7">
                  <c:v>37.343315075935088</c:v>
                </c:pt>
                <c:pt idx="8">
                  <c:v>36.947958425804956</c:v>
                </c:pt>
                <c:pt idx="9">
                  <c:v>36.552601775674809</c:v>
                </c:pt>
                <c:pt idx="10">
                  <c:v>36.157245125544677</c:v>
                </c:pt>
                <c:pt idx="11">
                  <c:v>35.76188847541453</c:v>
                </c:pt>
                <c:pt idx="12">
                  <c:v>35.366531825284397</c:v>
                </c:pt>
                <c:pt idx="13">
                  <c:v>34.971175175154265</c:v>
                </c:pt>
                <c:pt idx="14">
                  <c:v>34.575818525024118</c:v>
                </c:pt>
                <c:pt idx="15">
                  <c:v>34.180461874893979</c:v>
                </c:pt>
                <c:pt idx="16">
                  <c:v>33.785105224763832</c:v>
                </c:pt>
                <c:pt idx="17">
                  <c:v>33.389748574633693</c:v>
                </c:pt>
                <c:pt idx="18">
                  <c:v>32.994391924503567</c:v>
                </c:pt>
                <c:pt idx="19">
                  <c:v>32.599035274373414</c:v>
                </c:pt>
                <c:pt idx="20">
                  <c:v>32.203678624243281</c:v>
                </c:pt>
                <c:pt idx="21">
                  <c:v>31.808321974113131</c:v>
                </c:pt>
                <c:pt idx="22">
                  <c:v>31.412965323983002</c:v>
                </c:pt>
                <c:pt idx="23">
                  <c:v>31.017608673852862</c:v>
                </c:pt>
                <c:pt idx="24">
                  <c:v>30.622252023722726</c:v>
                </c:pt>
                <c:pt idx="25">
                  <c:v>30.226895373592569</c:v>
                </c:pt>
                <c:pt idx="26">
                  <c:v>29.831538723462437</c:v>
                </c:pt>
                <c:pt idx="27">
                  <c:v>29.436182073332297</c:v>
                </c:pt>
                <c:pt idx="28">
                  <c:v>29.040825423202161</c:v>
                </c:pt>
                <c:pt idx="29">
                  <c:v>28.645468773072011</c:v>
                </c:pt>
                <c:pt idx="30">
                  <c:v>28.250112122941886</c:v>
                </c:pt>
                <c:pt idx="31">
                  <c:v>27.854755472811746</c:v>
                </c:pt>
                <c:pt idx="32">
                  <c:v>27.459398822681582</c:v>
                </c:pt>
                <c:pt idx="33">
                  <c:v>27.064042172551449</c:v>
                </c:pt>
                <c:pt idx="34">
                  <c:v>26.668685522421317</c:v>
                </c:pt>
                <c:pt idx="35">
                  <c:v>26.27332887229117</c:v>
                </c:pt>
                <c:pt idx="36">
                  <c:v>25.877972222161031</c:v>
                </c:pt>
                <c:pt idx="37">
                  <c:v>25.482615572030898</c:v>
                </c:pt>
                <c:pt idx="38">
                  <c:v>25.087258921900752</c:v>
                </c:pt>
                <c:pt idx="39">
                  <c:v>24.691902271770612</c:v>
                </c:pt>
                <c:pt idx="40">
                  <c:v>24.296545621640458</c:v>
                </c:pt>
                <c:pt idx="41">
                  <c:v>23.901188971510326</c:v>
                </c:pt>
                <c:pt idx="42">
                  <c:v>23.50583232138019</c:v>
                </c:pt>
                <c:pt idx="43">
                  <c:v>23.110475671250047</c:v>
                </c:pt>
                <c:pt idx="44">
                  <c:v>22.715119021119911</c:v>
                </c:pt>
                <c:pt idx="45">
                  <c:v>22.319762370989764</c:v>
                </c:pt>
                <c:pt idx="46">
                  <c:v>21.924405720859639</c:v>
                </c:pt>
                <c:pt idx="47">
                  <c:v>21.529049070729485</c:v>
                </c:pt>
                <c:pt idx="48">
                  <c:v>21.133692420599345</c:v>
                </c:pt>
                <c:pt idx="49">
                  <c:v>20.73833577046921</c:v>
                </c:pt>
                <c:pt idx="50">
                  <c:v>20.34297912033907</c:v>
                </c:pt>
                <c:pt idx="51">
                  <c:v>19.947622470208938</c:v>
                </c:pt>
                <c:pt idx="52">
                  <c:v>19.552265820078791</c:v>
                </c:pt>
                <c:pt idx="53">
                  <c:v>19.156909169948644</c:v>
                </c:pt>
                <c:pt idx="54">
                  <c:v>18.761552519818508</c:v>
                </c:pt>
                <c:pt idx="55">
                  <c:v>18.366195869688365</c:v>
                </c:pt>
                <c:pt idx="56">
                  <c:v>17.970839219558222</c:v>
                </c:pt>
                <c:pt idx="57">
                  <c:v>17.57548256942809</c:v>
                </c:pt>
                <c:pt idx="58">
                  <c:v>17.18012591929795</c:v>
                </c:pt>
                <c:pt idx="59">
                  <c:v>16.784769269167803</c:v>
                </c:pt>
                <c:pt idx="60">
                  <c:v>16.389412619037664</c:v>
                </c:pt>
                <c:pt idx="61">
                  <c:v>15.994055968907521</c:v>
                </c:pt>
                <c:pt idx="62">
                  <c:v>15.598699318777388</c:v>
                </c:pt>
                <c:pt idx="63">
                  <c:v>15.203342668647249</c:v>
                </c:pt>
                <c:pt idx="64">
                  <c:v>14.807986018517109</c:v>
                </c:pt>
                <c:pt idx="65">
                  <c:v>14.412629368386964</c:v>
                </c:pt>
                <c:pt idx="66">
                  <c:v>14.017272718256821</c:v>
                </c:pt>
                <c:pt idx="67">
                  <c:v>13.621916068126687</c:v>
                </c:pt>
                <c:pt idx="68">
                  <c:v>13.226559417996542</c:v>
                </c:pt>
                <c:pt idx="69">
                  <c:v>12.831202767866404</c:v>
                </c:pt>
                <c:pt idx="70">
                  <c:v>12.435846117736261</c:v>
                </c:pt>
                <c:pt idx="71">
                  <c:v>12.040489467606125</c:v>
                </c:pt>
                <c:pt idx="72">
                  <c:v>11.645132817475986</c:v>
                </c:pt>
                <c:pt idx="73">
                  <c:v>11.249776167345845</c:v>
                </c:pt>
                <c:pt idx="74">
                  <c:v>10.854419517215701</c:v>
                </c:pt>
                <c:pt idx="75">
                  <c:v>10.459062867085564</c:v>
                </c:pt>
                <c:pt idx="76">
                  <c:v>10.063706216955426</c:v>
                </c:pt>
                <c:pt idx="77">
                  <c:v>9.6683495668252828</c:v>
                </c:pt>
                <c:pt idx="78">
                  <c:v>9.2729929166951433</c:v>
                </c:pt>
                <c:pt idx="79">
                  <c:v>8.8776362665650055</c:v>
                </c:pt>
                <c:pt idx="80">
                  <c:v>8.4822796164348588</c:v>
                </c:pt>
                <c:pt idx="81">
                  <c:v>8.0869229663047211</c:v>
                </c:pt>
                <c:pt idx="82">
                  <c:v>7.6915663161745877</c:v>
                </c:pt>
                <c:pt idx="83">
                  <c:v>7.2962096660444402</c:v>
                </c:pt>
                <c:pt idx="84">
                  <c:v>6.9008530159143007</c:v>
                </c:pt>
                <c:pt idx="85">
                  <c:v>6.5054963657841611</c:v>
                </c:pt>
                <c:pt idx="86">
                  <c:v>6.1101397156540225</c:v>
                </c:pt>
                <c:pt idx="87">
                  <c:v>5.7147830655238829</c:v>
                </c:pt>
                <c:pt idx="88">
                  <c:v>5.3194264153937434</c:v>
                </c:pt>
                <c:pt idx="89">
                  <c:v>4.9240697652636038</c:v>
                </c:pt>
                <c:pt idx="90">
                  <c:v>4.5287131151334643</c:v>
                </c:pt>
                <c:pt idx="91">
                  <c:v>4.1333564650033168</c:v>
                </c:pt>
                <c:pt idx="92">
                  <c:v>3.7379998148731852</c:v>
                </c:pt>
                <c:pt idx="93">
                  <c:v>3.3426431647430457</c:v>
                </c:pt>
                <c:pt idx="94">
                  <c:v>2.9472865146128981</c:v>
                </c:pt>
                <c:pt idx="95">
                  <c:v>2.551929864482759</c:v>
                </c:pt>
                <c:pt idx="96">
                  <c:v>2.1565732143526266</c:v>
                </c:pt>
                <c:pt idx="97">
                  <c:v>1.7612165642224797</c:v>
                </c:pt>
                <c:pt idx="98">
                  <c:v>1.36585991409234</c:v>
                </c:pt>
                <c:pt idx="99">
                  <c:v>0.97050326396220032</c:v>
                </c:pt>
                <c:pt idx="100">
                  <c:v>0.57514661383206078</c:v>
                </c:pt>
              </c:numCache>
            </c:numRef>
          </c:xVal>
          <c:yVal>
            <c:numRef>
              <c:f>'G27 105L (m;velo)'!$O$2:$O$102</c:f>
              <c:numCache>
                <c:formatCode>0</c:formatCode>
                <c:ptCount val="101"/>
                <c:pt idx="0">
                  <c:v>96.721121538082215</c:v>
                </c:pt>
                <c:pt idx="1">
                  <c:v>96.812390259445195</c:v>
                </c:pt>
                <c:pt idx="2">
                  <c:v>96.904659517054228</c:v>
                </c:pt>
                <c:pt idx="3">
                  <c:v>96.997950506456334</c:v>
                </c:pt>
                <c:pt idx="4">
                  <c:v>97.092285093291778</c:v>
                </c:pt>
                <c:pt idx="5">
                  <c:v>97.187685841612947</c:v>
                </c:pt>
                <c:pt idx="6">
                  <c:v>97.284176043707419</c:v>
                </c:pt>
                <c:pt idx="7">
                  <c:v>97.381779751522473</c:v>
                </c:pt>
                <c:pt idx="8">
                  <c:v>97.480521809794993</c:v>
                </c:pt>
                <c:pt idx="9">
                  <c:v>97.580427890997569</c:v>
                </c:pt>
                <c:pt idx="10">
                  <c:v>97.68152453222298</c:v>
                </c:pt>
                <c:pt idx="11">
                  <c:v>97.783839174135281</c:v>
                </c:pt>
                <c:pt idx="12">
                  <c:v>97.887400202129214</c:v>
                </c:pt>
                <c:pt idx="13">
                  <c:v>97.992236989848266</c:v>
                </c:pt>
                <c:pt idx="14">
                  <c:v>98.098379945224707</c:v>
                </c:pt>
                <c:pt idx="15">
                  <c:v>98.205860559219929</c:v>
                </c:pt>
                <c:pt idx="16">
                  <c:v>98.314711457455346</c:v>
                </c:pt>
                <c:pt idx="17">
                  <c:v>98.424966454941867</c:v>
                </c:pt>
                <c:pt idx="18">
                  <c:v>98.536660614132558</c:v>
                </c:pt>
                <c:pt idx="19">
                  <c:v>98.649830306544501</c:v>
                </c:pt>
                <c:pt idx="20">
                  <c:v>98.76451327821249</c:v>
                </c:pt>
                <c:pt idx="21">
                  <c:v>98.880748719266947</c:v>
                </c:pt>
                <c:pt idx="22">
                  <c:v>98.998577337946912</c:v>
                </c:pt>
                <c:pt idx="23">
                  <c:v>99.118041439393949</c:v>
                </c:pt>
                <c:pt idx="24">
                  <c:v>99.239185009598685</c:v>
                </c:pt>
                <c:pt idx="25">
                  <c:v>99.362053804910289</c:v>
                </c:pt>
                <c:pt idx="26">
                  <c:v>99.486695447553586</c:v>
                </c:pt>
                <c:pt idx="27">
                  <c:v>99.613159527645024</c:v>
                </c:pt>
                <c:pt idx="28">
                  <c:v>99.741497712240871</c:v>
                </c:pt>
                <c:pt idx="29">
                  <c:v>99.871763862008436</c:v>
                </c:pt>
                <c:pt idx="30">
                  <c:v>100.00401415616425</c:v>
                </c:pt>
                <c:pt idx="31">
                  <c:v>100.13830722639091</c:v>
                </c:pt>
                <c:pt idx="32">
                  <c:v>100.27470430051604</c:v>
                </c:pt>
                <c:pt idx="33">
                  <c:v>100.41326935681482</c:v>
                </c:pt>
                <c:pt idx="34">
                  <c:v>100.55406928989353</c:v>
                </c:pt>
                <c:pt idx="35">
                  <c:v>100.69717408920459</c:v>
                </c:pt>
                <c:pt idx="36">
                  <c:v>100.84265703136593</c:v>
                </c:pt>
                <c:pt idx="37">
                  <c:v>100.99059488757729</c:v>
                </c:pt>
                <c:pt idx="38">
                  <c:v>101.14106814757645</c:v>
                </c:pt>
                <c:pt idx="39">
                  <c:v>101.29416126173662</c:v>
                </c:pt>
                <c:pt idx="40">
                  <c:v>101.44996290309169</c:v>
                </c:pt>
                <c:pt idx="41">
                  <c:v>101.60856625128423</c:v>
                </c:pt>
                <c:pt idx="42">
                  <c:v>101.77006930066614</c:v>
                </c:pt>
                <c:pt idx="43">
                  <c:v>101.93457519505286</c:v>
                </c:pt>
                <c:pt idx="44">
                  <c:v>102.10219259193603</c:v>
                </c:pt>
                <c:pt idx="45">
                  <c:v>102.27303605931037</c:v>
                </c:pt>
                <c:pt idx="46">
                  <c:v>102.44722650867125</c:v>
                </c:pt>
                <c:pt idx="47">
                  <c:v>102.6248916681996</c:v>
                </c:pt>
                <c:pt idx="48">
                  <c:v>102.80616660067797</c:v>
                </c:pt>
                <c:pt idx="49">
                  <c:v>102.99119427129128</c:v>
                </c:pt>
                <c:pt idx="50">
                  <c:v>103.18012617117456</c:v>
                </c:pt>
                <c:pt idx="51">
                  <c:v>103.37312300337805</c:v>
                </c:pt>
                <c:pt idx="52">
                  <c:v>103.57035543887996</c:v>
                </c:pt>
                <c:pt idx="53">
                  <c:v>103.77200495137534</c:v>
                </c:pt>
                <c:pt idx="54">
                  <c:v>103.97826474086608</c:v>
                </c:pt>
                <c:pt idx="55">
                  <c:v>104.18934075759535</c:v>
                </c:pt>
                <c:pt idx="56">
                  <c:v>104.40545283965133</c:v>
                </c:pt>
                <c:pt idx="57">
                  <c:v>104.62683597967283</c:v>
                </c:pt>
                <c:pt idx="58">
                  <c:v>104.8537417385828</c:v>
                </c:pt>
                <c:pt idx="59">
                  <c:v>105.08643982724215</c:v>
                </c:pt>
                <c:pt idx="60">
                  <c:v>105.32521988045561</c:v>
                </c:pt>
                <c:pt idx="61">
                  <c:v>105.57039345199514</c:v>
                </c:pt>
                <c:pt idx="62">
                  <c:v>105.82229626441232</c:v>
                </c:pt>
                <c:pt idx="63">
                  <c:v>106.08129075356587</c:v>
                </c:pt>
                <c:pt idx="64">
                  <c:v>106.34776895527088</c:v>
                </c:pt>
                <c:pt idx="65">
                  <c:v>106.62215579058918</c:v>
                </c:pt>
                <c:pt idx="66">
                  <c:v>106.90491281745842</c:v>
                </c:pt>
                <c:pt idx="67">
                  <c:v>107.19654253011949</c:v>
                </c:pt>
                <c:pt idx="68">
                  <c:v>107.49759330485941</c:v>
                </c:pt>
                <c:pt idx="69">
                  <c:v>107.80866511183604</c:v>
                </c:pt>
                <c:pt idx="70">
                  <c:v>108.13041613940059</c:v>
                </c:pt>
                <c:pt idx="71">
                  <c:v>108.46357051096359</c:v>
                </c:pt>
                <c:pt idx="72">
                  <c:v>108.80892731719256</c:v>
                </c:pt>
                <c:pt idx="73">
                  <c:v>109.16737124104458</c:v>
                </c:pt>
                <c:pt idx="74">
                  <c:v>109.53988512374484</c:v>
                </c:pt>
                <c:pt idx="75">
                  <c:v>109.92756491168086</c:v>
                </c:pt>
                <c:pt idx="76">
                  <c:v>110.33163754477692</c:v>
                </c:pt>
                <c:pt idx="77">
                  <c:v>110.7534825067363</c:v>
                </c:pt>
                <c:pt idx="78">
                  <c:v>111.19465797153826</c:v>
                </c:pt>
                <c:pt idx="79">
                  <c:v>111.65693277028493</c:v>
                </c:pt>
                <c:pt idx="80">
                  <c:v>112.14232579938893</c:v>
                </c:pt>
                <c:pt idx="81">
                  <c:v>112.65315504186368</c:v>
                </c:pt>
                <c:pt idx="82">
                  <c:v>113.19209914855539</c:v>
                </c:pt>
                <c:pt idx="83">
                  <c:v>113.76227563360746</c:v>
                </c:pt>
                <c:pt idx="84">
                  <c:v>114.36734134743486</c:v>
                </c:pt>
                <c:pt idx="85">
                  <c:v>115.01162327137307</c:v>
                </c:pt>
                <c:pt idx="86">
                  <c:v>115.70029127336244</c:v>
                </c:pt>
                <c:pt idx="87">
                  <c:v>116.4395900163931</c:v>
                </c:pt>
                <c:pt idx="88">
                  <c:v>117.2371560048494</c:v>
                </c:pt>
                <c:pt idx="89">
                  <c:v>118.10246008013389</c:v>
                </c:pt>
                <c:pt idx="90">
                  <c:v>119.04743977916773</c:v>
                </c:pt>
                <c:pt idx="91">
                  <c:v>120.08742803768742</c:v>
                </c:pt>
                <c:pt idx="92">
                  <c:v>121.24256133967648</c:v>
                </c:pt>
                <c:pt idx="93">
                  <c:v>122.53999710052044</c:v>
                </c:pt>
                <c:pt idx="94">
                  <c:v>124.01756807830155</c:v>
                </c:pt>
                <c:pt idx="95">
                  <c:v>125.73015224427199</c:v>
                </c:pt>
                <c:pt idx="96">
                  <c:v>127.76159003469387</c:v>
                </c:pt>
                <c:pt idx="97">
                  <c:v>130.24914122679834</c:v>
                </c:pt>
                <c:pt idx="98">
                  <c:v>133.44047032382267</c:v>
                </c:pt>
                <c:pt idx="99">
                  <c:v>137.85381418872177</c:v>
                </c:pt>
                <c:pt idx="100">
                  <c:v>144.89522407938779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708-4080-8FA1-D50ABBB4868D}"/>
            </c:ext>
          </c:extLst>
        </c:ser>
        <c:ser>
          <c:idx val="7"/>
          <c:order val="12"/>
          <c:tx>
            <c:v>Fit 1.90 mm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'G30 85L (m;velo)'!$N$2:$N$102</c:f>
              <c:numCache>
                <c:formatCode>0.000</c:formatCode>
                <c:ptCount val="101"/>
                <c:pt idx="0">
                  <c:v>30.3734143291049</c:v>
                </c:pt>
                <c:pt idx="1">
                  <c:v>30.074398347701177</c:v>
                </c:pt>
                <c:pt idx="2">
                  <c:v>29.77538236629745</c:v>
                </c:pt>
                <c:pt idx="3">
                  <c:v>29.476366384893716</c:v>
                </c:pt>
                <c:pt idx="4">
                  <c:v>29.177350403489992</c:v>
                </c:pt>
                <c:pt idx="5">
                  <c:v>28.878334422086272</c:v>
                </c:pt>
                <c:pt idx="6">
                  <c:v>28.579318440682535</c:v>
                </c:pt>
                <c:pt idx="7">
                  <c:v>28.280302459278808</c:v>
                </c:pt>
                <c:pt idx="8">
                  <c:v>27.981286477875088</c:v>
                </c:pt>
                <c:pt idx="9">
                  <c:v>27.68227049647135</c:v>
                </c:pt>
                <c:pt idx="10">
                  <c:v>27.38325451506763</c:v>
                </c:pt>
                <c:pt idx="11">
                  <c:v>27.084238533663889</c:v>
                </c:pt>
                <c:pt idx="12">
                  <c:v>26.785222552260166</c:v>
                </c:pt>
                <c:pt idx="13">
                  <c:v>26.486206570856449</c:v>
                </c:pt>
                <c:pt idx="14">
                  <c:v>26.187190589452708</c:v>
                </c:pt>
                <c:pt idx="15">
                  <c:v>25.888174608048981</c:v>
                </c:pt>
                <c:pt idx="16">
                  <c:v>25.589158626645254</c:v>
                </c:pt>
                <c:pt idx="17">
                  <c:v>25.290142645241531</c:v>
                </c:pt>
                <c:pt idx="18">
                  <c:v>24.991126663837797</c:v>
                </c:pt>
                <c:pt idx="19">
                  <c:v>24.692110682434063</c:v>
                </c:pt>
                <c:pt idx="20">
                  <c:v>24.393094701030343</c:v>
                </c:pt>
                <c:pt idx="21">
                  <c:v>24.094078719626623</c:v>
                </c:pt>
                <c:pt idx="22">
                  <c:v>23.795062738222885</c:v>
                </c:pt>
                <c:pt idx="23">
                  <c:v>23.496046756819158</c:v>
                </c:pt>
                <c:pt idx="24">
                  <c:v>23.197030775415431</c:v>
                </c:pt>
                <c:pt idx="25">
                  <c:v>22.898014794011697</c:v>
                </c:pt>
                <c:pt idx="26">
                  <c:v>22.598998812607967</c:v>
                </c:pt>
                <c:pt idx="27">
                  <c:v>22.29998283120424</c:v>
                </c:pt>
                <c:pt idx="28">
                  <c:v>22.000966849800513</c:v>
                </c:pt>
                <c:pt idx="29">
                  <c:v>21.701950868396793</c:v>
                </c:pt>
                <c:pt idx="30">
                  <c:v>21.402934886993059</c:v>
                </c:pt>
                <c:pt idx="31">
                  <c:v>21.103918905589328</c:v>
                </c:pt>
                <c:pt idx="32">
                  <c:v>20.804902924185594</c:v>
                </c:pt>
                <c:pt idx="33">
                  <c:v>20.505886942781871</c:v>
                </c:pt>
                <c:pt idx="34">
                  <c:v>20.206870961378144</c:v>
                </c:pt>
                <c:pt idx="35">
                  <c:v>19.907854979974413</c:v>
                </c:pt>
                <c:pt idx="36">
                  <c:v>19.608838998570693</c:v>
                </c:pt>
                <c:pt idx="37">
                  <c:v>19.309823017166952</c:v>
                </c:pt>
                <c:pt idx="38">
                  <c:v>19.010807035763222</c:v>
                </c:pt>
                <c:pt idx="39">
                  <c:v>18.711791054359495</c:v>
                </c:pt>
                <c:pt idx="40">
                  <c:v>18.412775072955775</c:v>
                </c:pt>
                <c:pt idx="41">
                  <c:v>18.113759091552037</c:v>
                </c:pt>
                <c:pt idx="42">
                  <c:v>17.81474311014831</c:v>
                </c:pt>
                <c:pt idx="43">
                  <c:v>17.51572712874459</c:v>
                </c:pt>
                <c:pt idx="44">
                  <c:v>17.216711147340856</c:v>
                </c:pt>
                <c:pt idx="45">
                  <c:v>16.917695165937126</c:v>
                </c:pt>
                <c:pt idx="46">
                  <c:v>16.618679184533399</c:v>
                </c:pt>
                <c:pt idx="47">
                  <c:v>16.319663203129672</c:v>
                </c:pt>
                <c:pt idx="48">
                  <c:v>16.020647221725941</c:v>
                </c:pt>
                <c:pt idx="49">
                  <c:v>15.721631240322209</c:v>
                </c:pt>
                <c:pt idx="50">
                  <c:v>15.422615258918489</c:v>
                </c:pt>
                <c:pt idx="51">
                  <c:v>15.123599277514757</c:v>
                </c:pt>
                <c:pt idx="52">
                  <c:v>14.824583296111024</c:v>
                </c:pt>
                <c:pt idx="53">
                  <c:v>14.525567314707299</c:v>
                </c:pt>
                <c:pt idx="54">
                  <c:v>14.22655133330357</c:v>
                </c:pt>
                <c:pt idx="55">
                  <c:v>13.927535351899841</c:v>
                </c:pt>
                <c:pt idx="56">
                  <c:v>13.628519370496115</c:v>
                </c:pt>
                <c:pt idx="57">
                  <c:v>13.329503389092389</c:v>
                </c:pt>
                <c:pt idx="58">
                  <c:v>13.030487407688653</c:v>
                </c:pt>
                <c:pt idx="59">
                  <c:v>12.73147142628493</c:v>
                </c:pt>
                <c:pt idx="60">
                  <c:v>12.432455444881203</c:v>
                </c:pt>
                <c:pt idx="61">
                  <c:v>12.133439463477471</c:v>
                </c:pt>
                <c:pt idx="62">
                  <c:v>11.83442348207374</c:v>
                </c:pt>
                <c:pt idx="63">
                  <c:v>11.535407500670011</c:v>
                </c:pt>
                <c:pt idx="64">
                  <c:v>11.236391519266279</c:v>
                </c:pt>
                <c:pt idx="65">
                  <c:v>10.937375537862561</c:v>
                </c:pt>
                <c:pt idx="66">
                  <c:v>10.638359556458829</c:v>
                </c:pt>
                <c:pt idx="67">
                  <c:v>10.339343575055098</c:v>
                </c:pt>
                <c:pt idx="68">
                  <c:v>10.040327593651369</c:v>
                </c:pt>
                <c:pt idx="69">
                  <c:v>9.7413116122476424</c:v>
                </c:pt>
                <c:pt idx="70">
                  <c:v>9.4422956308439137</c:v>
                </c:pt>
                <c:pt idx="71">
                  <c:v>9.1432796494401867</c:v>
                </c:pt>
                <c:pt idx="72">
                  <c:v>8.8442636680364615</c:v>
                </c:pt>
                <c:pt idx="73">
                  <c:v>8.5452476866327309</c:v>
                </c:pt>
                <c:pt idx="74">
                  <c:v>8.2462317052290022</c:v>
                </c:pt>
                <c:pt idx="75">
                  <c:v>7.9472157238252734</c:v>
                </c:pt>
                <c:pt idx="76">
                  <c:v>7.6481997424215411</c:v>
                </c:pt>
                <c:pt idx="77">
                  <c:v>7.3491837610178132</c:v>
                </c:pt>
                <c:pt idx="78">
                  <c:v>7.0501677796140871</c:v>
                </c:pt>
                <c:pt idx="79">
                  <c:v>6.7511517982103566</c:v>
                </c:pt>
                <c:pt idx="80">
                  <c:v>6.4521358168066287</c:v>
                </c:pt>
                <c:pt idx="81">
                  <c:v>6.1531198354029017</c:v>
                </c:pt>
                <c:pt idx="82">
                  <c:v>5.8541038539991712</c:v>
                </c:pt>
                <c:pt idx="83">
                  <c:v>5.5550878725954451</c:v>
                </c:pt>
                <c:pt idx="84">
                  <c:v>5.2560718911917181</c:v>
                </c:pt>
                <c:pt idx="85">
                  <c:v>4.9570559097879832</c:v>
                </c:pt>
                <c:pt idx="86">
                  <c:v>4.6580399283842562</c:v>
                </c:pt>
                <c:pt idx="87">
                  <c:v>4.3590239469805283</c:v>
                </c:pt>
                <c:pt idx="88">
                  <c:v>4.0600079655767987</c:v>
                </c:pt>
                <c:pt idx="89">
                  <c:v>3.7609919841730708</c:v>
                </c:pt>
                <c:pt idx="90">
                  <c:v>3.4619760027693434</c:v>
                </c:pt>
                <c:pt idx="91">
                  <c:v>3.1629600213656177</c:v>
                </c:pt>
                <c:pt idx="92">
                  <c:v>2.8639440399618867</c:v>
                </c:pt>
                <c:pt idx="93">
                  <c:v>2.5649280585581593</c:v>
                </c:pt>
                <c:pt idx="94">
                  <c:v>2.2659120771544328</c:v>
                </c:pt>
                <c:pt idx="95">
                  <c:v>1.966896095750702</c:v>
                </c:pt>
                <c:pt idx="96">
                  <c:v>1.6678801143469748</c:v>
                </c:pt>
                <c:pt idx="97">
                  <c:v>1.3688641329432478</c:v>
                </c:pt>
                <c:pt idx="98">
                  <c:v>1.0698481515395137</c:v>
                </c:pt>
                <c:pt idx="99">
                  <c:v>0.77083217013578675</c:v>
                </c:pt>
                <c:pt idx="100">
                  <c:v>0.47181618873205977</c:v>
                </c:pt>
              </c:numCache>
              <c:extLst xmlns:c15="http://schemas.microsoft.com/office/drawing/2012/chart"/>
            </c:numRef>
          </c:xVal>
          <c:yVal>
            <c:numRef>
              <c:f>'G30 85L (m;velo)'!$O$2:$O$102</c:f>
              <c:numCache>
                <c:formatCode>0</c:formatCode>
                <c:ptCount val="101"/>
                <c:pt idx="0">
                  <c:v>101.13008200049852</c:v>
                </c:pt>
                <c:pt idx="1">
                  <c:v>101.22788850277395</c:v>
                </c:pt>
                <c:pt idx="2">
                  <c:v>101.32676833995541</c:v>
                </c:pt>
                <c:pt idx="3">
                  <c:v>101.42674424876806</c:v>
                </c:pt>
                <c:pt idx="4">
                  <c:v>101.52783968443819</c:v>
                </c:pt>
                <c:pt idx="5">
                  <c:v>101.63007885103796</c:v>
                </c:pt>
                <c:pt idx="6">
                  <c:v>101.73348673344064</c:v>
                </c:pt>
                <c:pt idx="7">
                  <c:v>101.83808913099115</c:v>
                </c:pt>
                <c:pt idx="8">
                  <c:v>101.943912693001</c:v>
                </c:pt>
                <c:pt idx="9">
                  <c:v>102.05098495618996</c:v>
                </c:pt>
                <c:pt idx="10">
                  <c:v>102.15933438419952</c:v>
                </c:pt>
                <c:pt idx="11">
                  <c:v>102.26899040932109</c:v>
                </c:pt>
                <c:pt idx="12">
                  <c:v>102.37998347658687</c:v>
                </c:pt>
                <c:pt idx="13">
                  <c:v>102.49234509038443</c:v>
                </c:pt>
                <c:pt idx="14">
                  <c:v>102.60610786377202</c:v>
                </c:pt>
                <c:pt idx="15">
                  <c:v>102.72130557068219</c:v>
                </c:pt>
                <c:pt idx="16">
                  <c:v>102.83797320121872</c:v>
                </c:pt>
                <c:pt idx="17">
                  <c:v>102.95614702026957</c:v>
                </c:pt>
                <c:pt idx="18">
                  <c:v>103.07586462967495</c:v>
                </c:pt>
                <c:pt idx="19">
                  <c:v>103.19716503421388</c:v>
                </c:pt>
                <c:pt idx="20">
                  <c:v>103.32008871169053</c:v>
                </c:pt>
                <c:pt idx="21">
                  <c:v>103.44467768743036</c:v>
                </c:pt>
                <c:pt idx="22">
                  <c:v>103.57097561352268</c:v>
                </c:pt>
                <c:pt idx="23">
                  <c:v>103.69902785317417</c:v>
                </c:pt>
                <c:pt idx="24">
                  <c:v>103.82888157057413</c:v>
                </c:pt>
                <c:pt idx="25">
                  <c:v>103.96058582670697</c:v>
                </c:pt>
                <c:pt idx="26">
                  <c:v>104.09419168158985</c:v>
                </c:pt>
                <c:pt idx="27">
                  <c:v>104.22975230345708</c:v>
                </c:pt>
                <c:pt idx="28">
                  <c:v>104.36732308546379</c:v>
                </c:pt>
                <c:pt idx="29">
                  <c:v>104.5069617705355</c:v>
                </c:pt>
                <c:pt idx="30">
                  <c:v>104.64872858505652</c:v>
                </c:pt>
                <c:pt idx="31">
                  <c:v>104.79268638215233</c:v>
                </c:pt>
                <c:pt idx="32">
                  <c:v>104.93890079540303</c:v>
                </c:pt>
                <c:pt idx="33">
                  <c:v>105.08744040391065</c:v>
                </c:pt>
                <c:pt idx="34">
                  <c:v>105.23837690973528</c:v>
                </c:pt>
                <c:pt idx="35">
                  <c:v>105.39178532882798</c:v>
                </c:pt>
                <c:pt idx="36">
                  <c:v>105.54774419670579</c:v>
                </c:pt>
                <c:pt idx="37">
                  <c:v>105.70633579025119</c:v>
                </c:pt>
                <c:pt idx="38">
                  <c:v>105.86764636717255</c:v>
                </c:pt>
                <c:pt idx="39">
                  <c:v>106.03176642483388</c:v>
                </c:pt>
                <c:pt idx="40">
                  <c:v>106.19879098035774</c:v>
                </c:pt>
                <c:pt idx="41">
                  <c:v>106.36881987412903</c:v>
                </c:pt>
                <c:pt idx="42">
                  <c:v>106.54195809907422</c:v>
                </c:pt>
                <c:pt idx="43">
                  <c:v>106.71831615838128</c:v>
                </c:pt>
                <c:pt idx="44">
                  <c:v>106.89801045464858</c:v>
                </c:pt>
                <c:pt idx="45">
                  <c:v>107.08116371382336</c:v>
                </c:pt>
                <c:pt idx="46">
                  <c:v>107.2679054477171</c:v>
                </c:pt>
                <c:pt idx="47">
                  <c:v>107.45837245937297</c:v>
                </c:pt>
                <c:pt idx="48">
                  <c:v>107.65270939612215</c:v>
                </c:pt>
                <c:pt idx="49">
                  <c:v>107.851069355815</c:v>
                </c:pt>
                <c:pt idx="50">
                  <c:v>108.05361455245816</c:v>
                </c:pt>
                <c:pt idx="51">
                  <c:v>108.26051704835879</c:v>
                </c:pt>
                <c:pt idx="52">
                  <c:v>108.4719595608847</c:v>
                </c:pt>
                <c:pt idx="53">
                  <c:v>108.68813635312007</c:v>
                </c:pt>
                <c:pt idx="54">
                  <c:v>108.90925421907176</c:v>
                </c:pt>
                <c:pt idx="55">
                  <c:v>109.13553357568834</c:v>
                </c:pt>
                <c:pt idx="56">
                  <c:v>109.36720967584463</c:v>
                </c:pt>
                <c:pt idx="57">
                  <c:v>109.60453395867629</c:v>
                </c:pt>
                <c:pt idx="58">
                  <c:v>109.8477755562934</c:v>
                </c:pt>
                <c:pt idx="59">
                  <c:v>110.09722297903635</c:v>
                </c:pt>
                <c:pt idx="60">
                  <c:v>110.35318600518818</c:v>
                </c:pt>
                <c:pt idx="61">
                  <c:v>110.61599780553605</c:v>
                </c:pt>
                <c:pt idx="62">
                  <c:v>110.88601733857006</c:v>
                </c:pt>
                <c:pt idx="63">
                  <c:v>111.16363205861455</c:v>
                </c:pt>
                <c:pt idx="64">
                  <c:v>111.44926098708585</c:v>
                </c:pt>
                <c:pt idx="65">
                  <c:v>111.74335820669737</c:v>
                </c:pt>
                <c:pt idx="66">
                  <c:v>112.04641685021768</c:v>
                </c:pt>
                <c:pt idx="67">
                  <c:v>112.35897366990903</c:v>
                </c:pt>
                <c:pt idx="68">
                  <c:v>112.68161429173996</c:v>
                </c:pt>
                <c:pt idx="69">
                  <c:v>113.01497928085202</c:v>
                </c:pt>
                <c:pt idx="70">
                  <c:v>113.35977117280069</c:v>
                </c:pt>
                <c:pt idx="71">
                  <c:v>113.71676266045574</c:v>
                </c:pt>
                <c:pt idx="72">
                  <c:v>114.08680617135752</c:v>
                </c:pt>
                <c:pt idx="73">
                  <c:v>114.47084512776901</c:v>
                </c:pt>
                <c:pt idx="74">
                  <c:v>114.86992725572016</c:v>
                </c:pt>
                <c:pt idx="75">
                  <c:v>115.28522040559642</c:v>
                </c:pt>
                <c:pt idx="76">
                  <c:v>115.71803147305985</c:v>
                </c:pt>
                <c:pt idx="77">
                  <c:v>116.16982917619445</c:v>
                </c:pt>
                <c:pt idx="78">
                  <c:v>116.64227166825967</c:v>
                </c:pt>
                <c:pt idx="79">
                  <c:v>117.13724026758014</c:v>
                </c:pt>
                <c:pt idx="80">
                  <c:v>117.65688099946409</c:v>
                </c:pt>
                <c:pt idx="81">
                  <c:v>118.20365621777754</c:v>
                </c:pt>
                <c:pt idx="82">
                  <c:v>118.78040937842795</c:v>
                </c:pt>
                <c:pt idx="83">
                  <c:v>119.39044718458399</c:v>
                </c:pt>
                <c:pt idx="84">
                  <c:v>120.03764498735761</c:v>
                </c:pt>
                <c:pt idx="85">
                  <c:v>120.72658378232644</c:v>
                </c:pt>
                <c:pt idx="86">
                  <c:v>121.46273084268772</c:v>
                </c:pt>
                <c:pt idx="87">
                  <c:v>122.25268172888632</c:v>
                </c:pt>
                <c:pt idx="88">
                  <c:v>123.10449041222545</c:v>
                </c:pt>
                <c:pt idx="89">
                  <c:v>124.02812885738702</c:v>
                </c:pt>
                <c:pt idx="90">
                  <c:v>125.03614188533552</c:v>
                </c:pt>
                <c:pt idx="91">
                  <c:v>126.14460566192885</c:v>
                </c:pt>
                <c:pt idx="92">
                  <c:v>127.37457518854889</c:v>
                </c:pt>
                <c:pt idx="93">
                  <c:v>128.75435270442455</c:v>
                </c:pt>
                <c:pt idx="94">
                  <c:v>130.32320432501791</c:v>
                </c:pt>
                <c:pt idx="95">
                  <c:v>132.13779115623666</c:v>
                </c:pt>
                <c:pt idx="96">
                  <c:v>134.2840885755605</c:v>
                </c:pt>
                <c:pt idx="97">
                  <c:v>136.90154205156591</c:v>
                </c:pt>
                <c:pt idx="98">
                  <c:v>140.23836122851796</c:v>
                </c:pt>
                <c:pt idx="99">
                  <c:v>144.80273463377526</c:v>
                </c:pt>
                <c:pt idx="100">
                  <c:v>151.91716142812129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4708-4080-8FA1-D50ABBB4868D}"/>
            </c:ext>
          </c:extLst>
        </c:ser>
        <c:ser>
          <c:idx val="1"/>
          <c:order val="14"/>
          <c:tx>
            <c:v>Fit 2.38 mm</c:v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'G27 60L (m;velo)'!$N$2:$N$102</c:f>
              <c:numCache>
                <c:formatCode>0.000</c:formatCode>
                <c:ptCount val="101"/>
                <c:pt idx="0">
                  <c:v>25.003021597856609</c:v>
                </c:pt>
                <c:pt idx="1">
                  <c:v>24.760449788103706</c:v>
                </c:pt>
                <c:pt idx="2">
                  <c:v>24.517877978350814</c:v>
                </c:pt>
                <c:pt idx="3">
                  <c:v>24.275306168597922</c:v>
                </c:pt>
                <c:pt idx="4">
                  <c:v>24.032734358845012</c:v>
                </c:pt>
                <c:pt idx="5">
                  <c:v>23.790162549092116</c:v>
                </c:pt>
                <c:pt idx="6">
                  <c:v>23.547590739339228</c:v>
                </c:pt>
                <c:pt idx="7">
                  <c:v>23.305018929586325</c:v>
                </c:pt>
                <c:pt idx="8">
                  <c:v>23.062447119833426</c:v>
                </c:pt>
                <c:pt idx="9">
                  <c:v>22.819875310080533</c:v>
                </c:pt>
                <c:pt idx="10">
                  <c:v>22.577303500327631</c:v>
                </c:pt>
                <c:pt idx="11">
                  <c:v>22.334731690574724</c:v>
                </c:pt>
                <c:pt idx="12">
                  <c:v>22.092159880821836</c:v>
                </c:pt>
                <c:pt idx="13">
                  <c:v>21.84958807106894</c:v>
                </c:pt>
                <c:pt idx="14">
                  <c:v>21.607016261316048</c:v>
                </c:pt>
                <c:pt idx="15">
                  <c:v>21.364444451563145</c:v>
                </c:pt>
                <c:pt idx="16">
                  <c:v>21.121872641810242</c:v>
                </c:pt>
                <c:pt idx="17">
                  <c:v>20.879300832057357</c:v>
                </c:pt>
                <c:pt idx="18">
                  <c:v>20.636729022304451</c:v>
                </c:pt>
                <c:pt idx="19">
                  <c:v>20.394157212551548</c:v>
                </c:pt>
                <c:pt idx="20">
                  <c:v>20.151585402798656</c:v>
                </c:pt>
                <c:pt idx="21">
                  <c:v>19.909013593045771</c:v>
                </c:pt>
                <c:pt idx="22">
                  <c:v>19.666441783292864</c:v>
                </c:pt>
                <c:pt idx="23">
                  <c:v>19.423869973539972</c:v>
                </c:pt>
                <c:pt idx="24">
                  <c:v>19.181298163787069</c:v>
                </c:pt>
                <c:pt idx="25">
                  <c:v>18.938726354034173</c:v>
                </c:pt>
                <c:pt idx="26">
                  <c:v>18.696154544281281</c:v>
                </c:pt>
                <c:pt idx="27">
                  <c:v>18.453582734528371</c:v>
                </c:pt>
                <c:pt idx="28">
                  <c:v>18.211010924775479</c:v>
                </c:pt>
                <c:pt idx="29">
                  <c:v>17.96843911502258</c:v>
                </c:pt>
                <c:pt idx="30">
                  <c:v>17.725867305269684</c:v>
                </c:pt>
                <c:pt idx="31">
                  <c:v>17.483295495516792</c:v>
                </c:pt>
                <c:pt idx="32">
                  <c:v>17.240723685763886</c:v>
                </c:pt>
                <c:pt idx="33">
                  <c:v>16.99815187601099</c:v>
                </c:pt>
                <c:pt idx="34">
                  <c:v>16.755580066258091</c:v>
                </c:pt>
                <c:pt idx="35">
                  <c:v>16.513008256505202</c:v>
                </c:pt>
                <c:pt idx="36">
                  <c:v>16.270436446752299</c:v>
                </c:pt>
                <c:pt idx="37">
                  <c:v>16.027864636999404</c:v>
                </c:pt>
                <c:pt idx="38">
                  <c:v>15.785292827246508</c:v>
                </c:pt>
                <c:pt idx="39">
                  <c:v>15.542721017493612</c:v>
                </c:pt>
                <c:pt idx="40">
                  <c:v>15.300149207740711</c:v>
                </c:pt>
                <c:pt idx="41">
                  <c:v>15.057577397987812</c:v>
                </c:pt>
                <c:pt idx="42">
                  <c:v>14.815005588234916</c:v>
                </c:pt>
                <c:pt idx="43">
                  <c:v>14.572433778482015</c:v>
                </c:pt>
                <c:pt idx="44">
                  <c:v>14.329861968729118</c:v>
                </c:pt>
                <c:pt idx="45">
                  <c:v>14.08729015897622</c:v>
                </c:pt>
                <c:pt idx="46">
                  <c:v>13.84471834922333</c:v>
                </c:pt>
                <c:pt idx="47">
                  <c:v>13.60214653947043</c:v>
                </c:pt>
                <c:pt idx="48">
                  <c:v>13.359574729717535</c:v>
                </c:pt>
                <c:pt idx="49">
                  <c:v>13.117002919964634</c:v>
                </c:pt>
                <c:pt idx="50">
                  <c:v>12.874431110211738</c:v>
                </c:pt>
                <c:pt idx="51">
                  <c:v>12.631859300458837</c:v>
                </c:pt>
                <c:pt idx="52">
                  <c:v>12.389287490705943</c:v>
                </c:pt>
                <c:pt idx="53">
                  <c:v>12.146715680953044</c:v>
                </c:pt>
                <c:pt idx="54">
                  <c:v>11.904143871200146</c:v>
                </c:pt>
                <c:pt idx="55">
                  <c:v>11.66157206144725</c:v>
                </c:pt>
                <c:pt idx="56">
                  <c:v>11.419000251694353</c:v>
                </c:pt>
                <c:pt idx="57">
                  <c:v>11.176428441941455</c:v>
                </c:pt>
                <c:pt idx="58">
                  <c:v>10.933856632188556</c:v>
                </c:pt>
                <c:pt idx="59">
                  <c:v>10.691284822435664</c:v>
                </c:pt>
                <c:pt idx="60">
                  <c:v>10.448713012682765</c:v>
                </c:pt>
                <c:pt idx="61">
                  <c:v>10.206141202929865</c:v>
                </c:pt>
                <c:pt idx="62">
                  <c:v>9.9635693931769715</c:v>
                </c:pt>
                <c:pt idx="63">
                  <c:v>9.7209975834240723</c:v>
                </c:pt>
                <c:pt idx="64">
                  <c:v>9.4784257736711748</c:v>
                </c:pt>
                <c:pt idx="65">
                  <c:v>9.2358539639182773</c:v>
                </c:pt>
                <c:pt idx="66">
                  <c:v>8.9932821541653816</c:v>
                </c:pt>
                <c:pt idx="67">
                  <c:v>8.7507103444124787</c:v>
                </c:pt>
                <c:pt idx="68">
                  <c:v>8.5081385346595848</c:v>
                </c:pt>
                <c:pt idx="69">
                  <c:v>8.2655667249066873</c:v>
                </c:pt>
                <c:pt idx="70">
                  <c:v>8.0229949151537916</c:v>
                </c:pt>
                <c:pt idx="71">
                  <c:v>7.7804231054008923</c:v>
                </c:pt>
                <c:pt idx="72">
                  <c:v>7.5378512956479975</c:v>
                </c:pt>
                <c:pt idx="73">
                  <c:v>7.2952794858950973</c:v>
                </c:pt>
                <c:pt idx="74">
                  <c:v>7.0527076761422034</c:v>
                </c:pt>
                <c:pt idx="75">
                  <c:v>6.810135866389305</c:v>
                </c:pt>
                <c:pt idx="76">
                  <c:v>6.5675640566364049</c:v>
                </c:pt>
                <c:pt idx="77">
                  <c:v>6.3249922468835091</c:v>
                </c:pt>
                <c:pt idx="78">
                  <c:v>6.0824204371306134</c:v>
                </c:pt>
                <c:pt idx="79">
                  <c:v>5.8398486273777133</c:v>
                </c:pt>
                <c:pt idx="80">
                  <c:v>5.5972768176248175</c:v>
                </c:pt>
                <c:pt idx="81">
                  <c:v>5.3547050078719218</c:v>
                </c:pt>
                <c:pt idx="82">
                  <c:v>5.1121331981190226</c:v>
                </c:pt>
                <c:pt idx="83">
                  <c:v>4.8695613883661224</c:v>
                </c:pt>
                <c:pt idx="84">
                  <c:v>4.6269895786132267</c:v>
                </c:pt>
                <c:pt idx="85">
                  <c:v>4.3844177688603283</c:v>
                </c:pt>
                <c:pt idx="86">
                  <c:v>4.1418459591074361</c:v>
                </c:pt>
                <c:pt idx="87">
                  <c:v>3.8992741493545364</c:v>
                </c:pt>
                <c:pt idx="88">
                  <c:v>3.6567023396016372</c:v>
                </c:pt>
                <c:pt idx="89">
                  <c:v>3.4141305298487414</c:v>
                </c:pt>
                <c:pt idx="90">
                  <c:v>3.1715587200958417</c:v>
                </c:pt>
                <c:pt idx="91">
                  <c:v>2.928986910342946</c:v>
                </c:pt>
                <c:pt idx="92">
                  <c:v>2.6864151005900503</c:v>
                </c:pt>
                <c:pt idx="93">
                  <c:v>2.443843290837151</c:v>
                </c:pt>
                <c:pt idx="94">
                  <c:v>2.2012714810842517</c:v>
                </c:pt>
                <c:pt idx="95">
                  <c:v>1.9586996713313598</c:v>
                </c:pt>
                <c:pt idx="96">
                  <c:v>1.7161278615784605</c:v>
                </c:pt>
                <c:pt idx="97">
                  <c:v>1.473556051825561</c:v>
                </c:pt>
                <c:pt idx="98">
                  <c:v>1.2309842420726653</c:v>
                </c:pt>
                <c:pt idx="99">
                  <c:v>0.98841243231976605</c:v>
                </c:pt>
                <c:pt idx="100">
                  <c:v>0.74584062256687034</c:v>
                </c:pt>
              </c:numCache>
              <c:extLst xmlns:c15="http://schemas.microsoft.com/office/drawing/2012/chart"/>
            </c:numRef>
          </c:xVal>
          <c:yVal>
            <c:numRef>
              <c:f>'G27 60L (m;velo)'!$O$2:$O$102</c:f>
              <c:numCache>
                <c:formatCode>0</c:formatCode>
                <c:ptCount val="101"/>
                <c:pt idx="0">
                  <c:v>94.749439849174451</c:v>
                </c:pt>
                <c:pt idx="1">
                  <c:v>94.868325258857965</c:v>
                </c:pt>
                <c:pt idx="2">
                  <c:v>94.98853249094654</c:v>
                </c:pt>
                <c:pt idx="3">
                  <c:v>95.110089539787666</c:v>
                </c:pt>
                <c:pt idx="4">
                  <c:v>95.233025279901796</c:v>
                </c:pt>
                <c:pt idx="5">
                  <c:v>95.357369502872061</c:v>
                </c:pt>
                <c:pt idx="6">
                  <c:v>95.483152956174237</c:v>
                </c:pt>
                <c:pt idx="7">
                  <c:v>95.610407384071024</c:v>
                </c:pt>
                <c:pt idx="8">
                  <c:v>95.739165570701374</c:v>
                </c:pt>
                <c:pt idx="9">
                  <c:v>95.86946138550887</c:v>
                </c:pt>
                <c:pt idx="10">
                  <c:v>96.001329831161271</c:v>
                </c:pt>
                <c:pt idx="11">
                  <c:v>96.134807094127538</c:v>
                </c:pt>
                <c:pt idx="12">
                  <c:v>96.269930598088266</c:v>
                </c:pt>
                <c:pt idx="13">
                  <c:v>96.406739060374193</c:v>
                </c:pt>
                <c:pt idx="14">
                  <c:v>96.545272551637325</c:v>
                </c:pt>
                <c:pt idx="15">
                  <c:v>96.685572558980837</c:v>
                </c:pt>
                <c:pt idx="16">
                  <c:v>96.82768205278812</c:v>
                </c:pt>
                <c:pt idx="17">
                  <c:v>96.971645557514577</c:v>
                </c:pt>
                <c:pt idx="18">
                  <c:v>97.117509226724707</c:v>
                </c:pt>
                <c:pt idx="19">
                  <c:v>97.265320922684509</c:v>
                </c:pt>
                <c:pt idx="20">
                  <c:v>97.415130300840687</c:v>
                </c:pt>
                <c:pt idx="21">
                  <c:v>97.566988899552229</c:v>
                </c:pt>
                <c:pt idx="22">
                  <c:v>97.720950235467654</c:v>
                </c:pt>
                <c:pt idx="23">
                  <c:v>97.877069904978867</c:v>
                </c:pt>
                <c:pt idx="24">
                  <c:v>98.035405692219172</c:v>
                </c:pt>
                <c:pt idx="25">
                  <c:v>98.196017684116299</c:v>
                </c:pt>
                <c:pt idx="26">
                  <c:v>98.358968393059484</c:v>
                </c:pt>
                <c:pt idx="27">
                  <c:v>98.524322887789182</c:v>
                </c:pt>
                <c:pt idx="28">
                  <c:v>98.692148933177535</c:v>
                </c:pt>
                <c:pt idx="29">
                  <c:v>98.862517139630498</c:v>
                </c:pt>
                <c:pt idx="30">
                  <c:v>99.035501122915207</c:v>
                </c:pt>
                <c:pt idx="31">
                  <c:v>99.211177675291168</c:v>
                </c:pt>
                <c:pt idx="32">
                  <c:v>99.389626948917325</c:v>
                </c:pt>
                <c:pt idx="33">
                  <c:v>99.570932652599581</c:v>
                </c:pt>
                <c:pt idx="34">
                  <c:v>99.755182263056156</c:v>
                </c:pt>
                <c:pt idx="35">
                  <c:v>99.942467251999929</c:v>
                </c:pt>
                <c:pt idx="36">
                  <c:v>100.13288333047291</c:v>
                </c:pt>
                <c:pt idx="37">
                  <c:v>100.32653071202364</c:v>
                </c:pt>
                <c:pt idx="38">
                  <c:v>100.52351439648916</c:v>
                </c:pt>
                <c:pt idx="39">
                  <c:v>100.7239444763417</c:v>
                </c:pt>
                <c:pt idx="40">
                  <c:v>100.92793646777429</c:v>
                </c:pt>
                <c:pt idx="41">
                  <c:v>101.13561166895522</c:v>
                </c:pt>
                <c:pt idx="42">
                  <c:v>101.34709754815424</c:v>
                </c:pt>
                <c:pt idx="43">
                  <c:v>101.56252816477043</c:v>
                </c:pt>
                <c:pt idx="44">
                  <c:v>101.78204462664785</c:v>
                </c:pt>
                <c:pt idx="45">
                  <c:v>102.00579558748117</c:v>
                </c:pt>
                <c:pt idx="46">
                  <c:v>102.23393778858498</c:v>
                </c:pt>
                <c:pt idx="47">
                  <c:v>102.46663664983787</c:v>
                </c:pt>
                <c:pt idx="48">
                  <c:v>102.70406691523128</c:v>
                </c:pt>
                <c:pt idx="49">
                  <c:v>102.94641335916366</c:v>
                </c:pt>
                <c:pt idx="50">
                  <c:v>103.19387156043898</c:v>
                </c:pt>
                <c:pt idx="51">
                  <c:v>103.44664875187148</c:v>
                </c:pt>
                <c:pt idx="52">
                  <c:v>103.70496475449492</c:v>
                </c:pt>
                <c:pt idx="53">
                  <c:v>103.96905300664378</c:v>
                </c:pt>
                <c:pt idx="54">
                  <c:v>104.2391616996518</c:v>
                </c:pt>
                <c:pt idx="55">
                  <c:v>104.5155550336399</c:v>
                </c:pt>
                <c:pt idx="56">
                  <c:v>104.79851460889004</c:v>
                </c:pt>
                <c:pt idx="57">
                  <c:v>105.08834097067175</c:v>
                </c:pt>
                <c:pt idx="58">
                  <c:v>105.38535532819334</c:v>
                </c:pt>
                <c:pt idx="59">
                  <c:v>105.68990147165793</c:v>
                </c:pt>
                <c:pt idx="60">
                  <c:v>106.00234791533461</c:v>
                </c:pt>
                <c:pt idx="61">
                  <c:v>106.32309029923977</c:v>
                </c:pt>
                <c:pt idx="62">
                  <c:v>106.65255408761725</c:v>
                </c:pt>
                <c:pt idx="63">
                  <c:v>106.9911976091345</c:v>
                </c:pt>
                <c:pt idx="64">
                  <c:v>107.33951549181586</c:v>
                </c:pt>
                <c:pt idx="65">
                  <c:v>107.69804255555077</c:v>
                </c:pt>
                <c:pt idx="66">
                  <c:v>108.06735823696468</c:v>
                </c:pt>
                <c:pt idx="67">
                  <c:v>108.4480916360469</c:v>
                </c:pt>
                <c:pt idx="68">
                  <c:v>108.84092729188131</c:v>
                </c:pt>
                <c:pt idx="69">
                  <c:v>109.2466118170147</c:v>
                </c:pt>
                <c:pt idx="70">
                  <c:v>109.66596154755895</c:v>
                </c:pt>
                <c:pt idx="71">
                  <c:v>110.09987140059499</c:v>
                </c:pt>
                <c:pt idx="72">
                  <c:v>110.54932517380317</c:v>
                </c:pt>
                <c:pt idx="73">
                  <c:v>111.01540757716798</c:v>
                </c:pt>
                <c:pt idx="74">
                  <c:v>111.49931835666007</c:v>
                </c:pt>
                <c:pt idx="75">
                  <c:v>112.00238895985383</c:v>
                </c:pt>
                <c:pt idx="76">
                  <c:v>112.52610231010308</c:v>
                </c:pt>
                <c:pt idx="77">
                  <c:v>113.07211640838682</c:v>
                </c:pt>
                <c:pt idx="78">
                  <c:v>113.64229268303804</c:v>
                </c:pt>
                <c:pt idx="79">
                  <c:v>114.23873027543932</c:v>
                </c:pt>
                <c:pt idx="80">
                  <c:v>114.86380781034379</c:v>
                </c:pt>
                <c:pt idx="81">
                  <c:v>115.52023469041049</c:v>
                </c:pt>
                <c:pt idx="82">
                  <c:v>116.21111463121174</c:v>
                </c:pt>
                <c:pt idx="83">
                  <c:v>116.94002509817855</c:v>
                </c:pt>
                <c:pt idx="84">
                  <c:v>117.7111176465304</c:v>
                </c:pt>
                <c:pt idx="85">
                  <c:v>118.52924609401978</c:v>
                </c:pt>
                <c:pt idx="86">
                  <c:v>119.4001322820795</c:v>
                </c:pt>
                <c:pt idx="87">
                  <c:v>120.33058340068528</c:v>
                </c:pt>
                <c:pt idx="88">
                  <c:v>121.32878128833823</c:v>
                </c:pt>
                <c:pt idx="89">
                  <c:v>122.40467416915922</c:v>
                </c:pt>
                <c:pt idx="90">
                  <c:v>123.57051740392396</c:v>
                </c:pt>
                <c:pt idx="91">
                  <c:v>124.84163645160963</c:v>
                </c:pt>
                <c:pt idx="92">
                  <c:v>126.23753072806871</c:v>
                </c:pt>
                <c:pt idx="93">
                  <c:v>127.7835178771884</c:v>
                </c:pt>
                <c:pt idx="94">
                  <c:v>129.5132682520167</c:v>
                </c:pt>
                <c:pt idx="95">
                  <c:v>131.47287415548462</c:v>
                </c:pt>
                <c:pt idx="96">
                  <c:v>133.7277147234779</c:v>
                </c:pt>
                <c:pt idx="97">
                  <c:v>136.37477110572928</c:v>
                </c:pt>
                <c:pt idx="98">
                  <c:v>139.56652443437952</c:v>
                </c:pt>
                <c:pt idx="99">
                  <c:v>143.56243422306031</c:v>
                </c:pt>
                <c:pt idx="100">
                  <c:v>148.85736298171247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4-4708-4080-8FA1-D50ABBB4868D}"/>
            </c:ext>
          </c:extLst>
        </c:ser>
        <c:ser>
          <c:idx val="3"/>
          <c:order val="16"/>
          <c:tx>
            <c:v>Fit 3.50 mm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'G20 120L (m;velo)'!$N$2:$N$102</c:f>
              <c:numCache>
                <c:formatCode>0.000</c:formatCode>
                <c:ptCount val="101"/>
                <c:pt idx="0">
                  <c:v>15.641802717763225</c:v>
                </c:pt>
                <c:pt idx="1">
                  <c:v>15.495103789878458</c:v>
                </c:pt>
                <c:pt idx="2">
                  <c:v>15.348404861993686</c:v>
                </c:pt>
                <c:pt idx="3">
                  <c:v>15.201705934108915</c:v>
                </c:pt>
                <c:pt idx="4">
                  <c:v>15.055007006224146</c:v>
                </c:pt>
                <c:pt idx="5">
                  <c:v>14.908308078339369</c:v>
                </c:pt>
                <c:pt idx="6">
                  <c:v>14.761609150454595</c:v>
                </c:pt>
                <c:pt idx="7">
                  <c:v>14.614910222569824</c:v>
                </c:pt>
                <c:pt idx="8">
                  <c:v>14.46821129468505</c:v>
                </c:pt>
                <c:pt idx="9">
                  <c:v>14.321512366800278</c:v>
                </c:pt>
                <c:pt idx="10">
                  <c:v>14.174813438915509</c:v>
                </c:pt>
                <c:pt idx="11">
                  <c:v>14.028114511030738</c:v>
                </c:pt>
                <c:pt idx="12">
                  <c:v>13.881415583145966</c:v>
                </c:pt>
                <c:pt idx="13">
                  <c:v>13.734716655261193</c:v>
                </c:pt>
                <c:pt idx="14">
                  <c:v>13.588017727376418</c:v>
                </c:pt>
                <c:pt idx="15">
                  <c:v>13.441318799491651</c:v>
                </c:pt>
                <c:pt idx="16">
                  <c:v>13.294619871606875</c:v>
                </c:pt>
                <c:pt idx="17">
                  <c:v>13.147920943722104</c:v>
                </c:pt>
                <c:pt idx="18">
                  <c:v>13.001222015837334</c:v>
                </c:pt>
                <c:pt idx="19">
                  <c:v>12.854523087952559</c:v>
                </c:pt>
                <c:pt idx="20">
                  <c:v>12.707824160067785</c:v>
                </c:pt>
                <c:pt idx="21">
                  <c:v>12.561125232183015</c:v>
                </c:pt>
                <c:pt idx="22">
                  <c:v>12.414426304298242</c:v>
                </c:pt>
                <c:pt idx="23">
                  <c:v>12.267727376413472</c:v>
                </c:pt>
                <c:pt idx="24">
                  <c:v>12.121028448528699</c:v>
                </c:pt>
                <c:pt idx="25">
                  <c:v>11.974329520643931</c:v>
                </c:pt>
                <c:pt idx="26">
                  <c:v>11.827630592759158</c:v>
                </c:pt>
                <c:pt idx="27">
                  <c:v>11.680931664874381</c:v>
                </c:pt>
                <c:pt idx="28">
                  <c:v>11.534232736989608</c:v>
                </c:pt>
                <c:pt idx="29">
                  <c:v>11.387533809104839</c:v>
                </c:pt>
                <c:pt idx="30">
                  <c:v>11.240834881220065</c:v>
                </c:pt>
                <c:pt idx="31">
                  <c:v>11.094135953335291</c:v>
                </c:pt>
                <c:pt idx="32">
                  <c:v>10.947437025450524</c:v>
                </c:pt>
                <c:pt idx="33">
                  <c:v>10.80073809756575</c:v>
                </c:pt>
                <c:pt idx="34">
                  <c:v>10.654039169680976</c:v>
                </c:pt>
                <c:pt idx="35">
                  <c:v>10.507340241796202</c:v>
                </c:pt>
                <c:pt idx="36">
                  <c:v>10.360641313911433</c:v>
                </c:pt>
                <c:pt idx="37">
                  <c:v>10.213942386026659</c:v>
                </c:pt>
                <c:pt idx="38">
                  <c:v>10.067243458141894</c:v>
                </c:pt>
                <c:pt idx="39">
                  <c:v>9.920544530257116</c:v>
                </c:pt>
                <c:pt idx="40">
                  <c:v>9.7738456023723419</c:v>
                </c:pt>
                <c:pt idx="41">
                  <c:v>9.6271466744875696</c:v>
                </c:pt>
                <c:pt idx="42">
                  <c:v>9.4804477466027972</c:v>
                </c:pt>
                <c:pt idx="43">
                  <c:v>9.3337488187180266</c:v>
                </c:pt>
                <c:pt idx="44">
                  <c:v>9.1870498908332543</c:v>
                </c:pt>
                <c:pt idx="45">
                  <c:v>9.0403509629484837</c:v>
                </c:pt>
                <c:pt idx="46">
                  <c:v>8.8936520350637132</c:v>
                </c:pt>
                <c:pt idx="47">
                  <c:v>8.746953107178939</c:v>
                </c:pt>
                <c:pt idx="48">
                  <c:v>8.6002541792941667</c:v>
                </c:pt>
                <c:pt idx="49">
                  <c:v>8.4535552514093943</c:v>
                </c:pt>
                <c:pt idx="50">
                  <c:v>8.3068563235246202</c:v>
                </c:pt>
                <c:pt idx="51">
                  <c:v>8.1601573956398514</c:v>
                </c:pt>
                <c:pt idx="52">
                  <c:v>8.0134584677550791</c:v>
                </c:pt>
                <c:pt idx="53">
                  <c:v>7.8667595398703076</c:v>
                </c:pt>
                <c:pt idx="54">
                  <c:v>7.7200606119855335</c:v>
                </c:pt>
                <c:pt idx="55">
                  <c:v>7.5733616841007638</c:v>
                </c:pt>
                <c:pt idx="56">
                  <c:v>7.4266627562159933</c:v>
                </c:pt>
                <c:pt idx="57">
                  <c:v>7.2799638283312182</c:v>
                </c:pt>
                <c:pt idx="58">
                  <c:v>7.1332649004464468</c:v>
                </c:pt>
                <c:pt idx="59">
                  <c:v>6.9865659725616736</c:v>
                </c:pt>
                <c:pt idx="60">
                  <c:v>6.8398670446769021</c:v>
                </c:pt>
                <c:pt idx="61">
                  <c:v>6.6931681167921298</c:v>
                </c:pt>
                <c:pt idx="62">
                  <c:v>6.5464691889073592</c:v>
                </c:pt>
                <c:pt idx="63">
                  <c:v>6.3997702610225859</c:v>
                </c:pt>
                <c:pt idx="64">
                  <c:v>6.2530713331378127</c:v>
                </c:pt>
                <c:pt idx="65">
                  <c:v>6.1063724052530413</c:v>
                </c:pt>
                <c:pt idx="66">
                  <c:v>5.9596734773682689</c:v>
                </c:pt>
                <c:pt idx="67">
                  <c:v>5.8129745494834957</c:v>
                </c:pt>
                <c:pt idx="68">
                  <c:v>5.6662756215987242</c:v>
                </c:pt>
                <c:pt idx="69">
                  <c:v>5.5195766937139519</c:v>
                </c:pt>
                <c:pt idx="70">
                  <c:v>5.3728777658291786</c:v>
                </c:pt>
                <c:pt idx="71">
                  <c:v>5.226178837944409</c:v>
                </c:pt>
                <c:pt idx="72">
                  <c:v>5.0794799100596366</c:v>
                </c:pt>
                <c:pt idx="73">
                  <c:v>4.9327809821748634</c:v>
                </c:pt>
                <c:pt idx="74">
                  <c:v>4.7860820542900919</c:v>
                </c:pt>
                <c:pt idx="75">
                  <c:v>4.6393831264053196</c:v>
                </c:pt>
                <c:pt idx="76">
                  <c:v>4.4926841985205481</c:v>
                </c:pt>
                <c:pt idx="77">
                  <c:v>4.3459852706357758</c:v>
                </c:pt>
                <c:pt idx="78">
                  <c:v>4.1992863427510034</c:v>
                </c:pt>
                <c:pt idx="79">
                  <c:v>4.0525874148662311</c:v>
                </c:pt>
                <c:pt idx="80">
                  <c:v>3.9058884869814592</c:v>
                </c:pt>
                <c:pt idx="81">
                  <c:v>3.7591895590966864</c:v>
                </c:pt>
                <c:pt idx="82">
                  <c:v>3.6124906312119145</c:v>
                </c:pt>
                <c:pt idx="83">
                  <c:v>3.4657917033271421</c:v>
                </c:pt>
                <c:pt idx="84">
                  <c:v>3.3190927754423698</c:v>
                </c:pt>
                <c:pt idx="85">
                  <c:v>3.172393847557597</c:v>
                </c:pt>
                <c:pt idx="86">
                  <c:v>3.0256949196728247</c:v>
                </c:pt>
                <c:pt idx="87">
                  <c:v>2.8789959917880528</c:v>
                </c:pt>
                <c:pt idx="88">
                  <c:v>2.7322970639032835</c:v>
                </c:pt>
                <c:pt idx="89">
                  <c:v>2.5855981360185112</c:v>
                </c:pt>
                <c:pt idx="90">
                  <c:v>2.4388992081337393</c:v>
                </c:pt>
                <c:pt idx="91">
                  <c:v>2.2922002802489665</c:v>
                </c:pt>
                <c:pt idx="92">
                  <c:v>2.1455013523641946</c:v>
                </c:pt>
                <c:pt idx="93">
                  <c:v>1.998802424479422</c:v>
                </c:pt>
                <c:pt idx="94">
                  <c:v>1.8521034965946497</c:v>
                </c:pt>
                <c:pt idx="95">
                  <c:v>1.7054045687098773</c:v>
                </c:pt>
                <c:pt idx="96">
                  <c:v>1.5587056408251048</c:v>
                </c:pt>
                <c:pt idx="97">
                  <c:v>1.4120067129403324</c:v>
                </c:pt>
                <c:pt idx="98">
                  <c:v>1.2653077850555601</c:v>
                </c:pt>
                <c:pt idx="99">
                  <c:v>1.1186088571707895</c:v>
                </c:pt>
                <c:pt idx="100">
                  <c:v>0.97190992928601894</c:v>
                </c:pt>
              </c:numCache>
              <c:extLst xmlns:c15="http://schemas.microsoft.com/office/drawing/2012/chart"/>
            </c:numRef>
          </c:xVal>
          <c:yVal>
            <c:numRef>
              <c:f>'G20 120L (m;velo)'!$O$2:$O$102</c:f>
              <c:numCache>
                <c:formatCode>0</c:formatCode>
                <c:ptCount val="101"/>
                <c:pt idx="0">
                  <c:v>97.087688831235326</c:v>
                </c:pt>
                <c:pt idx="1">
                  <c:v>97.21423216744229</c:v>
                </c:pt>
                <c:pt idx="2">
                  <c:v>97.342146558220378</c:v>
                </c:pt>
                <c:pt idx="3">
                  <c:v>97.47146017772873</c:v>
                </c:pt>
                <c:pt idx="4">
                  <c:v>97.60220205810073</c:v>
                </c:pt>
                <c:pt idx="5">
                  <c:v>97.73440212423526</c:v>
                </c:pt>
                <c:pt idx="6">
                  <c:v>97.868091230355788</c:v>
                </c:pt>
                <c:pt idx="7">
                  <c:v>98.003301198448838</c:v>
                </c:pt>
                <c:pt idx="8">
                  <c:v>98.140064858694444</c:v>
                </c:pt>
                <c:pt idx="9">
                  <c:v>98.278416092016982</c:v>
                </c:pt>
                <c:pt idx="10">
                  <c:v>98.418389874887467</c:v>
                </c:pt>
                <c:pt idx="11">
                  <c:v>98.560022326523466</c:v>
                </c:pt>
                <c:pt idx="12">
                  <c:v>98.703350758640013</c:v>
                </c:pt>
                <c:pt idx="13">
                  <c:v>98.848413727918668</c:v>
                </c:pt>
                <c:pt idx="14">
                  <c:v>98.995251091373646</c:v>
                </c:pt>
                <c:pt idx="15">
                  <c:v>99.143904064808879</c:v>
                </c:pt>
                <c:pt idx="16">
                  <c:v>99.294415284574015</c:v>
                </c:pt>
                <c:pt idx="17">
                  <c:v>99.446828872842971</c:v>
                </c:pt>
                <c:pt idx="18">
                  <c:v>99.601190506660629</c:v>
                </c:pt>
                <c:pt idx="19">
                  <c:v>99.757547491017917</c:v>
                </c:pt>
                <c:pt idx="20">
                  <c:v>99.915948836240204</c:v>
                </c:pt>
                <c:pt idx="21">
                  <c:v>100.07644533999644</c:v>
                </c:pt>
                <c:pt idx="22">
                  <c:v>100.23908967426364</c:v>
                </c:pt>
                <c:pt idx="23">
                  <c:v>100.40393647760692</c:v>
                </c:pt>
                <c:pt idx="24">
                  <c:v>100.57104245316872</c:v>
                </c:pt>
                <c:pt idx="25">
                  <c:v>100.74046647279499</c:v>
                </c:pt>
                <c:pt idx="26">
                  <c:v>100.91226968776171</c:v>
                </c:pt>
                <c:pt idx="27">
                  <c:v>101.0865156466093</c:v>
                </c:pt>
                <c:pt idx="28">
                  <c:v>101.26327042063589</c:v>
                </c:pt>
                <c:pt idx="29">
                  <c:v>101.442602737652</c:v>
                </c:pt>
                <c:pt idx="30">
                  <c:v>101.62458412465486</c:v>
                </c:pt>
                <c:pt idx="31">
                  <c:v>101.80928906014225</c:v>
                </c:pt>
                <c:pt idx="32">
                  <c:v>101.9967951368546</c:v>
                </c:pt>
                <c:pt idx="33">
                  <c:v>102.18718323580978</c:v>
                </c:pt>
                <c:pt idx="34">
                  <c:v>102.38053771257756</c:v>
                </c:pt>
                <c:pt idx="35">
                  <c:v>102.5769465968406</c:v>
                </c:pt>
                <c:pt idx="36">
                  <c:v>102.77650180638527</c:v>
                </c:pt>
                <c:pt idx="37">
                  <c:v>102.97929937679035</c:v>
                </c:pt>
                <c:pt idx="38">
                  <c:v>103.18543970820639</c:v>
                </c:pt>
                <c:pt idx="39">
                  <c:v>103.39502783076979</c:v>
                </c:pt>
                <c:pt idx="40">
                  <c:v>103.60817369035583</c:v>
                </c:pt>
                <c:pt idx="41">
                  <c:v>103.82499245656081</c:v>
                </c:pt>
                <c:pt idx="42">
                  <c:v>104.04560485501288</c:v>
                </c:pt>
                <c:pt idx="43">
                  <c:v>104.27013752634048</c:v>
                </c:pt>
                <c:pt idx="44">
                  <c:v>104.49872341439659</c:v>
                </c:pt>
                <c:pt idx="45">
                  <c:v>104.731502186629</c:v>
                </c:pt>
                <c:pt idx="46">
                  <c:v>104.96862068983408</c:v>
                </c:pt>
                <c:pt idx="47">
                  <c:v>105.21023344490602</c:v>
                </c:pt>
                <c:pt idx="48">
                  <c:v>105.45650318463832</c:v>
                </c:pt>
                <c:pt idx="49">
                  <c:v>105.70760143912933</c:v>
                </c:pt>
                <c:pt idx="50">
                  <c:v>105.96370917391309</c:v>
                </c:pt>
                <c:pt idx="51">
                  <c:v>106.22501748659084</c:v>
                </c:pt>
                <c:pt idx="52">
                  <c:v>106.49172836848744</c:v>
                </c:pt>
                <c:pt idx="53">
                  <c:v>106.76405553871398</c:v>
                </c:pt>
                <c:pt idx="54">
                  <c:v>107.04222535902014</c:v>
                </c:pt>
                <c:pt idx="55">
                  <c:v>107.32647783895982</c:v>
                </c:pt>
                <c:pt idx="56">
                  <c:v>107.61706774223308</c:v>
                </c:pt>
                <c:pt idx="57">
                  <c:v>107.91426580661188</c:v>
                </c:pt>
                <c:pt idx="58">
                  <c:v>108.21836009166573</c:v>
                </c:pt>
                <c:pt idx="59">
                  <c:v>108.52965747061434</c:v>
                </c:pt>
                <c:pt idx="60">
                  <c:v>108.84848528511223</c:v>
                </c:pt>
                <c:pt idx="61">
                  <c:v>109.1751931846849</c:v>
                </c:pt>
                <c:pt idx="62">
                  <c:v>109.5101551759799</c:v>
                </c:pt>
                <c:pt idx="63">
                  <c:v>109.85377191107006</c:v>
                </c:pt>
                <c:pt idx="64">
                  <c:v>110.2064732489021</c:v>
                </c:pt>
                <c:pt idx="65">
                  <c:v>110.56872112976444</c:v>
                </c:pt>
                <c:pt idx="66">
                  <c:v>110.94101280958728</c:v>
                </c:pt>
                <c:pt idx="67">
                  <c:v>111.32388450923423</c:v>
                </c:pt>
                <c:pt idx="68">
                  <c:v>111.7179155440249</c:v>
                </c:pt>
                <c:pt idx="69">
                  <c:v>112.12373301097533</c:v>
                </c:pt>
                <c:pt idx="70">
                  <c:v>112.54201712616999</c:v>
                </c:pt>
                <c:pt idx="71">
                  <c:v>112.97350732298592</c:v>
                </c:pt>
                <c:pt idx="72">
                  <c:v>113.41900924444532</c:v>
                </c:pt>
                <c:pt idx="73">
                  <c:v>113.87940279091434</c:v>
                </c:pt>
                <c:pt idx="74">
                  <c:v>114.35565141920709</c:v>
                </c:pt>
                <c:pt idx="75">
                  <c:v>114.84881293282233</c:v>
                </c:pt>
                <c:pt idx="76">
                  <c:v>115.36005205818402</c:v>
                </c:pt>
                <c:pt idx="77">
                  <c:v>115.89065517181785</c:v>
                </c:pt>
                <c:pt idx="78">
                  <c:v>116.44204763311224</c:v>
                </c:pt>
                <c:pt idx="79">
                  <c:v>117.01581429305966</c:v>
                </c:pt>
                <c:pt idx="80">
                  <c:v>117.61372389997007</c:v>
                </c:pt>
                <c:pt idx="81">
                  <c:v>118.23775832082042</c:v>
                </c:pt>
                <c:pt idx="82">
                  <c:v>118.89014775883521</c:v>
                </c:pt>
                <c:pt idx="83">
                  <c:v>119.57341349852298</c:v>
                </c:pt>
                <c:pt idx="84">
                  <c:v>120.29042018392775</c:v>
                </c:pt>
                <c:pt idx="85">
                  <c:v>121.04444028566404</c:v>
                </c:pt>
                <c:pt idx="86">
                  <c:v>121.83923431360157</c:v>
                </c:pt>
                <c:pt idx="87">
                  <c:v>122.67915159957485</c:v>
                </c:pt>
                <c:pt idx="88">
                  <c:v>123.56925828413632</c:v>
                </c:pt>
                <c:pt idx="89">
                  <c:v>124.51550176800914</c:v>
                </c:pt>
                <c:pt idx="90">
                  <c:v>125.5249247711447</c:v>
                </c:pt>
                <c:pt idx="91">
                  <c:v>126.60594799636512</c:v>
                </c:pt>
                <c:pt idx="92">
                  <c:v>127.7687494202832</c:v>
                </c:pt>
                <c:pt idx="93">
                  <c:v>129.02578249936866</c:v>
                </c:pt>
                <c:pt idx="94">
                  <c:v>130.39249876282358</c:v>
                </c:pt>
                <c:pt idx="95">
                  <c:v>131.88837915171533</c:v>
                </c:pt>
                <c:pt idx="96">
                  <c:v>133.53844609213243</c:v>
                </c:pt>
                <c:pt idx="97">
                  <c:v>135.37555091076521</c:v>
                </c:pt>
                <c:pt idx="98">
                  <c:v>137.44396464837254</c:v>
                </c:pt>
                <c:pt idx="99">
                  <c:v>139.80527126396703</c:v>
                </c:pt>
                <c:pt idx="100">
                  <c:v>142.54858113635109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4708-4080-8FA1-D50ABBB48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  <c:extLst>
          <c:ext xmlns:c15="http://schemas.microsoft.com/office/drawing/2012/chart" uri="{02D57815-91ED-43cb-92C2-25804820EDAC}">
            <c15:filteredScatterSeries>
              <c15:ser>
                <c:idx val="11"/>
                <c:order val="0"/>
                <c:tx>
                  <c:v>0,759 data fit</c:v>
                </c:tx>
                <c:xVal>
                  <c:numRef>
                    <c:extLst>
                      <c:ext uri="{02D57815-91ED-43cb-92C2-25804820EDAC}">
                        <c15:formulaRef>
                          <c15:sqref>'LINEAR MODEL FIT'!$K$18:$K$43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1.9485929355516705E-2</c:v>
                      </c:pt>
                      <c:pt idx="1">
                        <c:v>2.5421257413420634E-2</c:v>
                      </c:pt>
                      <c:pt idx="2">
                        <c:v>3.3394322734978735E-2</c:v>
                      </c:pt>
                      <c:pt idx="3">
                        <c:v>4.4188368906423442E-2</c:v>
                      </c:pt>
                      <c:pt idx="4">
                        <c:v>5.8921824786094056E-2</c:v>
                      </c:pt>
                      <c:pt idx="5">
                        <c:v>7.9207279367209671E-2</c:v>
                      </c:pt>
                      <c:pt idx="6">
                        <c:v>0.10739370727931372</c:v>
                      </c:pt>
                      <c:pt idx="7">
                        <c:v>0.14693993032365327</c:v>
                      </c:pt>
                      <c:pt idx="8">
                        <c:v>0.2029976661470782</c:v>
                      </c:pt>
                      <c:pt idx="9">
                        <c:v>0.28333393378674837</c:v>
                      </c:pt>
                      <c:pt idx="10">
                        <c:v>0.39981102292061976</c:v>
                      </c:pt>
                      <c:pt idx="11">
                        <c:v>0.5707968816104988</c:v>
                      </c:pt>
                      <c:pt idx="12">
                        <c:v>0.82515401549739553</c:v>
                      </c:pt>
                      <c:pt idx="13">
                        <c:v>1.2089541437964917</c:v>
                      </c:pt>
                      <c:pt idx="14">
                        <c:v>1.7969894389195176</c:v>
                      </c:pt>
                      <c:pt idx="15">
                        <c:v>2.7128972096355817</c:v>
                      </c:pt>
                      <c:pt idx="16">
                        <c:v>4.1650928252895287</c:v>
                      </c:pt>
                      <c:pt idx="17">
                        <c:v>6.5124051319711214</c:v>
                      </c:pt>
                      <c:pt idx="18">
                        <c:v>10.38695681543169</c:v>
                      </c:pt>
                      <c:pt idx="19">
                        <c:v>16.930456073406134</c:v>
                      </c:pt>
                      <c:pt idx="20">
                        <c:v>28.262023945859521</c:v>
                      </c:pt>
                      <c:pt idx="21">
                        <c:v>48.434495043704175</c:v>
                      </c:pt>
                      <c:pt idx="22">
                        <c:v>85.459101932281627</c:v>
                      </c:pt>
                      <c:pt idx="23">
                        <c:v>155.76180490992817</c:v>
                      </c:pt>
                      <c:pt idx="24">
                        <c:v>294.42398137290343</c:v>
                      </c:pt>
                      <c:pt idx="25">
                        <c:v>579.87835722099078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F-4708-4080-8FA1-D50ABBB4868D}"/>
                  </c:ext>
                </c:extLst>
              </c15:ser>
            </c15:filteredScatterSeries>
            <c15:filteredScatterSeries>
              <c15:ser>
                <c:idx val="12"/>
                <c:order val="1"/>
                <c:tx>
                  <c:v>1,904 data fit</c:v>
                </c:tx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FIT'!$L$18:$L$43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2.8283119138091017E-2</c:v>
                      </c:pt>
                      <c:pt idx="1">
                        <c:v>3.6648855126405692E-2</c:v>
                      </c:pt>
                      <c:pt idx="2">
                        <c:v>4.7809784270258116E-2</c:v>
                      </c:pt>
                      <c:pt idx="3">
                        <c:v>6.2813407355824302E-2</c:v>
                      </c:pt>
                      <c:pt idx="4">
                        <c:v>8.314494913702114E-2</c:v>
                      </c:pt>
                      <c:pt idx="5">
                        <c:v>0.11093034419480104</c:v>
                      </c:pt>
                      <c:pt idx="6">
                        <c:v>0.14924326985561268</c:v>
                      </c:pt>
                      <c:pt idx="7">
                        <c:v>0.20257498489710257</c:v>
                      </c:pt>
                      <c:pt idx="8">
                        <c:v>0.27756219372440305</c:v>
                      </c:pt>
                      <c:pt idx="9">
                        <c:v>0.38412942232477748</c:v>
                      </c:pt>
                      <c:pt idx="10">
                        <c:v>0.53730693552337017</c:v>
                      </c:pt>
                      <c:pt idx="11">
                        <c:v>0.76016654935076911</c:v>
                      </c:pt>
                      <c:pt idx="12">
                        <c:v>1.0886376971005718</c:v>
                      </c:pt>
                      <c:pt idx="13">
                        <c:v>1.5795414079663148</c:v>
                      </c:pt>
                      <c:pt idx="14">
                        <c:v>2.3242347768032481</c:v>
                      </c:pt>
                      <c:pt idx="15">
                        <c:v>3.4722342843188647</c:v>
                      </c:pt>
                      <c:pt idx="16">
                        <c:v>5.2729718741081202</c:v>
                      </c:pt>
                      <c:pt idx="17">
                        <c:v>8.151270343125546</c:v>
                      </c:pt>
                      <c:pt idx="18">
                        <c:v>12.847108680047008</c:v>
                      </c:pt>
                      <c:pt idx="19">
                        <c:v>20.681332284053287</c:v>
                      </c:pt>
                      <c:pt idx="20">
                        <c:v>34.07548369665696</c:v>
                      </c:pt>
                      <c:pt idx="21">
                        <c:v>57.601197254364699</c:v>
                      </c:pt>
                      <c:pt idx="22">
                        <c:v>100.17298109677957</c:v>
                      </c:pt>
                      <c:pt idx="23">
                        <c:v>179.808195269089</c:v>
                      </c:pt>
                      <c:pt idx="24">
                        <c:v>334.40675198820196</c:v>
                      </c:pt>
                      <c:pt idx="25">
                        <c:v>647.34704938782136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708-4080-8FA1-D50ABBB4868D}"/>
                  </c:ext>
                </c:extLst>
              </c15:ser>
            </c15:filteredScatterSeries>
            <c15:filteredScatterSeries>
              <c15:ser>
                <c:idx val="13"/>
                <c:order val="2"/>
                <c:tx>
                  <c:v>2,38 data fit</c:v>
                </c:tx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FIT'!$M$18:$M$43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7.5069901465062427E-2</c:v>
                      </c:pt>
                      <c:pt idx="1">
                        <c:v>9.1401144554105779E-2</c:v>
                      </c:pt>
                      <c:pt idx="2">
                        <c:v>0.11185568946352786</c:v>
                      </c:pt>
                      <c:pt idx="3">
                        <c:v>0.13762699778061302</c:v>
                      </c:pt>
                      <c:pt idx="4">
                        <c:v>0.17030072602336613</c:v>
                      </c:pt>
                      <c:pt idx="5">
                        <c:v>0.21199992086126176</c:v>
                      </c:pt>
                      <c:pt idx="6">
                        <c:v>0.26559039026956732</c:v>
                      </c:pt>
                      <c:pt idx="7">
                        <c:v>0.33497402708025187</c:v>
                      </c:pt>
                      <c:pt idx="8">
                        <c:v>0.42551208077496028</c:v>
                      </c:pt>
                      <c:pt idx="9">
                        <c:v>0.54464263786130818</c:v>
                      </c:pt>
                      <c:pt idx="10">
                        <c:v>0.70279189737330028</c:v>
                      </c:pt>
                      <c:pt idx="11">
                        <c:v>0.91473567229183428</c:v>
                      </c:pt>
                      <c:pt idx="12">
                        <c:v>1.2016603950357674</c:v>
                      </c:pt>
                      <c:pt idx="13">
                        <c:v>1.5943269943109484</c:v>
                      </c:pt>
                      <c:pt idx="14">
                        <c:v>2.1380011248903985</c:v>
                      </c:pt>
                      <c:pt idx="15">
                        <c:v>2.9002603955181732</c:v>
                      </c:pt>
                      <c:pt idx="16">
                        <c:v>3.9835731333984992</c:v>
                      </c:pt>
                      <c:pt idx="17">
                        <c:v>5.5459466205780963</c:v>
                      </c:pt>
                      <c:pt idx="18">
                        <c:v>7.8355128942908774</c:v>
                      </c:pt>
                      <c:pt idx="19">
                        <c:v>11.249744205653117</c:v>
                      </c:pt>
                      <c:pt idx="20">
                        <c:v>16.439289403629978</c:v>
                      </c:pt>
                      <c:pt idx="21">
                        <c:v>24.494877636003075</c:v>
                      </c:pt>
                      <c:pt idx="22">
                        <c:v>37.293547295374829</c:v>
                      </c:pt>
                      <c:pt idx="23">
                        <c:v>58.160690280064813</c:v>
                      </c:pt>
                      <c:pt idx="24">
                        <c:v>93.181369684572289</c:v>
                      </c:pt>
                      <c:pt idx="25">
                        <c:v>153.90188565550389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708-4080-8FA1-D50ABBB4868D}"/>
                  </c:ext>
                </c:extLst>
              </c15:ser>
            </c15:filteredScatterSeries>
            <c15:filteredScatterSeries>
              <c15:ser>
                <c:idx val="14"/>
                <c:order val="3"/>
                <c:tx>
                  <c:v>3,5 data fit</c:v>
                </c:tx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708-4080-8FA1-D50ABBB4868D}"/>
                  </c:ext>
                </c:extLst>
              </c15:ser>
            </c15:filteredScatterSeries>
            <c15:filteredScatterSeries>
              <c15:ser>
                <c:idx val="19"/>
                <c:order val="8"/>
                <c:tx>
                  <c:v>All droplets</c:v>
                </c:tx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drops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40.110811626846086</c:v>
                      </c:pt>
                      <c:pt idx="1">
                        <c:v>39.714421672464923</c:v>
                      </c:pt>
                      <c:pt idx="2">
                        <c:v>39.318031718083802</c:v>
                      </c:pt>
                      <c:pt idx="3">
                        <c:v>38.921641763702667</c:v>
                      </c:pt>
                      <c:pt idx="4">
                        <c:v>38.525251809321517</c:v>
                      </c:pt>
                      <c:pt idx="5">
                        <c:v>38.128861854940368</c:v>
                      </c:pt>
                      <c:pt idx="6">
                        <c:v>37.732471900559233</c:v>
                      </c:pt>
                      <c:pt idx="7">
                        <c:v>37.336081946178105</c:v>
                      </c:pt>
                      <c:pt idx="8">
                        <c:v>36.939691991796941</c:v>
                      </c:pt>
                      <c:pt idx="9">
                        <c:v>36.543302037415827</c:v>
                      </c:pt>
                      <c:pt idx="10">
                        <c:v>36.146912083034685</c:v>
                      </c:pt>
                      <c:pt idx="11">
                        <c:v>35.750522128653536</c:v>
                      </c:pt>
                      <c:pt idx="12">
                        <c:v>35.354132174272387</c:v>
                      </c:pt>
                      <c:pt idx="13">
                        <c:v>34.957742219891266</c:v>
                      </c:pt>
                      <c:pt idx="14">
                        <c:v>34.561352265510102</c:v>
                      </c:pt>
                      <c:pt idx="15">
                        <c:v>34.16496231112896</c:v>
                      </c:pt>
                      <c:pt idx="16">
                        <c:v>33.768572356747846</c:v>
                      </c:pt>
                      <c:pt idx="17">
                        <c:v>33.372182402366704</c:v>
                      </c:pt>
                      <c:pt idx="18">
                        <c:v>32.975792447985548</c:v>
                      </c:pt>
                      <c:pt idx="19">
                        <c:v>32.579402493604412</c:v>
                      </c:pt>
                      <c:pt idx="20">
                        <c:v>32.183012539223263</c:v>
                      </c:pt>
                      <c:pt idx="21">
                        <c:v>31.786622584842132</c:v>
                      </c:pt>
                      <c:pt idx="22">
                        <c:v>31.390232630460993</c:v>
                      </c:pt>
                      <c:pt idx="23">
                        <c:v>30.993842676079861</c:v>
                      </c:pt>
                      <c:pt idx="24">
                        <c:v>30.597452721698716</c:v>
                      </c:pt>
                      <c:pt idx="25">
                        <c:v>30.201062767317563</c:v>
                      </c:pt>
                      <c:pt idx="26">
                        <c:v>29.804672812936445</c:v>
                      </c:pt>
                      <c:pt idx="27">
                        <c:v>29.408282858555292</c:v>
                      </c:pt>
                      <c:pt idx="28">
                        <c:v>29.011892904174147</c:v>
                      </c:pt>
                      <c:pt idx="29">
                        <c:v>28.615502949793008</c:v>
                      </c:pt>
                      <c:pt idx="30">
                        <c:v>28.219112995411866</c:v>
                      </c:pt>
                      <c:pt idx="31">
                        <c:v>27.822723041030731</c:v>
                      </c:pt>
                      <c:pt idx="32">
                        <c:v>27.426333086649588</c:v>
                      </c:pt>
                      <c:pt idx="33">
                        <c:v>27.029943132268446</c:v>
                      </c:pt>
                      <c:pt idx="34">
                        <c:v>26.633553177887304</c:v>
                      </c:pt>
                      <c:pt idx="35">
                        <c:v>26.237163223506176</c:v>
                      </c:pt>
                      <c:pt idx="36">
                        <c:v>25.840773269125037</c:v>
                      </c:pt>
                      <c:pt idx="37">
                        <c:v>25.444383314743888</c:v>
                      </c:pt>
                      <c:pt idx="38">
                        <c:v>25.047993360362739</c:v>
                      </c:pt>
                      <c:pt idx="39">
                        <c:v>24.651603405981618</c:v>
                      </c:pt>
                      <c:pt idx="40">
                        <c:v>24.255213451600461</c:v>
                      </c:pt>
                      <c:pt idx="41">
                        <c:v>23.858823497219319</c:v>
                      </c:pt>
                      <c:pt idx="42">
                        <c:v>23.462433542838188</c:v>
                      </c:pt>
                      <c:pt idx="43">
                        <c:v>23.066043588457042</c:v>
                      </c:pt>
                      <c:pt idx="44">
                        <c:v>22.669653634075907</c:v>
                      </c:pt>
                      <c:pt idx="45">
                        <c:v>22.273263679694775</c:v>
                      </c:pt>
                      <c:pt idx="46">
                        <c:v>21.876873725313622</c:v>
                      </c:pt>
                      <c:pt idx="47">
                        <c:v>21.480483770932484</c:v>
                      </c:pt>
                      <c:pt idx="48">
                        <c:v>21.084093816551341</c:v>
                      </c:pt>
                      <c:pt idx="49">
                        <c:v>20.687703862170203</c:v>
                      </c:pt>
                      <c:pt idx="50">
                        <c:v>20.291313907789068</c:v>
                      </c:pt>
                      <c:pt idx="51">
                        <c:v>19.894923953407933</c:v>
                      </c:pt>
                      <c:pt idx="52">
                        <c:v>19.49853399902679</c:v>
                      </c:pt>
                      <c:pt idx="53">
                        <c:v>19.102144044645645</c:v>
                      </c:pt>
                      <c:pt idx="54">
                        <c:v>18.705754090264502</c:v>
                      </c:pt>
                      <c:pt idx="55">
                        <c:v>18.309364135883364</c:v>
                      </c:pt>
                      <c:pt idx="56">
                        <c:v>17.912974181502225</c:v>
                      </c:pt>
                      <c:pt idx="57">
                        <c:v>17.51658422712109</c:v>
                      </c:pt>
                      <c:pt idx="58">
                        <c:v>17.120194272739941</c:v>
                      </c:pt>
                      <c:pt idx="59">
                        <c:v>16.723804318358809</c:v>
                      </c:pt>
                      <c:pt idx="60">
                        <c:v>16.32741436397766</c:v>
                      </c:pt>
                      <c:pt idx="61">
                        <c:v>15.931024409596523</c:v>
                      </c:pt>
                      <c:pt idx="62">
                        <c:v>15.534634455215388</c:v>
                      </c:pt>
                      <c:pt idx="63">
                        <c:v>15.138244500834238</c:v>
                      </c:pt>
                      <c:pt idx="64">
                        <c:v>14.741854546453107</c:v>
                      </c:pt>
                      <c:pt idx="65">
                        <c:v>14.345464592071965</c:v>
                      </c:pt>
                      <c:pt idx="66">
                        <c:v>13.949074637690821</c:v>
                      </c:pt>
                      <c:pt idx="67">
                        <c:v>13.552684683309678</c:v>
                      </c:pt>
                      <c:pt idx="68">
                        <c:v>13.156294728928538</c:v>
                      </c:pt>
                      <c:pt idx="69">
                        <c:v>12.759904774547405</c:v>
                      </c:pt>
                      <c:pt idx="70">
                        <c:v>12.363514820166262</c:v>
                      </c:pt>
                      <c:pt idx="71">
                        <c:v>11.967124865785124</c:v>
                      </c:pt>
                      <c:pt idx="72">
                        <c:v>11.570734911403981</c:v>
                      </c:pt>
                      <c:pt idx="73">
                        <c:v>11.174344957022839</c:v>
                      </c:pt>
                      <c:pt idx="74">
                        <c:v>10.777955002641708</c:v>
                      </c:pt>
                      <c:pt idx="75">
                        <c:v>10.381565048260557</c:v>
                      </c:pt>
                      <c:pt idx="76">
                        <c:v>9.9851750938794233</c:v>
                      </c:pt>
                      <c:pt idx="77">
                        <c:v>9.588785139498281</c:v>
                      </c:pt>
                      <c:pt idx="78">
                        <c:v>9.1923951851171388</c:v>
                      </c:pt>
                      <c:pt idx="79">
                        <c:v>8.7960052307360002</c:v>
                      </c:pt>
                      <c:pt idx="80">
                        <c:v>8.3996152763548562</c:v>
                      </c:pt>
                      <c:pt idx="81">
                        <c:v>8.0032253219737175</c:v>
                      </c:pt>
                      <c:pt idx="82">
                        <c:v>7.6068353675925833</c:v>
                      </c:pt>
                      <c:pt idx="83">
                        <c:v>7.2104454132114402</c:v>
                      </c:pt>
                      <c:pt idx="84">
                        <c:v>6.8140554588302971</c:v>
                      </c:pt>
                      <c:pt idx="85">
                        <c:v>6.417665504449162</c:v>
                      </c:pt>
                      <c:pt idx="86">
                        <c:v>6.0212755500680188</c:v>
                      </c:pt>
                      <c:pt idx="87">
                        <c:v>5.6248855956868775</c:v>
                      </c:pt>
                      <c:pt idx="88">
                        <c:v>5.2284956413057415</c:v>
                      </c:pt>
                      <c:pt idx="89">
                        <c:v>4.8321056869245931</c:v>
                      </c:pt>
                      <c:pt idx="90">
                        <c:v>4.435715732543458</c:v>
                      </c:pt>
                      <c:pt idx="91">
                        <c:v>4.0393257781623157</c:v>
                      </c:pt>
                      <c:pt idx="92">
                        <c:v>3.6429358237811731</c:v>
                      </c:pt>
                      <c:pt idx="93">
                        <c:v>3.246545869400038</c:v>
                      </c:pt>
                      <c:pt idx="94">
                        <c:v>2.8501559150188958</c:v>
                      </c:pt>
                      <c:pt idx="95">
                        <c:v>2.4537659606377535</c:v>
                      </c:pt>
                      <c:pt idx="96">
                        <c:v>2.057376006256618</c:v>
                      </c:pt>
                      <c:pt idx="97">
                        <c:v>1.6609860518754758</c:v>
                      </c:pt>
                      <c:pt idx="98">
                        <c:v>1.2645960974943335</c:v>
                      </c:pt>
                      <c:pt idx="99">
                        <c:v>0.86820614311319844</c:v>
                      </c:pt>
                      <c:pt idx="100">
                        <c:v>0.47181618873205616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drops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95.026167394042758</c:v>
                      </c:pt>
                      <c:pt idx="1">
                        <c:v>95.124798894659449</c:v>
                      </c:pt>
                      <c:pt idx="2">
                        <c:v>95.224523710603123</c:v>
                      </c:pt>
                      <c:pt idx="3">
                        <c:v>95.325365168444989</c:v>
                      </c:pt>
                      <c:pt idx="4">
                        <c:v>95.427347336460699</c:v>
                      </c:pt>
                      <c:pt idx="5">
                        <c:v>95.530495056134143</c:v>
                      </c:pt>
                      <c:pt idx="6">
                        <c:v>95.634833975341465</c:v>
                      </c:pt>
                      <c:pt idx="7">
                        <c:v>95.740390583326302</c:v>
                      </c:pt>
                      <c:pt idx="8">
                        <c:v>95.847192247580978</c:v>
                      </c:pt>
                      <c:pt idx="9">
                        <c:v>95.955267252760223</c:v>
                      </c:pt>
                      <c:pt idx="10">
                        <c:v>96.064644841762643</c:v>
                      </c:pt>
                      <c:pt idx="11">
                        <c:v>96.175355259125837</c:v>
                      </c:pt>
                      <c:pt idx="12">
                        <c:v>96.287429796892539</c:v>
                      </c:pt>
                      <c:pt idx="13">
                        <c:v>96.400900843118762</c:v>
                      </c:pt>
                      <c:pt idx="14">
                        <c:v>96.5158019332072</c:v>
                      </c:pt>
                      <c:pt idx="15">
                        <c:v>96.632167804264668</c:v>
                      </c:pt>
                      <c:pt idx="16">
                        <c:v>96.750034452700916</c:v>
                      </c:pt>
                      <c:pt idx="17">
                        <c:v>96.86943919530006</c:v>
                      </c:pt>
                      <c:pt idx="18">
                        <c:v>96.990420734020717</c:v>
                      </c:pt>
                      <c:pt idx="19">
                        <c:v>97.113019224797767</c:v>
                      </c:pt>
                      <c:pt idx="20">
                        <c:v>97.237276350647505</c:v>
                      </c:pt>
                      <c:pt idx="21">
                        <c:v>97.363235399399812</c:v>
                      </c:pt>
                      <c:pt idx="22">
                        <c:v>97.490941346413152</c:v>
                      </c:pt>
                      <c:pt idx="23">
                        <c:v>97.620440942659471</c:v>
                      </c:pt>
                      <c:pt idx="24">
                        <c:v>97.751782808600353</c:v>
                      </c:pt>
                      <c:pt idx="25">
                        <c:v>97.885017534316518</c:v>
                      </c:pt>
                      <c:pt idx="26">
                        <c:v>98.020197786394661</c:v>
                      </c:pt>
                      <c:pt idx="27">
                        <c:v>98.157378422125802</c:v>
                      </c:pt>
                      <c:pt idx="28">
                        <c:v>98.296616611619029</c:v>
                      </c:pt>
                      <c:pt idx="29">
                        <c:v>98.437971968498047</c:v>
                      </c:pt>
                      <c:pt idx="30">
                        <c:v>98.581506689910839</c:v>
                      </c:pt>
                      <c:pt idx="31">
                        <c:v>98.727285706657611</c:v>
                      </c:pt>
                      <c:pt idx="32">
                        <c:v>98.875376844324165</c:v>
                      </c:pt>
                      <c:pt idx="33">
                        <c:v>99.025850996399285</c:v>
                      </c:pt>
                      <c:pt idx="34">
                        <c:v>99.178782310458359</c:v>
                      </c:pt>
                      <c:pt idx="35">
                        <c:v>99.334248388609993</c:v>
                      </c:pt>
                      <c:pt idx="36">
                        <c:v>99.492330503531889</c:v>
                      </c:pt>
                      <c:pt idx="37">
                        <c:v>99.653113831569428</c:v>
                      </c:pt>
                      <c:pt idx="38">
                        <c:v>99.816687704532654</c:v>
                      </c:pt>
                      <c:pt idx="39">
                        <c:v>99.983145882015521</c:v>
                      </c:pt>
                      <c:pt idx="40">
                        <c:v>100.15258684626872</c:v>
                      </c:pt>
                      <c:pt idx="41">
                        <c:v>100.32511412189787</c:v>
                      </c:pt>
                      <c:pt idx="42">
                        <c:v>100.50083662292867</c:v>
                      </c:pt>
                      <c:pt idx="43">
                        <c:v>100.67986903008686</c:v>
                      </c:pt>
                      <c:pt idx="44">
                        <c:v>100.86233220149603</c:v>
                      </c:pt>
                      <c:pt idx="45">
                        <c:v>101.04835362039346</c:v>
                      </c:pt>
                      <c:pt idx="46">
                        <c:v>101.23806788392655</c:v>
                      </c:pt>
                      <c:pt idx="47">
                        <c:v>101.43161723762218</c:v>
                      </c:pt>
                      <c:pt idx="48">
                        <c:v>101.62915216072484</c:v>
                      </c:pt>
                      <c:pt idx="49">
                        <c:v>101.83083200830703</c:v>
                      </c:pt>
                      <c:pt idx="50">
                        <c:v>102.03682571686129</c:v>
                      </c:pt>
                      <c:pt idx="51">
                        <c:v>102.24731258103184</c:v>
                      </c:pt>
                      <c:pt idx="52">
                        <c:v>102.46248311023288</c:v>
                      </c:pt>
                      <c:pt idx="53">
                        <c:v>102.68253997518396</c:v>
                      </c:pt>
                      <c:pt idx="54">
                        <c:v>102.90769905588662</c:v>
                      </c:pt>
                      <c:pt idx="55">
                        <c:v>103.13819060432414</c:v>
                      </c:pt>
                      <c:pt idx="56">
                        <c:v>103.37426053722994</c:v>
                      </c:pt>
                      <c:pt idx="57">
                        <c:v>103.61617187672097</c:v>
                      </c:pt>
                      <c:pt idx="58">
                        <c:v>103.86420635948264</c:v>
                      </c:pt>
                      <c:pt idx="59">
                        <c:v>104.11866623864455</c:v>
                      </c:pt>
                      <c:pt idx="60">
                        <c:v>104.37987630660572</c:v>
                      </c:pt>
                      <c:pt idx="61">
                        <c:v>104.64818617200729</c:v>
                      </c:pt>
                      <c:pt idx="62">
                        <c:v>104.92397283000709</c:v>
                      </c:pt>
                      <c:pt idx="63">
                        <c:v>105.20764357220854</c:v>
                      </c:pt>
                      <c:pt idx="64">
                        <c:v>105.49963929135312</c:v>
                      </c:pt>
                      <c:pt idx="65">
                        <c:v>105.80043824657086</c:v>
                      </c:pt>
                      <c:pt idx="66">
                        <c:v>106.11056036811196</c:v>
                      </c:pt>
                      <c:pt idx="67">
                        <c:v>106.43057219667152</c:v>
                      </c:pt>
                      <c:pt idx="68">
                        <c:v>106.76109257252088</c:v>
                      </c:pt>
                      <c:pt idx="69">
                        <c:v>107.10279921474825</c:v>
                      </c:pt>
                      <c:pt idx="70">
                        <c:v>107.45643636243774</c:v>
                      </c:pt>
                      <c:pt idx="71">
                        <c:v>107.82282368947781</c:v>
                      </c:pt>
                      <c:pt idx="72">
                        <c:v>108.20286675547243</c:v>
                      </c:pt>
                      <c:pt idx="73">
                        <c:v>108.59756932037675</c:v>
                      </c:pt>
                      <c:pt idx="74">
                        <c:v>109.00804793476323</c:v>
                      </c:pt>
                      <c:pt idx="75">
                        <c:v>109.43554932755582</c:v>
                      </c:pt>
                      <c:pt idx="76">
                        <c:v>109.88147125779867</c:v>
                      </c:pt>
                      <c:pt idx="77">
                        <c:v>110.34738768939637</c:v>
                      </c:pt>
                      <c:pt idx="78">
                        <c:v>110.83507940616312</c:v>
                      </c:pt>
                      <c:pt idx="79">
                        <c:v>111.34657153553113</c:v>
                      </c:pt>
                      <c:pt idx="80">
                        <c:v>111.88417993191403</c:v>
                      </c:pt>
                      <c:pt idx="81">
                        <c:v>112.45056904315292</c:v>
                      </c:pt>
                      <c:pt idx="82">
                        <c:v>113.04882483382251</c:v>
                      </c:pt>
                      <c:pt idx="83">
                        <c:v>113.68254770344292</c:v>
                      </c:pt>
                      <c:pt idx="84">
                        <c:v>114.35597232990031</c:v>
                      </c:pt>
                      <c:pt idx="85">
                        <c:v>115.07412433301974</c:v>
                      </c:pt>
                      <c:pt idx="86">
                        <c:v>115.84302815775627</c:v>
                      </c:pt>
                      <c:pt idx="87">
                        <c:v>116.66998758126199</c:v>
                      </c:pt>
                      <c:pt idx="88">
                        <c:v>117.56397142748014</c:v>
                      </c:pt>
                      <c:pt idx="89">
                        <c:v>118.53615544502372</c:v>
                      </c:pt>
                      <c:pt idx="90">
                        <c:v>119.60070251904038</c:v>
                      </c:pt>
                      <c:pt idx="91">
                        <c:v>120.77591849013467</c:v>
                      </c:pt>
                      <c:pt idx="92">
                        <c:v>122.08602253796059</c:v>
                      </c:pt>
                      <c:pt idx="93">
                        <c:v>123.56396879268547</c:v>
                      </c:pt>
                      <c:pt idx="94">
                        <c:v>125.25616500356004</c:v>
                      </c:pt>
                      <c:pt idx="95">
                        <c:v>127.23084791426768</c:v>
                      </c:pt>
                      <c:pt idx="96">
                        <c:v>129.59412009555516</c:v>
                      </c:pt>
                      <c:pt idx="97">
                        <c:v>132.52389452575318</c:v>
                      </c:pt>
                      <c:pt idx="98">
                        <c:v>136.3525279309255</c:v>
                      </c:pt>
                      <c:pt idx="99">
                        <c:v>141.81553165397281</c:v>
                      </c:pt>
                      <c:pt idx="100">
                        <c:v>151.14327442523762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708-4080-8FA1-D50ABBB4868D}"/>
                  </c:ext>
                </c:extLst>
              </c15:ser>
            </c15:filteredScatterSeries>
            <c15:filteredScatterSeries>
              <c15:ser>
                <c:idx val="4"/>
                <c:order val="9"/>
                <c:tx>
                  <c:v>0.76 mm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(m;velo)'!$A$2:$A$52</c15:sqref>
                        </c15:formulaRef>
                      </c:ext>
                    </c:extLst>
                    <c:numCache>
                      <c:formatCode>0.00E+00</c:formatCode>
                      <c:ptCount val="51"/>
                      <c:pt idx="0">
                        <c:v>30.854470482189271</c:v>
                      </c:pt>
                      <c:pt idx="1">
                        <c:v>33.939917530408195</c:v>
                      </c:pt>
                      <c:pt idx="2">
                        <c:v>33.939917530408195</c:v>
                      </c:pt>
                      <c:pt idx="3">
                        <c:v>38.568088102736588</c:v>
                      </c:pt>
                      <c:pt idx="4">
                        <c:v>40.110811626846051</c:v>
                      </c:pt>
                      <c:pt idx="5">
                        <c:v>27.769023433970343</c:v>
                      </c:pt>
                      <c:pt idx="6">
                        <c:v>29.311746958079805</c:v>
                      </c:pt>
                      <c:pt idx="7">
                        <c:v>38.568088102736588</c:v>
                      </c:pt>
                      <c:pt idx="8">
                        <c:v>3.8413815750325635</c:v>
                      </c:pt>
                      <c:pt idx="9">
                        <c:v>4.8017269687907049</c:v>
                      </c:pt>
                      <c:pt idx="10">
                        <c:v>6.722417756306986</c:v>
                      </c:pt>
                      <c:pt idx="11">
                        <c:v>9.6034539375814099</c:v>
                      </c:pt>
                      <c:pt idx="12">
                        <c:v>10.563799331339549</c:v>
                      </c:pt>
                      <c:pt idx="13">
                        <c:v>15.365526300130254</c:v>
                      </c:pt>
                      <c:pt idx="14">
                        <c:v>17.286217087646538</c:v>
                      </c:pt>
                      <c:pt idx="15">
                        <c:v>18.246562481404677</c:v>
                      </c:pt>
                      <c:pt idx="16">
                        <c:v>19.20690787516282</c:v>
                      </c:pt>
                      <c:pt idx="17">
                        <c:v>2.8810361812744225</c:v>
                      </c:pt>
                      <c:pt idx="18">
                        <c:v>3.8413815750325635</c:v>
                      </c:pt>
                      <c:pt idx="19">
                        <c:v>4.8017269687907049</c:v>
                      </c:pt>
                      <c:pt idx="20">
                        <c:v>9.6034539375814099</c:v>
                      </c:pt>
                      <c:pt idx="21">
                        <c:v>10.563799331339549</c:v>
                      </c:pt>
                      <c:pt idx="22">
                        <c:v>11.52414472509769</c:v>
                      </c:pt>
                      <c:pt idx="23">
                        <c:v>14.405180906372113</c:v>
                      </c:pt>
                      <c:pt idx="24">
                        <c:v>19.20690787516282</c:v>
                      </c:pt>
                      <c:pt idx="25">
                        <c:v>3.8413815750325635</c:v>
                      </c:pt>
                      <c:pt idx="26">
                        <c:v>5.762072362548845</c:v>
                      </c:pt>
                      <c:pt idx="27">
                        <c:v>6.722417756306986</c:v>
                      </c:pt>
                      <c:pt idx="28">
                        <c:v>9.6034539375814099</c:v>
                      </c:pt>
                      <c:pt idx="29">
                        <c:v>14.405180906372113</c:v>
                      </c:pt>
                      <c:pt idx="30">
                        <c:v>18.246562481404677</c:v>
                      </c:pt>
                      <c:pt idx="31">
                        <c:v>0.57514661383205934</c:v>
                      </c:pt>
                      <c:pt idx="32">
                        <c:v>1.1502932276641187</c:v>
                      </c:pt>
                      <c:pt idx="33">
                        <c:v>1.725439841496178</c:v>
                      </c:pt>
                      <c:pt idx="34">
                        <c:v>2.3005864553282374</c:v>
                      </c:pt>
                      <c:pt idx="35">
                        <c:v>2.8757330691602965</c:v>
                      </c:pt>
                      <c:pt idx="36">
                        <c:v>3.450879682992356</c:v>
                      </c:pt>
                      <c:pt idx="37">
                        <c:v>4.0260262968244147</c:v>
                      </c:pt>
                      <c:pt idx="38">
                        <c:v>5.1763195244885329</c:v>
                      </c:pt>
                      <c:pt idx="39">
                        <c:v>0.57514661383205934</c:v>
                      </c:pt>
                      <c:pt idx="40">
                        <c:v>1.1502932276641187</c:v>
                      </c:pt>
                      <c:pt idx="41">
                        <c:v>1.725439841496178</c:v>
                      </c:pt>
                      <c:pt idx="42">
                        <c:v>2.3005864553282374</c:v>
                      </c:pt>
                      <c:pt idx="43">
                        <c:v>3.450879682992356</c:v>
                      </c:pt>
                      <c:pt idx="44">
                        <c:v>5.7514661383205929</c:v>
                      </c:pt>
                      <c:pt idx="45">
                        <c:v>1.1502932276641187</c:v>
                      </c:pt>
                      <c:pt idx="46">
                        <c:v>1.725439841496178</c:v>
                      </c:pt>
                      <c:pt idx="47">
                        <c:v>2.3005864553282374</c:v>
                      </c:pt>
                      <c:pt idx="48">
                        <c:v>3.450879682992356</c:v>
                      </c:pt>
                      <c:pt idx="49">
                        <c:v>4.6011729106564747</c:v>
                      </c:pt>
                      <c:pt idx="50">
                        <c:v>5.1763195244885329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(m;velo)'!$B$2:$B$52</c15:sqref>
                        </c15:formulaRef>
                      </c:ext>
                    </c:extLst>
                    <c:numCache>
                      <c:formatCode>#,##0.000</c:formatCode>
                      <c:ptCount val="51"/>
                      <c:pt idx="0">
                        <c:v>96.398686048416309</c:v>
                      </c:pt>
                      <c:pt idx="1">
                        <c:v>93.377574558440898</c:v>
                      </c:pt>
                      <c:pt idx="2">
                        <c:v>98.202523299837239</c:v>
                      </c:pt>
                      <c:pt idx="3">
                        <c:v>96.892645099435484</c:v>
                      </c:pt>
                      <c:pt idx="4">
                        <c:v>91.075244856474768</c:v>
                      </c:pt>
                      <c:pt idx="5">
                        <c:v>98.226747141076572</c:v>
                      </c:pt>
                      <c:pt idx="6">
                        <c:v>96.129287571603214</c:v>
                      </c:pt>
                      <c:pt idx="7">
                        <c:v>95.109421909382206</c:v>
                      </c:pt>
                      <c:pt idx="8">
                        <c:v>119.13563169228982</c:v>
                      </c:pt>
                      <c:pt idx="9">
                        <c:v>114.99363409754525</c:v>
                      </c:pt>
                      <c:pt idx="10">
                        <c:v>113.98806242714483</c:v>
                      </c:pt>
                      <c:pt idx="11">
                        <c:v>111.52201761640093</c:v>
                      </c:pt>
                      <c:pt idx="12">
                        <c:v>109.94183356291457</c:v>
                      </c:pt>
                      <c:pt idx="13">
                        <c:v>109.0080884403999</c:v>
                      </c:pt>
                      <c:pt idx="14">
                        <c:v>108.07434331788519</c:v>
                      </c:pt>
                      <c:pt idx="15">
                        <c:v>105.75195160291281</c:v>
                      </c:pt>
                      <c:pt idx="16">
                        <c:v>105.56041414188415</c:v>
                      </c:pt>
                      <c:pt idx="17">
                        <c:v>126.17252703498713</c:v>
                      </c:pt>
                      <c:pt idx="18">
                        <c:v>122.38570023480405</c:v>
                      </c:pt>
                      <c:pt idx="19">
                        <c:v>116.53768922634551</c:v>
                      </c:pt>
                      <c:pt idx="20">
                        <c:v>114.28476694963702</c:v>
                      </c:pt>
                      <c:pt idx="21">
                        <c:v>111.64836854649269</c:v>
                      </c:pt>
                      <c:pt idx="22">
                        <c:v>108.77229755650337</c:v>
                      </c:pt>
                      <c:pt idx="23">
                        <c:v>107.07062222328031</c:v>
                      </c:pt>
                      <c:pt idx="24">
                        <c:v>106.04003012696514</c:v>
                      </c:pt>
                      <c:pt idx="25">
                        <c:v>122.25432118368342</c:v>
                      </c:pt>
                      <c:pt idx="26">
                        <c:v>120.29311410924292</c:v>
                      </c:pt>
                      <c:pt idx="27">
                        <c:v>116.89687746813868</c:v>
                      </c:pt>
                      <c:pt idx="28">
                        <c:v>111.82643966592674</c:v>
                      </c:pt>
                      <c:pt idx="29">
                        <c:v>111.41984795537198</c:v>
                      </c:pt>
                      <c:pt idx="30">
                        <c:v>110.00873554815261</c:v>
                      </c:pt>
                      <c:pt idx="31">
                        <c:v>140.09555954729694</c:v>
                      </c:pt>
                      <c:pt idx="32">
                        <c:v>125.70535893441595</c:v>
                      </c:pt>
                      <c:pt idx="33">
                        <c:v>123.2687711812389</c:v>
                      </c:pt>
                      <c:pt idx="34">
                        <c:v>121.06150933424321</c:v>
                      </c:pt>
                      <c:pt idx="35">
                        <c:v>120.63152326015314</c:v>
                      </c:pt>
                      <c:pt idx="36">
                        <c:v>120.05820849469971</c:v>
                      </c:pt>
                      <c:pt idx="37">
                        <c:v>118.13760403043072</c:v>
                      </c:pt>
                      <c:pt idx="38">
                        <c:v>116.90497728470585</c:v>
                      </c:pt>
                      <c:pt idx="39">
                        <c:v>151.18427342926574</c:v>
                      </c:pt>
                      <c:pt idx="40">
                        <c:v>140.46954198969809</c:v>
                      </c:pt>
                      <c:pt idx="41">
                        <c:v>133.86260302177348</c:v>
                      </c:pt>
                      <c:pt idx="42">
                        <c:v>126.30771195903883</c:v>
                      </c:pt>
                      <c:pt idx="43">
                        <c:v>121.05088661287125</c:v>
                      </c:pt>
                      <c:pt idx="44">
                        <c:v>119.21243402712456</c:v>
                      </c:pt>
                      <c:pt idx="45">
                        <c:v>138.21626111911107</c:v>
                      </c:pt>
                      <c:pt idx="46">
                        <c:v>129.98058130777247</c:v>
                      </c:pt>
                      <c:pt idx="47">
                        <c:v>127.25448519557391</c:v>
                      </c:pt>
                      <c:pt idx="48">
                        <c:v>124.93012956898552</c:v>
                      </c:pt>
                      <c:pt idx="49">
                        <c:v>121.94577173299243</c:v>
                      </c:pt>
                      <c:pt idx="50">
                        <c:v>120.56837580196087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708-4080-8FA1-D50ABBB4868D}"/>
                  </c:ext>
                </c:extLst>
              </c15:ser>
            </c15:filteredScatterSeries>
            <c15:filteredScatterSeries>
              <c15:ser>
                <c:idx val="6"/>
                <c:order val="11"/>
                <c:tx>
                  <c:v>1.90 mm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(m;velo)'!$A$2:$A$42</c15:sqref>
                        </c15:formulaRef>
                      </c:ext>
                    </c:extLst>
                    <c:numCache>
                      <c:formatCode>0.00E+00</c:formatCode>
                      <c:ptCount val="41"/>
                      <c:pt idx="0">
                        <c:v>30.373414329104897</c:v>
                      </c:pt>
                      <c:pt idx="1">
                        <c:v>3.9390521708057915</c:v>
                      </c:pt>
                      <c:pt idx="2">
                        <c:v>6.3024834732892669</c:v>
                      </c:pt>
                      <c:pt idx="3">
                        <c:v>7.090293907450425</c:v>
                      </c:pt>
                      <c:pt idx="4">
                        <c:v>9.4537252099338982</c:v>
                      </c:pt>
                      <c:pt idx="5">
                        <c:v>10.241535644095059</c:v>
                      </c:pt>
                      <c:pt idx="6">
                        <c:v>11.029346078256216</c:v>
                      </c:pt>
                      <c:pt idx="7">
                        <c:v>14.968398249062007</c:v>
                      </c:pt>
                      <c:pt idx="8">
                        <c:v>3.1512417366446335</c:v>
                      </c:pt>
                      <c:pt idx="9">
                        <c:v>3.9390521708057915</c:v>
                      </c:pt>
                      <c:pt idx="10">
                        <c:v>6.3024834732892669</c:v>
                      </c:pt>
                      <c:pt idx="11">
                        <c:v>8.6659147757727411</c:v>
                      </c:pt>
                      <c:pt idx="12">
                        <c:v>9.4537252099338982</c:v>
                      </c:pt>
                      <c:pt idx="13">
                        <c:v>14.968398249062007</c:v>
                      </c:pt>
                      <c:pt idx="14">
                        <c:v>3.1512417366446335</c:v>
                      </c:pt>
                      <c:pt idx="15">
                        <c:v>3.9390521708057915</c:v>
                      </c:pt>
                      <c:pt idx="16">
                        <c:v>4.7268626049669491</c:v>
                      </c:pt>
                      <c:pt idx="17">
                        <c:v>6.3024834732892669</c:v>
                      </c:pt>
                      <c:pt idx="18">
                        <c:v>7.878104341611583</c:v>
                      </c:pt>
                      <c:pt idx="19">
                        <c:v>8.6659147757727411</c:v>
                      </c:pt>
                      <c:pt idx="20">
                        <c:v>9.4537252099338982</c:v>
                      </c:pt>
                      <c:pt idx="21">
                        <c:v>10.241535644095059</c:v>
                      </c:pt>
                      <c:pt idx="22">
                        <c:v>13.392777380739691</c:v>
                      </c:pt>
                      <c:pt idx="23">
                        <c:v>14.968398249062007</c:v>
                      </c:pt>
                      <c:pt idx="24">
                        <c:v>0.94363237746411799</c:v>
                      </c:pt>
                      <c:pt idx="25">
                        <c:v>1.4154485661961771</c:v>
                      </c:pt>
                      <c:pt idx="26">
                        <c:v>1.887264754928236</c:v>
                      </c:pt>
                      <c:pt idx="27">
                        <c:v>2.8308971323923542</c:v>
                      </c:pt>
                      <c:pt idx="28">
                        <c:v>3.774529509856472</c:v>
                      </c:pt>
                      <c:pt idx="29">
                        <c:v>0.94363237746411799</c:v>
                      </c:pt>
                      <c:pt idx="30">
                        <c:v>1.4154485661961771</c:v>
                      </c:pt>
                      <c:pt idx="31">
                        <c:v>1.887264754928236</c:v>
                      </c:pt>
                      <c:pt idx="32">
                        <c:v>2.3590809436602953</c:v>
                      </c:pt>
                      <c:pt idx="33">
                        <c:v>3.3027133211244135</c:v>
                      </c:pt>
                      <c:pt idx="34">
                        <c:v>3.774529509856472</c:v>
                      </c:pt>
                      <c:pt idx="35">
                        <c:v>0.47181618873205899</c:v>
                      </c:pt>
                      <c:pt idx="36">
                        <c:v>0.94363237746411799</c:v>
                      </c:pt>
                      <c:pt idx="37">
                        <c:v>1.4154485661961771</c:v>
                      </c:pt>
                      <c:pt idx="38">
                        <c:v>1.887264754928236</c:v>
                      </c:pt>
                      <c:pt idx="39">
                        <c:v>2.8308971323923542</c:v>
                      </c:pt>
                      <c:pt idx="40">
                        <c:v>3.774529509856472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(m;velo)'!$B$2:$B$42</c15:sqref>
                        </c15:formulaRef>
                      </c:ext>
                    </c:extLst>
                    <c:numCache>
                      <c:formatCode>#,##0.000</c:formatCode>
                      <c:ptCount val="41"/>
                      <c:pt idx="0">
                        <c:v>100.92286507311093</c:v>
                      </c:pt>
                      <c:pt idx="1">
                        <c:v>117.92779020417348</c:v>
                      </c:pt>
                      <c:pt idx="2">
                        <c:v>117.59224858897701</c:v>
                      </c:pt>
                      <c:pt idx="3">
                        <c:v>115.98644228767971</c:v>
                      </c:pt>
                      <c:pt idx="4">
                        <c:v>113.70955275598949</c:v>
                      </c:pt>
                      <c:pt idx="5">
                        <c:v>110.78554725213468</c:v>
                      </c:pt>
                      <c:pt idx="6">
                        <c:v>110.45000563693822</c:v>
                      </c:pt>
                      <c:pt idx="7">
                        <c:v>107.11855674320198</c:v>
                      </c:pt>
                      <c:pt idx="8">
                        <c:v>123.83285370717226</c:v>
                      </c:pt>
                      <c:pt idx="9">
                        <c:v>121.48897208098484</c:v>
                      </c:pt>
                      <c:pt idx="10">
                        <c:v>115.31834494014291</c:v>
                      </c:pt>
                      <c:pt idx="11">
                        <c:v>111.80252250868433</c:v>
                      </c:pt>
                      <c:pt idx="12">
                        <c:v>106.66033323073361</c:v>
                      </c:pt>
                      <c:pt idx="13">
                        <c:v>107.66485392543608</c:v>
                      </c:pt>
                      <c:pt idx="14">
                        <c:v>126.05358399617073</c:v>
                      </c:pt>
                      <c:pt idx="15">
                        <c:v>122.3402146342103</c:v>
                      </c:pt>
                      <c:pt idx="16">
                        <c:v>121.42984020955707</c:v>
                      </c:pt>
                      <c:pt idx="17">
                        <c:v>120.2080219034444</c:v>
                      </c:pt>
                      <c:pt idx="18">
                        <c:v>119.65700580491604</c:v>
                      </c:pt>
                      <c:pt idx="19">
                        <c:v>119.15390415001005</c:v>
                      </c:pt>
                      <c:pt idx="20">
                        <c:v>117.02171141820115</c:v>
                      </c:pt>
                      <c:pt idx="21">
                        <c:v>115.46449200568877</c:v>
                      </c:pt>
                      <c:pt idx="22">
                        <c:v>114.19475925699673</c:v>
                      </c:pt>
                      <c:pt idx="23">
                        <c:v>113.21251317212499</c:v>
                      </c:pt>
                      <c:pt idx="24">
                        <c:v>142.93996264007947</c:v>
                      </c:pt>
                      <c:pt idx="25">
                        <c:v>134.83928095904344</c:v>
                      </c:pt>
                      <c:pt idx="26">
                        <c:v>129.61118143440314</c:v>
                      </c:pt>
                      <c:pt idx="27">
                        <c:v>123.86601712161163</c:v>
                      </c:pt>
                      <c:pt idx="28">
                        <c:v>116.62711008749434</c:v>
                      </c:pt>
                      <c:pt idx="29">
                        <c:v>146.77930375930265</c:v>
                      </c:pt>
                      <c:pt idx="30">
                        <c:v>138.46534309984125</c:v>
                      </c:pt>
                      <c:pt idx="31">
                        <c:v>136.13513267246216</c:v>
                      </c:pt>
                      <c:pt idx="32">
                        <c:v>127.64856384573423</c:v>
                      </c:pt>
                      <c:pt idx="33">
                        <c:v>125.692337807626</c:v>
                      </c:pt>
                      <c:pt idx="34">
                        <c:v>124.16763221579347</c:v>
                      </c:pt>
                      <c:pt idx="35">
                        <c:v>149.57811851645184</c:v>
                      </c:pt>
                      <c:pt idx="36">
                        <c:v>146.47767934153356</c:v>
                      </c:pt>
                      <c:pt idx="37">
                        <c:v>140.53517091794299</c:v>
                      </c:pt>
                      <c:pt idx="38">
                        <c:v>133.81755271061729</c:v>
                      </c:pt>
                      <c:pt idx="39">
                        <c:v>130.7171135332004</c:v>
                      </c:pt>
                      <c:pt idx="40">
                        <c:v>122.36315241384239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708-4080-8FA1-D50ABBB4868D}"/>
                  </c:ext>
                </c:extLst>
              </c15:ser>
            </c15:filteredScatterSeries>
            <c15:filteredScatterSeries>
              <c15:ser>
                <c:idx val="0"/>
                <c:order val="13"/>
                <c:tx>
                  <c:v>2.38 mm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70C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60L (m;velo)'!$A$2:$A$44</c15:sqref>
                        </c15:formulaRef>
                      </c:ext>
                    </c:extLst>
                    <c:numCache>
                      <c:formatCode>0.00E+00</c:formatCode>
                      <c:ptCount val="43"/>
                      <c:pt idx="0">
                        <c:v>25.003021597856595</c:v>
                      </c:pt>
                      <c:pt idx="1">
                        <c:v>21.606186818762051</c:v>
                      </c:pt>
                      <c:pt idx="2">
                        <c:v>0.74584062256687</c:v>
                      </c:pt>
                      <c:pt idx="3">
                        <c:v>0.99445416342249338</c:v>
                      </c:pt>
                      <c:pt idx="4">
                        <c:v>1.2430677042781166</c:v>
                      </c:pt>
                      <c:pt idx="5">
                        <c:v>1.49168124513374</c:v>
                      </c:pt>
                      <c:pt idx="6">
                        <c:v>1.7402947859893634</c:v>
                      </c:pt>
                      <c:pt idx="7">
                        <c:v>1.9889083268449868</c:v>
                      </c:pt>
                      <c:pt idx="8">
                        <c:v>2.2375218677006097</c:v>
                      </c:pt>
                      <c:pt idx="9">
                        <c:v>2.4861354085562333</c:v>
                      </c:pt>
                      <c:pt idx="10">
                        <c:v>2.7347489494118569</c:v>
                      </c:pt>
                      <c:pt idx="11">
                        <c:v>0.99445416342249338</c:v>
                      </c:pt>
                      <c:pt idx="12">
                        <c:v>1.2430677042781166</c:v>
                      </c:pt>
                      <c:pt idx="13">
                        <c:v>1.49168124513374</c:v>
                      </c:pt>
                      <c:pt idx="14">
                        <c:v>1.7402947859893634</c:v>
                      </c:pt>
                      <c:pt idx="15">
                        <c:v>1.9889083268449868</c:v>
                      </c:pt>
                      <c:pt idx="16">
                        <c:v>2.2375218677006097</c:v>
                      </c:pt>
                      <c:pt idx="17">
                        <c:v>2.7347489494118569</c:v>
                      </c:pt>
                      <c:pt idx="18">
                        <c:v>2.98336249026748</c:v>
                      </c:pt>
                      <c:pt idx="19">
                        <c:v>1.2430677042781166</c:v>
                      </c:pt>
                      <c:pt idx="20">
                        <c:v>1.49168124513374</c:v>
                      </c:pt>
                      <c:pt idx="21">
                        <c:v>1.7402947859893634</c:v>
                      </c:pt>
                      <c:pt idx="22">
                        <c:v>1.9889083268449868</c:v>
                      </c:pt>
                      <c:pt idx="23">
                        <c:v>2.2375218677006097</c:v>
                      </c:pt>
                      <c:pt idx="24">
                        <c:v>2.4861354085562333</c:v>
                      </c:pt>
                      <c:pt idx="25">
                        <c:v>4.0474201093863513</c:v>
                      </c:pt>
                      <c:pt idx="26">
                        <c:v>4.6701001262150204</c:v>
                      </c:pt>
                      <c:pt idx="27">
                        <c:v>4.9814401346293558</c:v>
                      </c:pt>
                      <c:pt idx="28">
                        <c:v>7.1608201935296982</c:v>
                      </c:pt>
                      <c:pt idx="29">
                        <c:v>3.4247400925576819</c:v>
                      </c:pt>
                      <c:pt idx="30">
                        <c:v>3.7360801009720164</c:v>
                      </c:pt>
                      <c:pt idx="31">
                        <c:v>4.0474201093863513</c:v>
                      </c:pt>
                      <c:pt idx="32">
                        <c:v>4.3587601178006858</c:v>
                      </c:pt>
                      <c:pt idx="33">
                        <c:v>4.6701001262150204</c:v>
                      </c:pt>
                      <c:pt idx="34">
                        <c:v>6.2268001682866947</c:v>
                      </c:pt>
                      <c:pt idx="35">
                        <c:v>7.1608201935296982</c:v>
                      </c:pt>
                      <c:pt idx="36">
                        <c:v>3.1134000841433473</c:v>
                      </c:pt>
                      <c:pt idx="37">
                        <c:v>3.4247400925576819</c:v>
                      </c:pt>
                      <c:pt idx="38">
                        <c:v>3.7360801009720164</c:v>
                      </c:pt>
                      <c:pt idx="39">
                        <c:v>4.0474201093863513</c:v>
                      </c:pt>
                      <c:pt idx="40">
                        <c:v>4.3587601178006858</c:v>
                      </c:pt>
                      <c:pt idx="41">
                        <c:v>5.2927801430436903</c:v>
                      </c:pt>
                      <c:pt idx="42">
                        <c:v>7.1608201935296982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60L (m;velo)'!$B$2:$B$44</c15:sqref>
                        </c15:formulaRef>
                      </c:ext>
                    </c:extLst>
                    <c:numCache>
                      <c:formatCode>#,##0.000</c:formatCode>
                      <c:ptCount val="43"/>
                      <c:pt idx="0">
                        <c:v>99.747593372498528</c:v>
                      </c:pt>
                      <c:pt idx="1">
                        <c:v>95.996428134623116</c:v>
                      </c:pt>
                      <c:pt idx="2">
                        <c:v>147.17769522532859</c:v>
                      </c:pt>
                      <c:pt idx="3">
                        <c:v>145.28074012362984</c:v>
                      </c:pt>
                      <c:pt idx="4">
                        <c:v>136.67148235438162</c:v>
                      </c:pt>
                      <c:pt idx="5">
                        <c:v>135.65004499192844</c:v>
                      </c:pt>
                      <c:pt idx="6">
                        <c:v>134.0449291366449</c:v>
                      </c:pt>
                      <c:pt idx="7">
                        <c:v>131.914502637814</c:v>
                      </c:pt>
                      <c:pt idx="8">
                        <c:v>128.29569598226558</c:v>
                      </c:pt>
                      <c:pt idx="9">
                        <c:v>118.75255262448876</c:v>
                      </c:pt>
                      <c:pt idx="10">
                        <c:v>117.93540273452622</c:v>
                      </c:pt>
                      <c:pt idx="11">
                        <c:v>140.49363704278807</c:v>
                      </c:pt>
                      <c:pt idx="12">
                        <c:v>139.58684160747444</c:v>
                      </c:pt>
                      <c:pt idx="13">
                        <c:v>138.62154323923824</c:v>
                      </c:pt>
                      <c:pt idx="14">
                        <c:v>138.1242683093964</c:v>
                      </c:pt>
                      <c:pt idx="15">
                        <c:v>135.05286440592008</c:v>
                      </c:pt>
                      <c:pt idx="16">
                        <c:v>134.17532043706771</c:v>
                      </c:pt>
                      <c:pt idx="17">
                        <c:v>126.80395105123425</c:v>
                      </c:pt>
                      <c:pt idx="18">
                        <c:v>124.2298220526136</c:v>
                      </c:pt>
                      <c:pt idx="19">
                        <c:v>144.49728289345654</c:v>
                      </c:pt>
                      <c:pt idx="20">
                        <c:v>139.66875925554606</c:v>
                      </c:pt>
                      <c:pt idx="21">
                        <c:v>134.05011356779568</c:v>
                      </c:pt>
                      <c:pt idx="22">
                        <c:v>133.2599915179558</c:v>
                      </c:pt>
                      <c:pt idx="23">
                        <c:v>131.35784584241532</c:v>
                      </c:pt>
                      <c:pt idx="24">
                        <c:v>127.55355449133431</c:v>
                      </c:pt>
                      <c:pt idx="25">
                        <c:v>121.45685861059646</c:v>
                      </c:pt>
                      <c:pt idx="26">
                        <c:v>118.50686190062923</c:v>
                      </c:pt>
                      <c:pt idx="27">
                        <c:v>114.45975897621136</c:v>
                      </c:pt>
                      <c:pt idx="28">
                        <c:v>112.43620751400243</c:v>
                      </c:pt>
                      <c:pt idx="29">
                        <c:v>122.86867301238763</c:v>
                      </c:pt>
                      <c:pt idx="30">
                        <c:v>120.50280576371755</c:v>
                      </c:pt>
                      <c:pt idx="31">
                        <c:v>119.69792309148957</c:v>
                      </c:pt>
                      <c:pt idx="32">
                        <c:v>116.28326933052243</c:v>
                      </c:pt>
                      <c:pt idx="33">
                        <c:v>112.50275980945165</c:v>
                      </c:pt>
                      <c:pt idx="34">
                        <c:v>110.77104254496116</c:v>
                      </c:pt>
                      <c:pt idx="35">
                        <c:v>107.81980608012526</c:v>
                      </c:pt>
                      <c:pt idx="36">
                        <c:v>123.47843261256035</c:v>
                      </c:pt>
                      <c:pt idx="37">
                        <c:v>121.5759826600215</c:v>
                      </c:pt>
                      <c:pt idx="38">
                        <c:v>120.45402499570373</c:v>
                      </c:pt>
                      <c:pt idx="39">
                        <c:v>119.21011541135141</c:v>
                      </c:pt>
                      <c:pt idx="40">
                        <c:v>118.81986926724086</c:v>
                      </c:pt>
                      <c:pt idx="41">
                        <c:v>116.35644048254314</c:v>
                      </c:pt>
                      <c:pt idx="42">
                        <c:v>114.21008668993522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708-4080-8FA1-D50ABBB4868D}"/>
                  </c:ext>
                </c:extLst>
              </c15:ser>
            </c15:filteredScatterSeries>
            <c15:filteredScatterSeries>
              <c15:ser>
                <c:idx val="2"/>
                <c:order val="15"/>
                <c:tx>
                  <c:v>3.50 mm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(m;velo)'!$A$2:$A$32</c15:sqref>
                        </c15:formulaRef>
                      </c:ext>
                    </c:extLst>
                    <c:numCache>
                      <c:formatCode>0.00E+00</c:formatCode>
                      <c:ptCount val="31"/>
                      <c:pt idx="0">
                        <c:v>1.4578648939290255</c:v>
                      </c:pt>
                      <c:pt idx="1">
                        <c:v>2.4297748232150425</c:v>
                      </c:pt>
                      <c:pt idx="2">
                        <c:v>2.915729787858051</c:v>
                      </c:pt>
                      <c:pt idx="3">
                        <c:v>0.97190992928601705</c:v>
                      </c:pt>
                      <c:pt idx="4">
                        <c:v>1.4578648939290255</c:v>
                      </c:pt>
                      <c:pt idx="5">
                        <c:v>1.9438198585720341</c:v>
                      </c:pt>
                      <c:pt idx="6">
                        <c:v>2.915729787858051</c:v>
                      </c:pt>
                      <c:pt idx="7">
                        <c:v>0.97190992928601705</c:v>
                      </c:pt>
                      <c:pt idx="8">
                        <c:v>1.4578648939290255</c:v>
                      </c:pt>
                      <c:pt idx="9">
                        <c:v>1.9438198585720341</c:v>
                      </c:pt>
                      <c:pt idx="10">
                        <c:v>2.915729787858051</c:v>
                      </c:pt>
                      <c:pt idx="11">
                        <c:v>3.6513833219278529</c:v>
                      </c:pt>
                      <c:pt idx="12">
                        <c:v>4.259947208915829</c:v>
                      </c:pt>
                      <c:pt idx="13">
                        <c:v>4.8685110959038047</c:v>
                      </c:pt>
                      <c:pt idx="14">
                        <c:v>5.4770749828917795</c:v>
                      </c:pt>
                      <c:pt idx="15">
                        <c:v>6.6942027568677309</c:v>
                      </c:pt>
                      <c:pt idx="16">
                        <c:v>7.3027666438557057</c:v>
                      </c:pt>
                      <c:pt idx="17">
                        <c:v>2.4342555479519024</c:v>
                      </c:pt>
                      <c:pt idx="18">
                        <c:v>3.0428194349398776</c:v>
                      </c:pt>
                      <c:pt idx="19">
                        <c:v>3.6513833219278529</c:v>
                      </c:pt>
                      <c:pt idx="20">
                        <c:v>4.259947208915829</c:v>
                      </c:pt>
                      <c:pt idx="21">
                        <c:v>5.4770749828917795</c:v>
                      </c:pt>
                      <c:pt idx="22">
                        <c:v>6.0856388698797552</c:v>
                      </c:pt>
                      <c:pt idx="23">
                        <c:v>6.6942027568677309</c:v>
                      </c:pt>
                      <c:pt idx="24">
                        <c:v>3.0428194349398776</c:v>
                      </c:pt>
                      <c:pt idx="25">
                        <c:v>3.6513833219278529</c:v>
                      </c:pt>
                      <c:pt idx="26">
                        <c:v>4.8685110959038047</c:v>
                      </c:pt>
                      <c:pt idx="27">
                        <c:v>5.4770749828917795</c:v>
                      </c:pt>
                      <c:pt idx="28">
                        <c:v>6.0856388698797552</c:v>
                      </c:pt>
                      <c:pt idx="29">
                        <c:v>15.641802717763225</c:v>
                      </c:pt>
                      <c:pt idx="30">
                        <c:v>13.034835598136022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(m;velo)'!$B$2:$B$32</c15:sqref>
                        </c15:formulaRef>
                      </c:ext>
                    </c:extLst>
                    <c:numCache>
                      <c:formatCode>#,##0.000</c:formatCode>
                      <c:ptCount val="31"/>
                      <c:pt idx="0">
                        <c:v>138.47528590532582</c:v>
                      </c:pt>
                      <c:pt idx="1">
                        <c:v>128.9393080514532</c:v>
                      </c:pt>
                      <c:pt idx="2">
                        <c:v>119.78359925310309</c:v>
                      </c:pt>
                      <c:pt idx="3">
                        <c:v>144.23390887684323</c:v>
                      </c:pt>
                      <c:pt idx="4">
                        <c:v>140.89783799974145</c:v>
                      </c:pt>
                      <c:pt idx="5">
                        <c:v>129.45570016687481</c:v>
                      </c:pt>
                      <c:pt idx="6">
                        <c:v>124.10042849573773</c:v>
                      </c:pt>
                      <c:pt idx="7">
                        <c:v>142.5189443282251</c:v>
                      </c:pt>
                      <c:pt idx="8">
                        <c:v>133.45670982827062</c:v>
                      </c:pt>
                      <c:pt idx="9">
                        <c:v>124.71603849452865</c:v>
                      </c:pt>
                      <c:pt idx="10">
                        <c:v>123.89751408438963</c:v>
                      </c:pt>
                      <c:pt idx="11">
                        <c:v>125.0881979570498</c:v>
                      </c:pt>
                      <c:pt idx="12">
                        <c:v>116.38083086759765</c:v>
                      </c:pt>
                      <c:pt idx="13">
                        <c:v>113.91740208566142</c:v>
                      </c:pt>
                      <c:pt idx="14">
                        <c:v>111.6490963684362</c:v>
                      </c:pt>
                      <c:pt idx="15">
                        <c:v>107.64907339062384</c:v>
                      </c:pt>
                      <c:pt idx="16">
                        <c:v>106.60028688260051</c:v>
                      </c:pt>
                      <c:pt idx="17">
                        <c:v>122.60037878831164</c:v>
                      </c:pt>
                      <c:pt idx="18">
                        <c:v>118.35645197110961</c:v>
                      </c:pt>
                      <c:pt idx="19">
                        <c:v>117.42961737884711</c:v>
                      </c:pt>
                      <c:pt idx="20">
                        <c:v>115.47838665829444</c:v>
                      </c:pt>
                      <c:pt idx="21">
                        <c:v>114.47838091401121</c:v>
                      </c:pt>
                      <c:pt idx="22">
                        <c:v>113.47837516972798</c:v>
                      </c:pt>
                      <c:pt idx="23">
                        <c:v>107.47834070402855</c:v>
                      </c:pt>
                      <c:pt idx="24">
                        <c:v>118.64312103662732</c:v>
                      </c:pt>
                      <c:pt idx="25">
                        <c:v>115.05547298976759</c:v>
                      </c:pt>
                      <c:pt idx="26">
                        <c:v>112.3464326278531</c:v>
                      </c:pt>
                      <c:pt idx="27">
                        <c:v>110.88208648627773</c:v>
                      </c:pt>
                      <c:pt idx="28">
                        <c:v>110.63802879601515</c:v>
                      </c:pt>
                      <c:pt idx="29">
                        <c:v>101.0765920893912</c:v>
                      </c:pt>
                      <c:pt idx="30">
                        <c:v>99.463772200994654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708-4080-8FA1-D50ABBB4868D}"/>
                  </c:ext>
                </c:extLst>
              </c15:ser>
            </c15:filteredScatterSeries>
            <c15:filteredScatterSeries>
              <c15:ser>
                <c:idx val="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60L'!$D$51</c15:sqref>
                        </c15:formulaRef>
                      </c:ext>
                    </c:extLst>
                    <c:strCache>
                      <c:ptCount val="1"/>
                      <c:pt idx="0">
                        <c:v>F0064 LM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60L'!$R$51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322.59326173051551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60L'!$T$51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124.82594810263446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708-4080-8FA1-D50ABBB4868D}"/>
                  </c:ext>
                </c:extLst>
              </c15:ser>
            </c15:filteredScatterSeries>
            <c15:filteredScatterSeries>
              <c15:ser>
                <c:idx val="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60L'!$D$52</c15:sqref>
                        </c15:formulaRef>
                      </c:ext>
                    </c:extLst>
                    <c:strCache>
                      <c:ptCount val="1"/>
                      <c:pt idx="0">
                        <c:v>F0064 Hempel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rgbClr val="92D050"/>
                    </a:solidFill>
                    <a:ln w="9525">
                      <a:solidFill>
                        <a:srgbClr val="92D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60L'!$R$52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211.31109004828343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60L'!$T$52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124.82594810263446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4708-4080-8FA1-D50ABBB4868D}"/>
                  </c:ext>
                </c:extLst>
              </c15:ser>
            </c15:filteredScatterSeries>
            <c15:filteredScatterSeries>
              <c15:ser>
                <c:idx val="1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60L'!$D$53</c15:sqref>
                        </c15:formulaRef>
                      </c:ext>
                    </c:extLst>
                    <c:strCache>
                      <c:ptCount val="1"/>
                      <c:pt idx="0">
                        <c:v>F0064 SGRE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60L'!$R$53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23.127519500550779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60L'!$T$53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154.78417564726669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4708-4080-8FA1-D50ABBB4868D}"/>
                  </c:ext>
                </c:extLst>
              </c15:ser>
            </c15:filteredScatterSeries>
          </c:ext>
        </c:extLst>
      </c:scatterChart>
      <c:valAx>
        <c:axId val="530717344"/>
        <c:scaling>
          <c:logBase val="10"/>
          <c:orientation val="minMax"/>
          <c:max val="100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Impingement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ax val="16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velocity [ms</a:t>
                </a:r>
                <a:r>
                  <a:rPr lang="en-US" baseline="30000"/>
                  <a:t>-1</a:t>
                </a:r>
                <a:r>
                  <a:rPr lang="en-US"/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At val="0.1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txPr>
    <a:bodyPr/>
    <a:lstStyle/>
    <a:p>
      <a:pPr>
        <a:defRPr sz="1600"/>
      </a:pPr>
      <a:endParaRPr lang="da-DK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Impingment to incubation failure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7"/>
          <c:tx>
            <c:v>all drops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'all drops (m;velo)'!$A$2:$A$167</c:f>
              <c:numCache>
                <c:formatCode>0.00E+00</c:formatCode>
                <c:ptCount val="166"/>
                <c:pt idx="0">
                  <c:v>25.003021597856595</c:v>
                </c:pt>
                <c:pt idx="1">
                  <c:v>21.606186818762051</c:v>
                </c:pt>
                <c:pt idx="2">
                  <c:v>0.74584062256687</c:v>
                </c:pt>
                <c:pt idx="3">
                  <c:v>0.99445416342249338</c:v>
                </c:pt>
                <c:pt idx="4">
                  <c:v>1.2430677042781166</c:v>
                </c:pt>
                <c:pt idx="5">
                  <c:v>1.49168124513374</c:v>
                </c:pt>
                <c:pt idx="6">
                  <c:v>1.7402947859893634</c:v>
                </c:pt>
                <c:pt idx="7">
                  <c:v>1.9889083268449868</c:v>
                </c:pt>
                <c:pt idx="8">
                  <c:v>2.2375218677006097</c:v>
                </c:pt>
                <c:pt idx="9">
                  <c:v>2.4861354085562333</c:v>
                </c:pt>
                <c:pt idx="10">
                  <c:v>2.7347489494118569</c:v>
                </c:pt>
                <c:pt idx="11">
                  <c:v>0.99445416342249338</c:v>
                </c:pt>
                <c:pt idx="12">
                  <c:v>1.2430677042781166</c:v>
                </c:pt>
                <c:pt idx="13">
                  <c:v>1.49168124513374</c:v>
                </c:pt>
                <c:pt idx="14">
                  <c:v>1.7402947859893634</c:v>
                </c:pt>
                <c:pt idx="15">
                  <c:v>1.9889083268449868</c:v>
                </c:pt>
                <c:pt idx="16">
                  <c:v>2.2375218677006097</c:v>
                </c:pt>
                <c:pt idx="17">
                  <c:v>2.7347489494118569</c:v>
                </c:pt>
                <c:pt idx="18">
                  <c:v>2.98336249026748</c:v>
                </c:pt>
                <c:pt idx="19">
                  <c:v>1.2430677042781166</c:v>
                </c:pt>
                <c:pt idx="20">
                  <c:v>1.49168124513374</c:v>
                </c:pt>
                <c:pt idx="21">
                  <c:v>1.7402947859893634</c:v>
                </c:pt>
                <c:pt idx="22">
                  <c:v>1.9889083268449868</c:v>
                </c:pt>
                <c:pt idx="23">
                  <c:v>2.2375218677006097</c:v>
                </c:pt>
                <c:pt idx="24">
                  <c:v>2.4861354085562333</c:v>
                </c:pt>
                <c:pt idx="25">
                  <c:v>4.0474201093863513</c:v>
                </c:pt>
                <c:pt idx="26">
                  <c:v>4.6701001262150204</c:v>
                </c:pt>
                <c:pt idx="27">
                  <c:v>4.9814401346293558</c:v>
                </c:pt>
                <c:pt idx="28">
                  <c:v>7.1608201935296982</c:v>
                </c:pt>
                <c:pt idx="29">
                  <c:v>3.4247400925576819</c:v>
                </c:pt>
                <c:pt idx="30">
                  <c:v>3.7360801009720164</c:v>
                </c:pt>
                <c:pt idx="31">
                  <c:v>4.0474201093863513</c:v>
                </c:pt>
                <c:pt idx="32">
                  <c:v>4.3587601178006858</c:v>
                </c:pt>
                <c:pt idx="33">
                  <c:v>4.6701001262150204</c:v>
                </c:pt>
                <c:pt idx="34">
                  <c:v>6.2268001682866947</c:v>
                </c:pt>
                <c:pt idx="35">
                  <c:v>7.1608201935296982</c:v>
                </c:pt>
                <c:pt idx="36">
                  <c:v>3.1134000841433473</c:v>
                </c:pt>
                <c:pt idx="37">
                  <c:v>3.4247400925576819</c:v>
                </c:pt>
                <c:pt idx="38">
                  <c:v>3.7360801009720164</c:v>
                </c:pt>
                <c:pt idx="39">
                  <c:v>4.0474201093863513</c:v>
                </c:pt>
                <c:pt idx="40">
                  <c:v>4.3587601178006858</c:v>
                </c:pt>
                <c:pt idx="41">
                  <c:v>5.2927801430436903</c:v>
                </c:pt>
                <c:pt idx="42">
                  <c:v>7.1608201935296982</c:v>
                </c:pt>
                <c:pt idx="43">
                  <c:v>1.4578648939290255</c:v>
                </c:pt>
                <c:pt idx="44">
                  <c:v>2.4297748232150425</c:v>
                </c:pt>
                <c:pt idx="45">
                  <c:v>2.915729787858051</c:v>
                </c:pt>
                <c:pt idx="46">
                  <c:v>0.97190992928601705</c:v>
                </c:pt>
                <c:pt idx="47">
                  <c:v>1.4578648939290255</c:v>
                </c:pt>
                <c:pt idx="48">
                  <c:v>1.9438198585720341</c:v>
                </c:pt>
                <c:pt idx="49">
                  <c:v>2.915729787858051</c:v>
                </c:pt>
                <c:pt idx="50">
                  <c:v>0.97190992928601705</c:v>
                </c:pt>
                <c:pt idx="51">
                  <c:v>1.4578648939290255</c:v>
                </c:pt>
                <c:pt idx="52">
                  <c:v>1.9438198585720341</c:v>
                </c:pt>
                <c:pt idx="53">
                  <c:v>2.915729787858051</c:v>
                </c:pt>
                <c:pt idx="54">
                  <c:v>3.6513833219278529</c:v>
                </c:pt>
                <c:pt idx="55">
                  <c:v>4.259947208915829</c:v>
                </c:pt>
                <c:pt idx="56">
                  <c:v>4.8685110959038047</c:v>
                </c:pt>
                <c:pt idx="57">
                  <c:v>5.4770749828917795</c:v>
                </c:pt>
                <c:pt idx="58">
                  <c:v>6.6942027568677309</c:v>
                </c:pt>
                <c:pt idx="59">
                  <c:v>7.3027666438557057</c:v>
                </c:pt>
                <c:pt idx="60">
                  <c:v>2.4342555479519024</c:v>
                </c:pt>
                <c:pt idx="61">
                  <c:v>3.0428194349398776</c:v>
                </c:pt>
                <c:pt idx="62">
                  <c:v>3.6513833219278529</c:v>
                </c:pt>
                <c:pt idx="63">
                  <c:v>4.259947208915829</c:v>
                </c:pt>
                <c:pt idx="64">
                  <c:v>5.4770749828917795</c:v>
                </c:pt>
                <c:pt idx="65">
                  <c:v>6.0856388698797552</c:v>
                </c:pt>
                <c:pt idx="66">
                  <c:v>6.6942027568677309</c:v>
                </c:pt>
                <c:pt idx="67">
                  <c:v>3.0428194349398776</c:v>
                </c:pt>
                <c:pt idx="68">
                  <c:v>3.6513833219278529</c:v>
                </c:pt>
                <c:pt idx="69">
                  <c:v>4.8685110959038047</c:v>
                </c:pt>
                <c:pt idx="70">
                  <c:v>5.4770749828917795</c:v>
                </c:pt>
                <c:pt idx="71">
                  <c:v>6.0856388698797552</c:v>
                </c:pt>
                <c:pt idx="72">
                  <c:v>15.641802717763225</c:v>
                </c:pt>
                <c:pt idx="73">
                  <c:v>13.034835598136022</c:v>
                </c:pt>
                <c:pt idx="74">
                  <c:v>30.854470482189271</c:v>
                </c:pt>
                <c:pt idx="75">
                  <c:v>33.939917530408195</c:v>
                </c:pt>
                <c:pt idx="76">
                  <c:v>33.939917530408195</c:v>
                </c:pt>
                <c:pt idx="77">
                  <c:v>38.568088102736588</c:v>
                </c:pt>
                <c:pt idx="78">
                  <c:v>40.110811626846051</c:v>
                </c:pt>
                <c:pt idx="79">
                  <c:v>27.769023433970343</c:v>
                </c:pt>
                <c:pt idx="80">
                  <c:v>29.311746958079805</c:v>
                </c:pt>
                <c:pt idx="81">
                  <c:v>38.568088102736588</c:v>
                </c:pt>
                <c:pt idx="82">
                  <c:v>3.8413815750325635</c:v>
                </c:pt>
                <c:pt idx="83">
                  <c:v>4.8017269687907049</c:v>
                </c:pt>
                <c:pt idx="84">
                  <c:v>6.722417756306986</c:v>
                </c:pt>
                <c:pt idx="85">
                  <c:v>9.6034539375814099</c:v>
                </c:pt>
                <c:pt idx="86">
                  <c:v>10.563799331339549</c:v>
                </c:pt>
                <c:pt idx="87">
                  <c:v>15.365526300130254</c:v>
                </c:pt>
                <c:pt idx="88">
                  <c:v>17.286217087646538</c:v>
                </c:pt>
                <c:pt idx="89">
                  <c:v>18.246562481404677</c:v>
                </c:pt>
                <c:pt idx="90">
                  <c:v>19.20690787516282</c:v>
                </c:pt>
                <c:pt idx="91">
                  <c:v>2.8810361812744225</c:v>
                </c:pt>
                <c:pt idx="92">
                  <c:v>3.8413815750325635</c:v>
                </c:pt>
                <c:pt idx="93">
                  <c:v>4.8017269687907049</c:v>
                </c:pt>
                <c:pt idx="94">
                  <c:v>9.6034539375814099</c:v>
                </c:pt>
                <c:pt idx="95">
                  <c:v>10.563799331339549</c:v>
                </c:pt>
                <c:pt idx="96">
                  <c:v>11.52414472509769</c:v>
                </c:pt>
                <c:pt idx="97">
                  <c:v>14.405180906372113</c:v>
                </c:pt>
                <c:pt idx="98">
                  <c:v>19.20690787516282</c:v>
                </c:pt>
                <c:pt idx="99">
                  <c:v>3.8413815750325635</c:v>
                </c:pt>
                <c:pt idx="100">
                  <c:v>5.762072362548845</c:v>
                </c:pt>
                <c:pt idx="101">
                  <c:v>6.722417756306986</c:v>
                </c:pt>
                <c:pt idx="102">
                  <c:v>9.6034539375814099</c:v>
                </c:pt>
                <c:pt idx="103">
                  <c:v>14.405180906372113</c:v>
                </c:pt>
                <c:pt idx="104">
                  <c:v>18.246562481404677</c:v>
                </c:pt>
                <c:pt idx="105">
                  <c:v>0.57514661383205934</c:v>
                </c:pt>
                <c:pt idx="106">
                  <c:v>1.1502932276641187</c:v>
                </c:pt>
                <c:pt idx="107">
                  <c:v>1.725439841496178</c:v>
                </c:pt>
                <c:pt idx="108">
                  <c:v>2.3005864553282374</c:v>
                </c:pt>
                <c:pt idx="109">
                  <c:v>2.8757330691602965</c:v>
                </c:pt>
                <c:pt idx="110">
                  <c:v>3.450879682992356</c:v>
                </c:pt>
                <c:pt idx="111">
                  <c:v>4.0260262968244147</c:v>
                </c:pt>
                <c:pt idx="112">
                  <c:v>5.1763195244885329</c:v>
                </c:pt>
                <c:pt idx="113">
                  <c:v>0.57514661383205934</c:v>
                </c:pt>
                <c:pt idx="114">
                  <c:v>1.1502932276641187</c:v>
                </c:pt>
                <c:pt idx="115">
                  <c:v>1.725439841496178</c:v>
                </c:pt>
                <c:pt idx="116">
                  <c:v>2.3005864553282374</c:v>
                </c:pt>
                <c:pt idx="117">
                  <c:v>3.450879682992356</c:v>
                </c:pt>
                <c:pt idx="118">
                  <c:v>5.7514661383205929</c:v>
                </c:pt>
                <c:pt idx="119">
                  <c:v>1.1502932276641187</c:v>
                </c:pt>
                <c:pt idx="120">
                  <c:v>1.725439841496178</c:v>
                </c:pt>
                <c:pt idx="121">
                  <c:v>2.3005864553282374</c:v>
                </c:pt>
                <c:pt idx="122">
                  <c:v>3.450879682992356</c:v>
                </c:pt>
                <c:pt idx="123">
                  <c:v>4.6011729106564747</c:v>
                </c:pt>
                <c:pt idx="124">
                  <c:v>5.1763195244885329</c:v>
                </c:pt>
                <c:pt idx="125">
                  <c:v>30.373414329104897</c:v>
                </c:pt>
                <c:pt idx="126">
                  <c:v>3.9390521708057915</c:v>
                </c:pt>
                <c:pt idx="127">
                  <c:v>6.3024834732892669</c:v>
                </c:pt>
                <c:pt idx="128">
                  <c:v>7.090293907450425</c:v>
                </c:pt>
                <c:pt idx="129">
                  <c:v>9.4537252099338982</c:v>
                </c:pt>
                <c:pt idx="130">
                  <c:v>10.241535644095059</c:v>
                </c:pt>
                <c:pt idx="131">
                  <c:v>11.029346078256216</c:v>
                </c:pt>
                <c:pt idx="132">
                  <c:v>14.968398249062007</c:v>
                </c:pt>
                <c:pt idx="133">
                  <c:v>3.1512417366446335</c:v>
                </c:pt>
                <c:pt idx="134">
                  <c:v>3.9390521708057915</c:v>
                </c:pt>
                <c:pt idx="135">
                  <c:v>6.3024834732892669</c:v>
                </c:pt>
                <c:pt idx="136">
                  <c:v>8.6659147757727411</c:v>
                </c:pt>
                <c:pt idx="137">
                  <c:v>9.4537252099338982</c:v>
                </c:pt>
                <c:pt idx="138">
                  <c:v>14.968398249062007</c:v>
                </c:pt>
                <c:pt idx="139">
                  <c:v>3.1512417366446335</c:v>
                </c:pt>
                <c:pt idx="140">
                  <c:v>3.9390521708057915</c:v>
                </c:pt>
                <c:pt idx="141">
                  <c:v>4.7268626049669491</c:v>
                </c:pt>
                <c:pt idx="142">
                  <c:v>6.3024834732892669</c:v>
                </c:pt>
                <c:pt idx="143">
                  <c:v>7.878104341611583</c:v>
                </c:pt>
                <c:pt idx="144">
                  <c:v>8.6659147757727411</c:v>
                </c:pt>
                <c:pt idx="145">
                  <c:v>9.4537252099338982</c:v>
                </c:pt>
                <c:pt idx="146">
                  <c:v>10.241535644095059</c:v>
                </c:pt>
                <c:pt idx="147">
                  <c:v>13.392777380739691</c:v>
                </c:pt>
                <c:pt idx="148">
                  <c:v>14.968398249062007</c:v>
                </c:pt>
                <c:pt idx="149">
                  <c:v>0.94363237746411799</c:v>
                </c:pt>
                <c:pt idx="150">
                  <c:v>1.4154485661961771</c:v>
                </c:pt>
                <c:pt idx="151">
                  <c:v>1.887264754928236</c:v>
                </c:pt>
                <c:pt idx="152">
                  <c:v>2.8308971323923542</c:v>
                </c:pt>
                <c:pt idx="153">
                  <c:v>3.774529509856472</c:v>
                </c:pt>
                <c:pt idx="154">
                  <c:v>0.94363237746411799</c:v>
                </c:pt>
                <c:pt idx="155">
                  <c:v>1.4154485661961771</c:v>
                </c:pt>
                <c:pt idx="156">
                  <c:v>1.887264754928236</c:v>
                </c:pt>
                <c:pt idx="157">
                  <c:v>2.3590809436602953</c:v>
                </c:pt>
                <c:pt idx="158">
                  <c:v>3.3027133211244135</c:v>
                </c:pt>
                <c:pt idx="159">
                  <c:v>3.774529509856472</c:v>
                </c:pt>
                <c:pt idx="160">
                  <c:v>0.47181618873205899</c:v>
                </c:pt>
                <c:pt idx="161">
                  <c:v>0.94363237746411799</c:v>
                </c:pt>
                <c:pt idx="162">
                  <c:v>1.4154485661961771</c:v>
                </c:pt>
                <c:pt idx="163">
                  <c:v>1.887264754928236</c:v>
                </c:pt>
                <c:pt idx="164">
                  <c:v>2.8308971323923542</c:v>
                </c:pt>
                <c:pt idx="165">
                  <c:v>3.774529509856472</c:v>
                </c:pt>
              </c:numCache>
            </c:numRef>
          </c:xVal>
          <c:yVal>
            <c:numRef>
              <c:f>'all drops (m;velo)'!$B$2:$B$167</c:f>
              <c:numCache>
                <c:formatCode>#,##0.000</c:formatCode>
                <c:ptCount val="166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  <c:pt idx="43" formatCode="0.00E+00">
                  <c:v>138.47528590532582</c:v>
                </c:pt>
                <c:pt idx="44" formatCode="0.00E+00">
                  <c:v>128.9393080514532</c:v>
                </c:pt>
                <c:pt idx="45" formatCode="0.00E+00">
                  <c:v>119.78359925310309</c:v>
                </c:pt>
                <c:pt idx="46" formatCode="0.00E+00">
                  <c:v>144.23390887684323</c:v>
                </c:pt>
                <c:pt idx="47" formatCode="0.00E+00">
                  <c:v>140.89783799974145</c:v>
                </c:pt>
                <c:pt idx="48" formatCode="0.00E+00">
                  <c:v>129.45570016687481</c:v>
                </c:pt>
                <c:pt idx="49" formatCode="0.00E+00">
                  <c:v>124.10042849573773</c:v>
                </c:pt>
                <c:pt idx="50" formatCode="0.00E+00">
                  <c:v>142.5189443282251</c:v>
                </c:pt>
                <c:pt idx="51" formatCode="0.00E+00">
                  <c:v>133.45670982827062</c:v>
                </c:pt>
                <c:pt idx="52" formatCode="0.00E+00">
                  <c:v>124.71603849452865</c:v>
                </c:pt>
                <c:pt idx="53" formatCode="0.00E+00">
                  <c:v>123.89751408438963</c:v>
                </c:pt>
                <c:pt idx="54" formatCode="0.00E+00">
                  <c:v>125.0881979570498</c:v>
                </c:pt>
                <c:pt idx="55" formatCode="0.00E+00">
                  <c:v>116.38083086759765</c:v>
                </c:pt>
                <c:pt idx="56" formatCode="0.00E+00">
                  <c:v>113.91740208566142</c:v>
                </c:pt>
                <c:pt idx="57" formatCode="0.00E+00">
                  <c:v>111.6490963684362</c:v>
                </c:pt>
                <c:pt idx="58" formatCode="0.00E+00">
                  <c:v>107.64907339062384</c:v>
                </c:pt>
                <c:pt idx="59" formatCode="0.00E+00">
                  <c:v>106.60028688260051</c:v>
                </c:pt>
                <c:pt idx="60" formatCode="0.00E+00">
                  <c:v>122.60037878831164</c:v>
                </c:pt>
                <c:pt idx="61" formatCode="0.00E+00">
                  <c:v>118.35645197110961</c:v>
                </c:pt>
                <c:pt idx="62" formatCode="0.00E+00">
                  <c:v>117.42961737884711</c:v>
                </c:pt>
                <c:pt idx="63" formatCode="0.00E+00">
                  <c:v>115.47838665829444</c:v>
                </c:pt>
                <c:pt idx="64" formatCode="0.00E+00">
                  <c:v>114.47838091401121</c:v>
                </c:pt>
                <c:pt idx="65" formatCode="0.00E+00">
                  <c:v>113.47837516972798</c:v>
                </c:pt>
                <c:pt idx="66" formatCode="0.00E+00">
                  <c:v>107.47834070402855</c:v>
                </c:pt>
                <c:pt idx="67" formatCode="0.00E+00">
                  <c:v>118.64312103662732</c:v>
                </c:pt>
                <c:pt idx="68" formatCode="0.00E+00">
                  <c:v>115.05547298976759</c:v>
                </c:pt>
                <c:pt idx="69" formatCode="0.00E+00">
                  <c:v>112.3464326278531</c:v>
                </c:pt>
                <c:pt idx="70" formatCode="0.00E+00">
                  <c:v>110.88208648627773</c:v>
                </c:pt>
                <c:pt idx="71" formatCode="0.00E+00">
                  <c:v>110.63802879601515</c:v>
                </c:pt>
                <c:pt idx="72" formatCode="0.00E+00">
                  <c:v>101.0765920893912</c:v>
                </c:pt>
                <c:pt idx="73" formatCode="0.00E+00">
                  <c:v>99.463772200994654</c:v>
                </c:pt>
                <c:pt idx="74" formatCode="0.00E+00">
                  <c:v>96.398686048416309</c:v>
                </c:pt>
                <c:pt idx="75" formatCode="0.00E+00">
                  <c:v>93.377574558440898</c:v>
                </c:pt>
                <c:pt idx="76" formatCode="0.00E+00">
                  <c:v>98.202523299837239</c:v>
                </c:pt>
                <c:pt idx="77" formatCode="0.00E+00">
                  <c:v>96.892645099435484</c:v>
                </c:pt>
                <c:pt idx="78" formatCode="0.00E+00">
                  <c:v>91.075244856474768</c:v>
                </c:pt>
                <c:pt idx="79" formatCode="0.00E+00">
                  <c:v>98.226747141076572</c:v>
                </c:pt>
                <c:pt idx="80" formatCode="0.00E+00">
                  <c:v>96.129287571603214</c:v>
                </c:pt>
                <c:pt idx="81" formatCode="0.00E+00">
                  <c:v>95.109421909382206</c:v>
                </c:pt>
                <c:pt idx="82" formatCode="0.00E+00">
                  <c:v>119.13563169228982</c:v>
                </c:pt>
                <c:pt idx="83" formatCode="0.00E+00">
                  <c:v>114.99363409754525</c:v>
                </c:pt>
                <c:pt idx="84" formatCode="0.00E+00">
                  <c:v>113.98806242714483</c:v>
                </c:pt>
                <c:pt idx="85" formatCode="0.00E+00">
                  <c:v>111.52201761640093</c:v>
                </c:pt>
                <c:pt idx="86" formatCode="0.00E+00">
                  <c:v>109.94183356291457</c:v>
                </c:pt>
                <c:pt idx="87" formatCode="0.00E+00">
                  <c:v>109.0080884403999</c:v>
                </c:pt>
                <c:pt idx="88" formatCode="0.00E+00">
                  <c:v>108.07434331788519</c:v>
                </c:pt>
                <c:pt idx="89" formatCode="0.00E+00">
                  <c:v>105.75195160291281</c:v>
                </c:pt>
                <c:pt idx="90" formatCode="0.00E+00">
                  <c:v>105.56041414188415</c:v>
                </c:pt>
                <c:pt idx="91" formatCode="0.00E+00">
                  <c:v>126.17252703498713</c:v>
                </c:pt>
                <c:pt idx="92" formatCode="0.00E+00">
                  <c:v>122.38570023480405</c:v>
                </c:pt>
                <c:pt idx="93" formatCode="0.00E+00">
                  <c:v>116.53768922634551</c:v>
                </c:pt>
                <c:pt idx="94" formatCode="0.00E+00">
                  <c:v>114.28476694963702</c:v>
                </c:pt>
                <c:pt idx="95" formatCode="0.00E+00">
                  <c:v>111.64836854649269</c:v>
                </c:pt>
                <c:pt idx="96" formatCode="0.00E+00">
                  <c:v>108.77229755650337</c:v>
                </c:pt>
                <c:pt idx="97" formatCode="0.00E+00">
                  <c:v>107.07062222328031</c:v>
                </c:pt>
                <c:pt idx="98" formatCode="0.00E+00">
                  <c:v>106.04003012696514</c:v>
                </c:pt>
                <c:pt idx="99" formatCode="0.00E+00">
                  <c:v>122.25432118368342</c:v>
                </c:pt>
                <c:pt idx="100" formatCode="0.00E+00">
                  <c:v>120.29311410924292</c:v>
                </c:pt>
                <c:pt idx="101" formatCode="0.00E+00">
                  <c:v>116.89687746813868</c:v>
                </c:pt>
                <c:pt idx="102" formatCode="0.00E+00">
                  <c:v>111.82643966592674</c:v>
                </c:pt>
                <c:pt idx="103" formatCode="0.00E+00">
                  <c:v>111.41984795537198</c:v>
                </c:pt>
                <c:pt idx="104" formatCode="0.00E+00">
                  <c:v>110.00873554815261</c:v>
                </c:pt>
                <c:pt idx="105" formatCode="0.00E+00">
                  <c:v>140.09555954729694</c:v>
                </c:pt>
                <c:pt idx="106" formatCode="0.00E+00">
                  <c:v>125.70535893441595</c:v>
                </c:pt>
                <c:pt idx="107" formatCode="0.00E+00">
                  <c:v>123.2687711812389</c:v>
                </c:pt>
                <c:pt idx="108" formatCode="0.00E+00">
                  <c:v>121.06150933424321</c:v>
                </c:pt>
                <c:pt idx="109" formatCode="0.00E+00">
                  <c:v>120.63152326015314</c:v>
                </c:pt>
                <c:pt idx="110" formatCode="0.00E+00">
                  <c:v>120.05820849469971</c:v>
                </c:pt>
                <c:pt idx="111" formatCode="0.00E+00">
                  <c:v>118.13760403043072</c:v>
                </c:pt>
                <c:pt idx="112" formatCode="0.00E+00">
                  <c:v>116.90497728470585</c:v>
                </c:pt>
                <c:pt idx="113" formatCode="0.00E+00">
                  <c:v>151.18427342926574</c:v>
                </c:pt>
                <c:pt idx="114" formatCode="0.00E+00">
                  <c:v>140.46954198969809</c:v>
                </c:pt>
                <c:pt idx="115" formatCode="0.00E+00">
                  <c:v>133.86260302177348</c:v>
                </c:pt>
                <c:pt idx="116" formatCode="0.00E+00">
                  <c:v>126.30771195903883</c:v>
                </c:pt>
                <c:pt idx="117" formatCode="0.00E+00">
                  <c:v>121.05088661287125</c:v>
                </c:pt>
                <c:pt idx="118" formatCode="0.00E+00">
                  <c:v>119.21243402712456</c:v>
                </c:pt>
                <c:pt idx="119" formatCode="0.00E+00">
                  <c:v>138.21626111911107</c:v>
                </c:pt>
                <c:pt idx="120" formatCode="0.00E+00">
                  <c:v>129.98058130777247</c:v>
                </c:pt>
                <c:pt idx="121" formatCode="0.00E+00">
                  <c:v>127.25448519557391</c:v>
                </c:pt>
                <c:pt idx="122" formatCode="0.00E+00">
                  <c:v>124.93012956898552</c:v>
                </c:pt>
                <c:pt idx="123" formatCode="0.00E+00">
                  <c:v>121.94577173299243</c:v>
                </c:pt>
                <c:pt idx="124" formatCode="0.00E+00">
                  <c:v>120.56837580196087</c:v>
                </c:pt>
                <c:pt idx="125" formatCode="0.00E+00">
                  <c:v>100.92286507311093</c:v>
                </c:pt>
                <c:pt idx="126" formatCode="0.00E+00">
                  <c:v>117.92779020417348</c:v>
                </c:pt>
                <c:pt idx="127" formatCode="0.00E+00">
                  <c:v>117.59224858897701</c:v>
                </c:pt>
                <c:pt idx="128" formatCode="0.00E+00">
                  <c:v>115.98644228767971</c:v>
                </c:pt>
                <c:pt idx="129" formatCode="0.00E+00">
                  <c:v>113.70955275598949</c:v>
                </c:pt>
                <c:pt idx="130" formatCode="0.00E+00">
                  <c:v>110.78554725213468</c:v>
                </c:pt>
                <c:pt idx="131" formatCode="0.00E+00">
                  <c:v>110.45000563693822</c:v>
                </c:pt>
                <c:pt idx="132" formatCode="0.00E+00">
                  <c:v>107.11855674320198</c:v>
                </c:pt>
                <c:pt idx="133" formatCode="0.00E+00">
                  <c:v>123.83285370717226</c:v>
                </c:pt>
                <c:pt idx="134" formatCode="0.00E+00">
                  <c:v>121.48897208098484</c:v>
                </c:pt>
                <c:pt idx="135" formatCode="0.00E+00">
                  <c:v>115.31834494014291</c:v>
                </c:pt>
                <c:pt idx="136" formatCode="0.00E+00">
                  <c:v>111.80252250868433</c:v>
                </c:pt>
                <c:pt idx="137" formatCode="0.00E+00">
                  <c:v>106.66033323073361</c:v>
                </c:pt>
                <c:pt idx="138" formatCode="0.00E+00">
                  <c:v>107.66485392543608</c:v>
                </c:pt>
                <c:pt idx="139" formatCode="0.00E+00">
                  <c:v>126.05358399617073</c:v>
                </c:pt>
                <c:pt idx="140" formatCode="0.00E+00">
                  <c:v>122.3402146342103</c:v>
                </c:pt>
                <c:pt idx="141" formatCode="0.00E+00">
                  <c:v>121.42984020955707</c:v>
                </c:pt>
                <c:pt idx="142" formatCode="0.00E+00">
                  <c:v>120.2080219034444</c:v>
                </c:pt>
                <c:pt idx="143" formatCode="0.00E+00">
                  <c:v>119.65700580491604</c:v>
                </c:pt>
                <c:pt idx="144" formatCode="0.00E+00">
                  <c:v>119.15390415001005</c:v>
                </c:pt>
                <c:pt idx="145" formatCode="0.00E+00">
                  <c:v>117.02171141820115</c:v>
                </c:pt>
                <c:pt idx="146" formatCode="0.00E+00">
                  <c:v>115.46449200568877</c:v>
                </c:pt>
                <c:pt idx="147" formatCode="0.00E+00">
                  <c:v>114.19475925699673</c:v>
                </c:pt>
                <c:pt idx="148" formatCode="0.00E+00">
                  <c:v>113.21251317212499</c:v>
                </c:pt>
                <c:pt idx="149" formatCode="0.00E+00">
                  <c:v>142.93996264007947</c:v>
                </c:pt>
                <c:pt idx="150" formatCode="0.00E+00">
                  <c:v>134.83928095904344</c:v>
                </c:pt>
                <c:pt idx="151" formatCode="0.00E+00">
                  <c:v>129.61118143440314</c:v>
                </c:pt>
                <c:pt idx="152" formatCode="0.00E+00">
                  <c:v>123.86601712161163</c:v>
                </c:pt>
                <c:pt idx="153" formatCode="0.00E+00">
                  <c:v>116.62711008749434</c:v>
                </c:pt>
                <c:pt idx="154" formatCode="0.00E+00">
                  <c:v>146.77930375930265</c:v>
                </c:pt>
                <c:pt idx="155" formatCode="0.00E+00">
                  <c:v>138.46534309984125</c:v>
                </c:pt>
                <c:pt idx="156" formatCode="0.00E+00">
                  <c:v>136.13513267246216</c:v>
                </c:pt>
                <c:pt idx="157" formatCode="0.00E+00">
                  <c:v>127.64856384573423</c:v>
                </c:pt>
                <c:pt idx="158" formatCode="0.00E+00">
                  <c:v>125.692337807626</c:v>
                </c:pt>
                <c:pt idx="159" formatCode="0.00E+00">
                  <c:v>124.16763221579347</c:v>
                </c:pt>
                <c:pt idx="160" formatCode="0.00E+00">
                  <c:v>149.57811851645184</c:v>
                </c:pt>
                <c:pt idx="161" formatCode="0.00E+00">
                  <c:v>146.47767934153356</c:v>
                </c:pt>
                <c:pt idx="162" formatCode="0.00E+00">
                  <c:v>140.53517091794299</c:v>
                </c:pt>
                <c:pt idx="163" formatCode="0.00E+00">
                  <c:v>133.81755271061729</c:v>
                </c:pt>
                <c:pt idx="164" formatCode="0.00E+00">
                  <c:v>130.7171135332004</c:v>
                </c:pt>
                <c:pt idx="165" formatCode="0.00E+00">
                  <c:v>122.36315241384239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1919-480C-AFDB-4DD5B325C5B6}"/>
            </c:ext>
          </c:extLst>
        </c:ser>
        <c:ser>
          <c:idx val="8"/>
          <c:order val="8"/>
          <c:tx>
            <c:v>fit all drops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'all drops (m;velo)'!$N$2:$N$102</c:f>
              <c:numCache>
                <c:formatCode>0.000</c:formatCode>
                <c:ptCount val="101"/>
                <c:pt idx="0">
                  <c:v>40.110811626846086</c:v>
                </c:pt>
                <c:pt idx="1">
                  <c:v>39.714421672464923</c:v>
                </c:pt>
                <c:pt idx="2">
                  <c:v>39.318031718083802</c:v>
                </c:pt>
                <c:pt idx="3">
                  <c:v>38.921641763702667</c:v>
                </c:pt>
                <c:pt idx="4">
                  <c:v>38.525251809321517</c:v>
                </c:pt>
                <c:pt idx="5">
                  <c:v>38.128861854940368</c:v>
                </c:pt>
                <c:pt idx="6">
                  <c:v>37.732471900559233</c:v>
                </c:pt>
                <c:pt idx="7">
                  <c:v>37.336081946178105</c:v>
                </c:pt>
                <c:pt idx="8">
                  <c:v>36.939691991796941</c:v>
                </c:pt>
                <c:pt idx="9">
                  <c:v>36.543302037415827</c:v>
                </c:pt>
                <c:pt idx="10">
                  <c:v>36.146912083034685</c:v>
                </c:pt>
                <c:pt idx="11">
                  <c:v>35.750522128653536</c:v>
                </c:pt>
                <c:pt idx="12">
                  <c:v>35.354132174272387</c:v>
                </c:pt>
                <c:pt idx="13">
                  <c:v>34.957742219891266</c:v>
                </c:pt>
                <c:pt idx="14">
                  <c:v>34.561352265510102</c:v>
                </c:pt>
                <c:pt idx="15">
                  <c:v>34.16496231112896</c:v>
                </c:pt>
                <c:pt idx="16">
                  <c:v>33.768572356747846</c:v>
                </c:pt>
                <c:pt idx="17">
                  <c:v>33.372182402366704</c:v>
                </c:pt>
                <c:pt idx="18">
                  <c:v>32.975792447985548</c:v>
                </c:pt>
                <c:pt idx="19">
                  <c:v>32.579402493604412</c:v>
                </c:pt>
                <c:pt idx="20">
                  <c:v>32.183012539223263</c:v>
                </c:pt>
                <c:pt idx="21">
                  <c:v>31.786622584842132</c:v>
                </c:pt>
                <c:pt idx="22">
                  <c:v>31.390232630460993</c:v>
                </c:pt>
                <c:pt idx="23">
                  <c:v>30.993842676079861</c:v>
                </c:pt>
                <c:pt idx="24">
                  <c:v>30.597452721698716</c:v>
                </c:pt>
                <c:pt idx="25">
                  <c:v>30.201062767317563</c:v>
                </c:pt>
                <c:pt idx="26">
                  <c:v>29.804672812936445</c:v>
                </c:pt>
                <c:pt idx="27">
                  <c:v>29.408282858555292</c:v>
                </c:pt>
                <c:pt idx="28">
                  <c:v>29.011892904174147</c:v>
                </c:pt>
                <c:pt idx="29">
                  <c:v>28.615502949793008</c:v>
                </c:pt>
                <c:pt idx="30">
                  <c:v>28.219112995411866</c:v>
                </c:pt>
                <c:pt idx="31">
                  <c:v>27.822723041030731</c:v>
                </c:pt>
                <c:pt idx="32">
                  <c:v>27.426333086649588</c:v>
                </c:pt>
                <c:pt idx="33">
                  <c:v>27.029943132268446</c:v>
                </c:pt>
                <c:pt idx="34">
                  <c:v>26.633553177887304</c:v>
                </c:pt>
                <c:pt idx="35">
                  <c:v>26.237163223506176</c:v>
                </c:pt>
                <c:pt idx="36">
                  <c:v>25.840773269125037</c:v>
                </c:pt>
                <c:pt idx="37">
                  <c:v>25.444383314743888</c:v>
                </c:pt>
                <c:pt idx="38">
                  <c:v>25.047993360362739</c:v>
                </c:pt>
                <c:pt idx="39">
                  <c:v>24.651603405981618</c:v>
                </c:pt>
                <c:pt idx="40">
                  <c:v>24.255213451600461</c:v>
                </c:pt>
                <c:pt idx="41">
                  <c:v>23.858823497219319</c:v>
                </c:pt>
                <c:pt idx="42">
                  <c:v>23.462433542838188</c:v>
                </c:pt>
                <c:pt idx="43">
                  <c:v>23.066043588457042</c:v>
                </c:pt>
                <c:pt idx="44">
                  <c:v>22.669653634075907</c:v>
                </c:pt>
                <c:pt idx="45">
                  <c:v>22.273263679694775</c:v>
                </c:pt>
                <c:pt idx="46">
                  <c:v>21.876873725313622</c:v>
                </c:pt>
                <c:pt idx="47">
                  <c:v>21.480483770932484</c:v>
                </c:pt>
                <c:pt idx="48">
                  <c:v>21.084093816551341</c:v>
                </c:pt>
                <c:pt idx="49">
                  <c:v>20.687703862170203</c:v>
                </c:pt>
                <c:pt idx="50">
                  <c:v>20.291313907789068</c:v>
                </c:pt>
                <c:pt idx="51">
                  <c:v>19.894923953407933</c:v>
                </c:pt>
                <c:pt idx="52">
                  <c:v>19.49853399902679</c:v>
                </c:pt>
                <c:pt idx="53">
                  <c:v>19.102144044645645</c:v>
                </c:pt>
                <c:pt idx="54">
                  <c:v>18.705754090264502</c:v>
                </c:pt>
                <c:pt idx="55">
                  <c:v>18.309364135883364</c:v>
                </c:pt>
                <c:pt idx="56">
                  <c:v>17.912974181502225</c:v>
                </c:pt>
                <c:pt idx="57">
                  <c:v>17.51658422712109</c:v>
                </c:pt>
                <c:pt idx="58">
                  <c:v>17.120194272739941</c:v>
                </c:pt>
                <c:pt idx="59">
                  <c:v>16.723804318358809</c:v>
                </c:pt>
                <c:pt idx="60">
                  <c:v>16.32741436397766</c:v>
                </c:pt>
                <c:pt idx="61">
                  <c:v>15.931024409596523</c:v>
                </c:pt>
                <c:pt idx="62">
                  <c:v>15.534634455215388</c:v>
                </c:pt>
                <c:pt idx="63">
                  <c:v>15.138244500834238</c:v>
                </c:pt>
                <c:pt idx="64">
                  <c:v>14.741854546453107</c:v>
                </c:pt>
                <c:pt idx="65">
                  <c:v>14.345464592071965</c:v>
                </c:pt>
                <c:pt idx="66">
                  <c:v>13.949074637690821</c:v>
                </c:pt>
                <c:pt idx="67">
                  <c:v>13.552684683309678</c:v>
                </c:pt>
                <c:pt idx="68">
                  <c:v>13.156294728928538</c:v>
                </c:pt>
                <c:pt idx="69">
                  <c:v>12.759904774547405</c:v>
                </c:pt>
                <c:pt idx="70">
                  <c:v>12.363514820166262</c:v>
                </c:pt>
                <c:pt idx="71">
                  <c:v>11.967124865785124</c:v>
                </c:pt>
                <c:pt idx="72">
                  <c:v>11.570734911403981</c:v>
                </c:pt>
                <c:pt idx="73">
                  <c:v>11.174344957022839</c:v>
                </c:pt>
                <c:pt idx="74">
                  <c:v>10.777955002641708</c:v>
                </c:pt>
                <c:pt idx="75">
                  <c:v>10.381565048260557</c:v>
                </c:pt>
                <c:pt idx="76">
                  <c:v>9.9851750938794233</c:v>
                </c:pt>
                <c:pt idx="77">
                  <c:v>9.588785139498281</c:v>
                </c:pt>
                <c:pt idx="78">
                  <c:v>9.1923951851171388</c:v>
                </c:pt>
                <c:pt idx="79">
                  <c:v>8.7960052307360002</c:v>
                </c:pt>
                <c:pt idx="80">
                  <c:v>8.3996152763548562</c:v>
                </c:pt>
                <c:pt idx="81">
                  <c:v>8.0032253219737175</c:v>
                </c:pt>
                <c:pt idx="82">
                  <c:v>7.6068353675925833</c:v>
                </c:pt>
                <c:pt idx="83">
                  <c:v>7.2104454132114402</c:v>
                </c:pt>
                <c:pt idx="84">
                  <c:v>6.8140554588302971</c:v>
                </c:pt>
                <c:pt idx="85">
                  <c:v>6.417665504449162</c:v>
                </c:pt>
                <c:pt idx="86">
                  <c:v>6.0212755500680188</c:v>
                </c:pt>
                <c:pt idx="87">
                  <c:v>5.6248855956868775</c:v>
                </c:pt>
                <c:pt idx="88">
                  <c:v>5.2284956413057415</c:v>
                </c:pt>
                <c:pt idx="89">
                  <c:v>4.8321056869245931</c:v>
                </c:pt>
                <c:pt idx="90">
                  <c:v>4.435715732543458</c:v>
                </c:pt>
                <c:pt idx="91">
                  <c:v>4.0393257781623157</c:v>
                </c:pt>
                <c:pt idx="92">
                  <c:v>3.6429358237811731</c:v>
                </c:pt>
                <c:pt idx="93">
                  <c:v>3.246545869400038</c:v>
                </c:pt>
                <c:pt idx="94">
                  <c:v>2.8501559150188958</c:v>
                </c:pt>
                <c:pt idx="95">
                  <c:v>2.4537659606377535</c:v>
                </c:pt>
                <c:pt idx="96">
                  <c:v>2.057376006256618</c:v>
                </c:pt>
                <c:pt idx="97">
                  <c:v>1.6609860518754758</c:v>
                </c:pt>
                <c:pt idx="98">
                  <c:v>1.2645960974943335</c:v>
                </c:pt>
                <c:pt idx="99">
                  <c:v>0.86820614311319844</c:v>
                </c:pt>
                <c:pt idx="100">
                  <c:v>0.47181618873205616</c:v>
                </c:pt>
              </c:numCache>
            </c:numRef>
          </c:xVal>
          <c:yVal>
            <c:numRef>
              <c:f>'all drops (m;velo)'!$O$2:$O$102</c:f>
              <c:numCache>
                <c:formatCode>0</c:formatCode>
                <c:ptCount val="101"/>
                <c:pt idx="0">
                  <c:v>95.026167394042758</c:v>
                </c:pt>
                <c:pt idx="1">
                  <c:v>95.124798894659449</c:v>
                </c:pt>
                <c:pt idx="2">
                  <c:v>95.224523710603123</c:v>
                </c:pt>
                <c:pt idx="3">
                  <c:v>95.325365168444989</c:v>
                </c:pt>
                <c:pt idx="4">
                  <c:v>95.427347336460699</c:v>
                </c:pt>
                <c:pt idx="5">
                  <c:v>95.530495056134143</c:v>
                </c:pt>
                <c:pt idx="6">
                  <c:v>95.634833975341465</c:v>
                </c:pt>
                <c:pt idx="7">
                  <c:v>95.740390583326302</c:v>
                </c:pt>
                <c:pt idx="8">
                  <c:v>95.847192247580978</c:v>
                </c:pt>
                <c:pt idx="9">
                  <c:v>95.955267252760223</c:v>
                </c:pt>
                <c:pt idx="10">
                  <c:v>96.064644841762643</c:v>
                </c:pt>
                <c:pt idx="11">
                  <c:v>96.175355259125837</c:v>
                </c:pt>
                <c:pt idx="12">
                  <c:v>96.287429796892539</c:v>
                </c:pt>
                <c:pt idx="13">
                  <c:v>96.400900843118762</c:v>
                </c:pt>
                <c:pt idx="14">
                  <c:v>96.5158019332072</c:v>
                </c:pt>
                <c:pt idx="15">
                  <c:v>96.632167804264668</c:v>
                </c:pt>
                <c:pt idx="16">
                  <c:v>96.750034452700916</c:v>
                </c:pt>
                <c:pt idx="17">
                  <c:v>96.86943919530006</c:v>
                </c:pt>
                <c:pt idx="18">
                  <c:v>96.990420734020717</c:v>
                </c:pt>
                <c:pt idx="19">
                  <c:v>97.113019224797767</c:v>
                </c:pt>
                <c:pt idx="20">
                  <c:v>97.237276350647505</c:v>
                </c:pt>
                <c:pt idx="21">
                  <c:v>97.363235399399812</c:v>
                </c:pt>
                <c:pt idx="22">
                  <c:v>97.490941346413152</c:v>
                </c:pt>
                <c:pt idx="23">
                  <c:v>97.620440942659471</c:v>
                </c:pt>
                <c:pt idx="24">
                  <c:v>97.751782808600353</c:v>
                </c:pt>
                <c:pt idx="25">
                  <c:v>97.885017534316518</c:v>
                </c:pt>
                <c:pt idx="26">
                  <c:v>98.020197786394661</c:v>
                </c:pt>
                <c:pt idx="27">
                  <c:v>98.157378422125802</c:v>
                </c:pt>
                <c:pt idx="28">
                  <c:v>98.296616611619029</c:v>
                </c:pt>
                <c:pt idx="29">
                  <c:v>98.437971968498047</c:v>
                </c:pt>
                <c:pt idx="30">
                  <c:v>98.581506689910839</c:v>
                </c:pt>
                <c:pt idx="31">
                  <c:v>98.727285706657611</c:v>
                </c:pt>
                <c:pt idx="32">
                  <c:v>98.875376844324165</c:v>
                </c:pt>
                <c:pt idx="33">
                  <c:v>99.025850996399285</c:v>
                </c:pt>
                <c:pt idx="34">
                  <c:v>99.178782310458359</c:v>
                </c:pt>
                <c:pt idx="35">
                  <c:v>99.334248388609993</c:v>
                </c:pt>
                <c:pt idx="36">
                  <c:v>99.492330503531889</c:v>
                </c:pt>
                <c:pt idx="37">
                  <c:v>99.653113831569428</c:v>
                </c:pt>
                <c:pt idx="38">
                  <c:v>99.816687704532654</c:v>
                </c:pt>
                <c:pt idx="39">
                  <c:v>99.983145882015521</c:v>
                </c:pt>
                <c:pt idx="40">
                  <c:v>100.15258684626872</c:v>
                </c:pt>
                <c:pt idx="41">
                  <c:v>100.32511412189787</c:v>
                </c:pt>
                <c:pt idx="42">
                  <c:v>100.50083662292867</c:v>
                </c:pt>
                <c:pt idx="43">
                  <c:v>100.67986903008686</c:v>
                </c:pt>
                <c:pt idx="44">
                  <c:v>100.86233220149603</c:v>
                </c:pt>
                <c:pt idx="45">
                  <c:v>101.04835362039346</c:v>
                </c:pt>
                <c:pt idx="46">
                  <c:v>101.23806788392655</c:v>
                </c:pt>
                <c:pt idx="47">
                  <c:v>101.43161723762218</c:v>
                </c:pt>
                <c:pt idx="48">
                  <c:v>101.62915216072484</c:v>
                </c:pt>
                <c:pt idx="49">
                  <c:v>101.83083200830703</c:v>
                </c:pt>
                <c:pt idx="50">
                  <c:v>102.03682571686129</c:v>
                </c:pt>
                <c:pt idx="51">
                  <c:v>102.24731258103184</c:v>
                </c:pt>
                <c:pt idx="52">
                  <c:v>102.46248311023288</c:v>
                </c:pt>
                <c:pt idx="53">
                  <c:v>102.68253997518396</c:v>
                </c:pt>
                <c:pt idx="54">
                  <c:v>102.90769905588662</c:v>
                </c:pt>
                <c:pt idx="55">
                  <c:v>103.13819060432414</c:v>
                </c:pt>
                <c:pt idx="56">
                  <c:v>103.37426053722994</c:v>
                </c:pt>
                <c:pt idx="57">
                  <c:v>103.61617187672097</c:v>
                </c:pt>
                <c:pt idx="58">
                  <c:v>103.86420635948264</c:v>
                </c:pt>
                <c:pt idx="59">
                  <c:v>104.11866623864455</c:v>
                </c:pt>
                <c:pt idx="60">
                  <c:v>104.37987630660572</c:v>
                </c:pt>
                <c:pt idx="61">
                  <c:v>104.64818617200729</c:v>
                </c:pt>
                <c:pt idx="62">
                  <c:v>104.92397283000709</c:v>
                </c:pt>
                <c:pt idx="63">
                  <c:v>105.20764357220854</c:v>
                </c:pt>
                <c:pt idx="64">
                  <c:v>105.49963929135312</c:v>
                </c:pt>
                <c:pt idx="65">
                  <c:v>105.80043824657086</c:v>
                </c:pt>
                <c:pt idx="66">
                  <c:v>106.11056036811196</c:v>
                </c:pt>
                <c:pt idx="67">
                  <c:v>106.43057219667152</c:v>
                </c:pt>
                <c:pt idx="68">
                  <c:v>106.76109257252088</c:v>
                </c:pt>
                <c:pt idx="69">
                  <c:v>107.10279921474825</c:v>
                </c:pt>
                <c:pt idx="70">
                  <c:v>107.45643636243774</c:v>
                </c:pt>
                <c:pt idx="71">
                  <c:v>107.82282368947781</c:v>
                </c:pt>
                <c:pt idx="72">
                  <c:v>108.20286675547243</c:v>
                </c:pt>
                <c:pt idx="73">
                  <c:v>108.59756932037675</c:v>
                </c:pt>
                <c:pt idx="74">
                  <c:v>109.00804793476323</c:v>
                </c:pt>
                <c:pt idx="75">
                  <c:v>109.43554932755582</c:v>
                </c:pt>
                <c:pt idx="76">
                  <c:v>109.88147125779867</c:v>
                </c:pt>
                <c:pt idx="77">
                  <c:v>110.34738768939637</c:v>
                </c:pt>
                <c:pt idx="78">
                  <c:v>110.83507940616312</c:v>
                </c:pt>
                <c:pt idx="79">
                  <c:v>111.34657153553113</c:v>
                </c:pt>
                <c:pt idx="80">
                  <c:v>111.88417993191403</c:v>
                </c:pt>
                <c:pt idx="81">
                  <c:v>112.45056904315292</c:v>
                </c:pt>
                <c:pt idx="82">
                  <c:v>113.04882483382251</c:v>
                </c:pt>
                <c:pt idx="83">
                  <c:v>113.68254770344292</c:v>
                </c:pt>
                <c:pt idx="84">
                  <c:v>114.35597232990031</c:v>
                </c:pt>
                <c:pt idx="85">
                  <c:v>115.07412433301974</c:v>
                </c:pt>
                <c:pt idx="86">
                  <c:v>115.84302815775627</c:v>
                </c:pt>
                <c:pt idx="87">
                  <c:v>116.66998758126199</c:v>
                </c:pt>
                <c:pt idx="88">
                  <c:v>117.56397142748014</c:v>
                </c:pt>
                <c:pt idx="89">
                  <c:v>118.53615544502372</c:v>
                </c:pt>
                <c:pt idx="90">
                  <c:v>119.60070251904038</c:v>
                </c:pt>
                <c:pt idx="91">
                  <c:v>120.77591849013467</c:v>
                </c:pt>
                <c:pt idx="92">
                  <c:v>122.08602253796059</c:v>
                </c:pt>
                <c:pt idx="93">
                  <c:v>123.56396879268547</c:v>
                </c:pt>
                <c:pt idx="94">
                  <c:v>125.25616500356004</c:v>
                </c:pt>
                <c:pt idx="95">
                  <c:v>127.23084791426768</c:v>
                </c:pt>
                <c:pt idx="96">
                  <c:v>129.59412009555516</c:v>
                </c:pt>
                <c:pt idx="97">
                  <c:v>132.52389452575318</c:v>
                </c:pt>
                <c:pt idx="98">
                  <c:v>136.3525279309255</c:v>
                </c:pt>
                <c:pt idx="99">
                  <c:v>141.81553165397281</c:v>
                </c:pt>
                <c:pt idx="100">
                  <c:v>151.14327442523762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1919-480C-AFDB-4DD5B325C5B6}"/>
            </c:ext>
          </c:extLst>
        </c:ser>
        <c:ser>
          <c:idx val="10"/>
          <c:order val="10"/>
          <c:tx>
            <c:v>lower 95% confidence</c:v>
          </c:tx>
          <c:spPr>
            <a:ln w="12700" cap="rnd">
              <a:solidFill>
                <a:schemeClr val="accent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'all drops (m;velo)'!$N$2:$N$102</c:f>
              <c:numCache>
                <c:formatCode>0.000</c:formatCode>
                <c:ptCount val="101"/>
                <c:pt idx="0">
                  <c:v>40.110811626846086</c:v>
                </c:pt>
                <c:pt idx="1">
                  <c:v>39.714421672464923</c:v>
                </c:pt>
                <c:pt idx="2">
                  <c:v>39.318031718083802</c:v>
                </c:pt>
                <c:pt idx="3">
                  <c:v>38.921641763702667</c:v>
                </c:pt>
                <c:pt idx="4">
                  <c:v>38.525251809321517</c:v>
                </c:pt>
                <c:pt idx="5">
                  <c:v>38.128861854940368</c:v>
                </c:pt>
                <c:pt idx="6">
                  <c:v>37.732471900559233</c:v>
                </c:pt>
                <c:pt idx="7">
                  <c:v>37.336081946178105</c:v>
                </c:pt>
                <c:pt idx="8">
                  <c:v>36.939691991796941</c:v>
                </c:pt>
                <c:pt idx="9">
                  <c:v>36.543302037415827</c:v>
                </c:pt>
                <c:pt idx="10">
                  <c:v>36.146912083034685</c:v>
                </c:pt>
                <c:pt idx="11">
                  <c:v>35.750522128653536</c:v>
                </c:pt>
                <c:pt idx="12">
                  <c:v>35.354132174272387</c:v>
                </c:pt>
                <c:pt idx="13">
                  <c:v>34.957742219891266</c:v>
                </c:pt>
                <c:pt idx="14">
                  <c:v>34.561352265510102</c:v>
                </c:pt>
                <c:pt idx="15">
                  <c:v>34.16496231112896</c:v>
                </c:pt>
                <c:pt idx="16">
                  <c:v>33.768572356747846</c:v>
                </c:pt>
                <c:pt idx="17">
                  <c:v>33.372182402366704</c:v>
                </c:pt>
                <c:pt idx="18">
                  <c:v>32.975792447985548</c:v>
                </c:pt>
                <c:pt idx="19">
                  <c:v>32.579402493604412</c:v>
                </c:pt>
                <c:pt idx="20">
                  <c:v>32.183012539223263</c:v>
                </c:pt>
                <c:pt idx="21">
                  <c:v>31.786622584842132</c:v>
                </c:pt>
                <c:pt idx="22">
                  <c:v>31.390232630460993</c:v>
                </c:pt>
                <c:pt idx="23">
                  <c:v>30.993842676079861</c:v>
                </c:pt>
                <c:pt idx="24">
                  <c:v>30.597452721698716</c:v>
                </c:pt>
                <c:pt idx="25">
                  <c:v>30.201062767317563</c:v>
                </c:pt>
                <c:pt idx="26">
                  <c:v>29.804672812936445</c:v>
                </c:pt>
                <c:pt idx="27">
                  <c:v>29.408282858555292</c:v>
                </c:pt>
                <c:pt idx="28">
                  <c:v>29.011892904174147</c:v>
                </c:pt>
                <c:pt idx="29">
                  <c:v>28.615502949793008</c:v>
                </c:pt>
                <c:pt idx="30">
                  <c:v>28.219112995411866</c:v>
                </c:pt>
                <c:pt idx="31">
                  <c:v>27.822723041030731</c:v>
                </c:pt>
                <c:pt idx="32">
                  <c:v>27.426333086649588</c:v>
                </c:pt>
                <c:pt idx="33">
                  <c:v>27.029943132268446</c:v>
                </c:pt>
                <c:pt idx="34">
                  <c:v>26.633553177887304</c:v>
                </c:pt>
                <c:pt idx="35">
                  <c:v>26.237163223506176</c:v>
                </c:pt>
                <c:pt idx="36">
                  <c:v>25.840773269125037</c:v>
                </c:pt>
                <c:pt idx="37">
                  <c:v>25.444383314743888</c:v>
                </c:pt>
                <c:pt idx="38">
                  <c:v>25.047993360362739</c:v>
                </c:pt>
                <c:pt idx="39">
                  <c:v>24.651603405981618</c:v>
                </c:pt>
                <c:pt idx="40">
                  <c:v>24.255213451600461</c:v>
                </c:pt>
                <c:pt idx="41">
                  <c:v>23.858823497219319</c:v>
                </c:pt>
                <c:pt idx="42">
                  <c:v>23.462433542838188</c:v>
                </c:pt>
                <c:pt idx="43">
                  <c:v>23.066043588457042</c:v>
                </c:pt>
                <c:pt idx="44">
                  <c:v>22.669653634075907</c:v>
                </c:pt>
                <c:pt idx="45">
                  <c:v>22.273263679694775</c:v>
                </c:pt>
                <c:pt idx="46">
                  <c:v>21.876873725313622</c:v>
                </c:pt>
                <c:pt idx="47">
                  <c:v>21.480483770932484</c:v>
                </c:pt>
                <c:pt idx="48">
                  <c:v>21.084093816551341</c:v>
                </c:pt>
                <c:pt idx="49">
                  <c:v>20.687703862170203</c:v>
                </c:pt>
                <c:pt idx="50">
                  <c:v>20.291313907789068</c:v>
                </c:pt>
                <c:pt idx="51">
                  <c:v>19.894923953407933</c:v>
                </c:pt>
                <c:pt idx="52">
                  <c:v>19.49853399902679</c:v>
                </c:pt>
                <c:pt idx="53">
                  <c:v>19.102144044645645</c:v>
                </c:pt>
                <c:pt idx="54">
                  <c:v>18.705754090264502</c:v>
                </c:pt>
                <c:pt idx="55">
                  <c:v>18.309364135883364</c:v>
                </c:pt>
                <c:pt idx="56">
                  <c:v>17.912974181502225</c:v>
                </c:pt>
                <c:pt idx="57">
                  <c:v>17.51658422712109</c:v>
                </c:pt>
                <c:pt idx="58">
                  <c:v>17.120194272739941</c:v>
                </c:pt>
                <c:pt idx="59">
                  <c:v>16.723804318358809</c:v>
                </c:pt>
                <c:pt idx="60">
                  <c:v>16.32741436397766</c:v>
                </c:pt>
                <c:pt idx="61">
                  <c:v>15.931024409596523</c:v>
                </c:pt>
                <c:pt idx="62">
                  <c:v>15.534634455215388</c:v>
                </c:pt>
                <c:pt idx="63">
                  <c:v>15.138244500834238</c:v>
                </c:pt>
                <c:pt idx="64">
                  <c:v>14.741854546453107</c:v>
                </c:pt>
                <c:pt idx="65">
                  <c:v>14.345464592071965</c:v>
                </c:pt>
                <c:pt idx="66">
                  <c:v>13.949074637690821</c:v>
                </c:pt>
                <c:pt idx="67">
                  <c:v>13.552684683309678</c:v>
                </c:pt>
                <c:pt idx="68">
                  <c:v>13.156294728928538</c:v>
                </c:pt>
                <c:pt idx="69">
                  <c:v>12.759904774547405</c:v>
                </c:pt>
                <c:pt idx="70">
                  <c:v>12.363514820166262</c:v>
                </c:pt>
                <c:pt idx="71">
                  <c:v>11.967124865785124</c:v>
                </c:pt>
                <c:pt idx="72">
                  <c:v>11.570734911403981</c:v>
                </c:pt>
                <c:pt idx="73">
                  <c:v>11.174344957022839</c:v>
                </c:pt>
                <c:pt idx="74">
                  <c:v>10.777955002641708</c:v>
                </c:pt>
                <c:pt idx="75">
                  <c:v>10.381565048260557</c:v>
                </c:pt>
                <c:pt idx="76">
                  <c:v>9.9851750938794233</c:v>
                </c:pt>
                <c:pt idx="77">
                  <c:v>9.588785139498281</c:v>
                </c:pt>
                <c:pt idx="78">
                  <c:v>9.1923951851171388</c:v>
                </c:pt>
                <c:pt idx="79">
                  <c:v>8.7960052307360002</c:v>
                </c:pt>
                <c:pt idx="80">
                  <c:v>8.3996152763548562</c:v>
                </c:pt>
                <c:pt idx="81">
                  <c:v>8.0032253219737175</c:v>
                </c:pt>
                <c:pt idx="82">
                  <c:v>7.6068353675925833</c:v>
                </c:pt>
                <c:pt idx="83">
                  <c:v>7.2104454132114402</c:v>
                </c:pt>
                <c:pt idx="84">
                  <c:v>6.8140554588302971</c:v>
                </c:pt>
                <c:pt idx="85">
                  <c:v>6.417665504449162</c:v>
                </c:pt>
                <c:pt idx="86">
                  <c:v>6.0212755500680188</c:v>
                </c:pt>
                <c:pt idx="87">
                  <c:v>5.6248855956868775</c:v>
                </c:pt>
                <c:pt idx="88">
                  <c:v>5.2284956413057415</c:v>
                </c:pt>
                <c:pt idx="89">
                  <c:v>4.8321056869245931</c:v>
                </c:pt>
                <c:pt idx="90">
                  <c:v>4.435715732543458</c:v>
                </c:pt>
                <c:pt idx="91">
                  <c:v>4.0393257781623157</c:v>
                </c:pt>
                <c:pt idx="92">
                  <c:v>3.6429358237811731</c:v>
                </c:pt>
                <c:pt idx="93">
                  <c:v>3.246545869400038</c:v>
                </c:pt>
                <c:pt idx="94">
                  <c:v>2.8501559150188958</c:v>
                </c:pt>
                <c:pt idx="95">
                  <c:v>2.4537659606377535</c:v>
                </c:pt>
                <c:pt idx="96">
                  <c:v>2.057376006256618</c:v>
                </c:pt>
                <c:pt idx="97">
                  <c:v>1.6609860518754758</c:v>
                </c:pt>
                <c:pt idx="98">
                  <c:v>1.2645960974943335</c:v>
                </c:pt>
                <c:pt idx="99">
                  <c:v>0.86820614311319844</c:v>
                </c:pt>
                <c:pt idx="100">
                  <c:v>0.47181618873205616</c:v>
                </c:pt>
              </c:numCache>
            </c:numRef>
          </c:xVal>
          <c:yVal>
            <c:numRef>
              <c:f>'all drops (m;velo)'!$P$2:$P$102</c:f>
              <c:numCache>
                <c:formatCode>0</c:formatCode>
                <c:ptCount val="101"/>
                <c:pt idx="0">
                  <c:v>93.474074270639875</c:v>
                </c:pt>
                <c:pt idx="1">
                  <c:v>93.576874599860759</c:v>
                </c:pt>
                <c:pt idx="2">
                  <c:v>93.680816898581639</c:v>
                </c:pt>
                <c:pt idx="3">
                  <c:v>93.785925507247924</c:v>
                </c:pt>
                <c:pt idx="4">
                  <c:v>93.892225538353145</c:v>
                </c:pt>
                <c:pt idx="5">
                  <c:v>93.99974290911662</c:v>
                </c:pt>
                <c:pt idx="6">
                  <c:v>94.108504375897411</c:v>
                </c:pt>
                <c:pt idx="7">
                  <c:v>94.218537570456633</c:v>
                </c:pt>
                <c:pt idx="8">
                  <c:v>94.329871038186965</c:v>
                </c:pt>
                <c:pt idx="9">
                  <c:v>94.442534278439311</c:v>
                </c:pt>
                <c:pt idx="10">
                  <c:v>94.556557787084898</c:v>
                </c:pt>
                <c:pt idx="11">
                  <c:v>94.671973101462982</c:v>
                </c:pt>
                <c:pt idx="12">
                  <c:v>94.788812847874794</c:v>
                </c:pt>
                <c:pt idx="13">
                  <c:v>94.907110791799312</c:v>
                </c:pt>
                <c:pt idx="14">
                  <c:v>95.026901891018696</c:v>
                </c:pt>
                <c:pt idx="15">
                  <c:v>95.148222351856077</c:v>
                </c:pt>
                <c:pt idx="16">
                  <c:v>95.271109688748837</c:v>
                </c:pt>
                <c:pt idx="17">
                  <c:v>95.395602787392946</c:v>
                </c:pt>
                <c:pt idx="18">
                  <c:v>95.52174197172063</c:v>
                </c:pt>
                <c:pt idx="19">
                  <c:v>95.649569074989486</c:v>
                </c:pt>
                <c:pt idx="20">
                  <c:v>95.779127515291179</c:v>
                </c:pt>
                <c:pt idx="21">
                  <c:v>95.910462375810241</c:v>
                </c:pt>
                <c:pt idx="22">
                  <c:v>96.043620490194002</c:v>
                </c:pt>
                <c:pt idx="23">
                  <c:v>96.178650533429391</c:v>
                </c:pt>
                <c:pt idx="24">
                  <c:v>96.315603118654366</c:v>
                </c:pt>
                <c:pt idx="25">
                  <c:v>96.454530900373655</c:v>
                </c:pt>
                <c:pt idx="26">
                  <c:v>96.595488684592326</c:v>
                </c:pt>
                <c:pt idx="27">
                  <c:v>96.738533546426524</c:v>
                </c:pt>
                <c:pt idx="28">
                  <c:v>96.883724955807438</c:v>
                </c:pt>
                <c:pt idx="29">
                  <c:v>97.031124911952418</c:v>
                </c:pt>
                <c:pt idx="30">
                  <c:v>97.180798087342708</c:v>
                </c:pt>
                <c:pt idx="31">
                  <c:v>97.332811982022903</c:v>
                </c:pt>
                <c:pt idx="32">
                  <c:v>97.487237089118167</c:v>
                </c:pt>
                <c:pt idx="33">
                  <c:v>97.644147072555825</c:v>
                </c:pt>
                <c:pt idx="34">
                  <c:v>97.803618958083803</c:v>
                </c:pt>
                <c:pt idx="35">
                  <c:v>97.965733338789917</c:v>
                </c:pt>
                <c:pt idx="36">
                  <c:v>98.130574596456924</c:v>
                </c:pt>
                <c:pt idx="37">
                  <c:v>98.298231140231522</c:v>
                </c:pt>
                <c:pt idx="38">
                  <c:v>98.468795664251104</c:v>
                </c:pt>
                <c:pt idx="39">
                  <c:v>98.642365426052905</c:v>
                </c:pt>
                <c:pt idx="40">
                  <c:v>98.819042547799043</c:v>
                </c:pt>
                <c:pt idx="41">
                  <c:v>98.998934342586722</c:v>
                </c:pt>
                <c:pt idx="42">
                  <c:v>99.182153668377751</c:v>
                </c:pt>
                <c:pt idx="43">
                  <c:v>99.368819312384616</c:v>
                </c:pt>
                <c:pt idx="44">
                  <c:v>99.55905640909495</c:v>
                </c:pt>
                <c:pt idx="45">
                  <c:v>99.752996895508801</c:v>
                </c:pt>
                <c:pt idx="46">
                  <c:v>99.950780007611186</c:v>
                </c:pt>
                <c:pt idx="47">
                  <c:v>100.15255282261822</c:v>
                </c:pt>
                <c:pt idx="48">
                  <c:v>100.35847085212355</c:v>
                </c:pt>
                <c:pt idx="49">
                  <c:v>100.56869869195371</c:v>
                </c:pt>
                <c:pt idx="50">
                  <c:v>100.78341073532079</c:v>
                </c:pt>
                <c:pt idx="51">
                  <c:v>101.00279195677308</c:v>
                </c:pt>
                <c:pt idx="52">
                  <c:v>101.22703877548979</c:v>
                </c:pt>
                <c:pt idx="53">
                  <c:v>101.45636000769186</c:v>
                </c:pt>
                <c:pt idx="54">
                  <c:v>101.69097791936555</c:v>
                </c:pt>
                <c:pt idx="55">
                  <c:v>101.93112939216148</c:v>
                </c:pt>
                <c:pt idx="56">
                  <c:v>102.17706721728609</c:v>
                </c:pt>
                <c:pt idx="57">
                  <c:v>102.42906153450703</c:v>
                </c:pt>
                <c:pt idx="58">
                  <c:v>102.68740143610336</c:v>
                </c:pt>
                <c:pt idx="59">
                  <c:v>102.9523967588169</c:v>
                </c:pt>
                <c:pt idx="60">
                  <c:v>103.22438009067787</c:v>
                </c:pt>
                <c:pt idx="61">
                  <c:v>103.50370902414979</c:v>
                </c:pt>
                <c:pt idx="62">
                  <c:v>103.7907686925019</c:v>
                </c:pt>
                <c:pt idx="63">
                  <c:v>104.08597463289725</c:v>
                </c:pt>
                <c:pt idx="64">
                  <c:v>104.38977602763083</c:v>
                </c:pt>
                <c:pt idx="65">
                  <c:v>104.70265938459428</c:v>
                </c:pt>
                <c:pt idx="66">
                  <c:v>105.02515272980386</c:v>
                </c:pt>
                <c:pt idx="67">
                  <c:v>105.35783039923601</c:v>
                </c:pt>
                <c:pt idx="68">
                  <c:v>105.701318534969</c:v>
                </c:pt>
                <c:pt idx="69">
                  <c:v>106.0563014126275</c:v>
                </c:pt>
                <c:pt idx="70">
                  <c:v>106.42352875454475</c:v>
                </c:pt>
                <c:pt idx="71">
                  <c:v>106.80382421746341</c:v>
                </c:pt>
                <c:pt idx="72">
                  <c:v>107.19809528706269</c:v>
                </c:pt>
                <c:pt idx="73">
                  <c:v>107.60734486693418</c:v>
                </c:pt>
                <c:pt idx="74">
                  <c:v>108.03268492065122</c:v>
                </c:pt>
                <c:pt idx="75">
                  <c:v>108.47535261755617</c:v>
                </c:pt>
                <c:pt idx="76">
                  <c:v>108.93672955319558</c:v>
                </c:pt>
                <c:pt idx="77">
                  <c:v>109.41836477440663</c:v>
                </c:pt>
                <c:pt idx="78">
                  <c:v>109.92200255198686</c:v>
                </c:pt>
                <c:pt idx="79">
                  <c:v>110.44961613276307</c:v>
                </c:pt>
                <c:pt idx="80">
                  <c:v>111.00344910083228</c:v>
                </c:pt>
                <c:pt idx="81">
                  <c:v>111.58606653531051</c:v>
                </c:pt>
                <c:pt idx="82">
                  <c:v>112.20041894797762</c:v>
                </c:pt>
                <c:pt idx="83">
                  <c:v>112.84992314452312</c:v>
                </c:pt>
                <c:pt idx="84">
                  <c:v>113.53856588265447</c:v>
                </c:pt>
                <c:pt idx="85">
                  <c:v>114.2710388400029</c:v>
                </c:pt>
                <c:pt idx="86">
                  <c:v>115.05291753209478</c:v>
                </c:pt>
                <c:pt idx="87">
                  <c:v>115.89090342978785</c:v>
                </c:pt>
                <c:pt idx="88">
                  <c:v>116.79315935149388</c:v>
                </c:pt>
                <c:pt idx="89">
                  <c:v>117.7697863168477</c:v>
                </c:pt>
                <c:pt idx="90">
                  <c:v>118.83352097228241</c:v>
                </c:pt>
                <c:pt idx="91">
                  <c:v>120.00078671570918</c:v>
                </c:pt>
                <c:pt idx="92">
                  <c:v>121.29332900259895</c:v>
                </c:pt>
                <c:pt idx="93">
                  <c:v>122.74084941100726</c:v>
                </c:pt>
                <c:pt idx="94">
                  <c:v>124.38542655337294</c:v>
                </c:pt>
                <c:pt idx="95">
                  <c:v>126.28934170940927</c:v>
                </c:pt>
                <c:pt idx="96">
                  <c:v>128.54997512419362</c:v>
                </c:pt>
                <c:pt idx="97">
                  <c:v>131.33116138185929</c:v>
                </c:pt>
                <c:pt idx="98">
                  <c:v>134.9392397367632</c:v>
                </c:pt>
                <c:pt idx="99">
                  <c:v>140.05141062984552</c:v>
                </c:pt>
                <c:pt idx="100">
                  <c:v>148.7155946458158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9A-454E-916C-B1E38518B5BD}"/>
            </c:ext>
          </c:extLst>
        </c:ser>
        <c:ser>
          <c:idx val="11"/>
          <c:order val="11"/>
          <c:tx>
            <c:v>upper 95% confidence</c:v>
          </c:tx>
          <c:spPr>
            <a:ln w="15875" cap="rnd">
              <a:solidFill>
                <a:schemeClr val="accent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'all drops (m;velo)'!$N$104:$N$204</c:f>
              <c:numCache>
                <c:formatCode>0.000</c:formatCode>
                <c:ptCount val="101"/>
                <c:pt idx="0">
                  <c:v>40.110811626846086</c:v>
                </c:pt>
                <c:pt idx="1">
                  <c:v>39.714421672464923</c:v>
                </c:pt>
                <c:pt idx="2">
                  <c:v>39.318031718083802</c:v>
                </c:pt>
                <c:pt idx="3">
                  <c:v>38.921641763702667</c:v>
                </c:pt>
                <c:pt idx="4">
                  <c:v>38.525251809321517</c:v>
                </c:pt>
                <c:pt idx="5">
                  <c:v>38.128861854940368</c:v>
                </c:pt>
                <c:pt idx="6">
                  <c:v>37.732471900559233</c:v>
                </c:pt>
                <c:pt idx="7">
                  <c:v>37.336081946178105</c:v>
                </c:pt>
                <c:pt idx="8">
                  <c:v>36.939691991796941</c:v>
                </c:pt>
                <c:pt idx="9">
                  <c:v>36.543302037415827</c:v>
                </c:pt>
                <c:pt idx="10">
                  <c:v>36.146912083034685</c:v>
                </c:pt>
                <c:pt idx="11">
                  <c:v>35.750522128653536</c:v>
                </c:pt>
                <c:pt idx="12">
                  <c:v>35.354132174272387</c:v>
                </c:pt>
                <c:pt idx="13">
                  <c:v>34.957742219891266</c:v>
                </c:pt>
                <c:pt idx="14">
                  <c:v>34.561352265510102</c:v>
                </c:pt>
                <c:pt idx="15">
                  <c:v>34.16496231112896</c:v>
                </c:pt>
                <c:pt idx="16">
                  <c:v>33.768572356747846</c:v>
                </c:pt>
                <c:pt idx="17">
                  <c:v>33.372182402366704</c:v>
                </c:pt>
                <c:pt idx="18">
                  <c:v>32.975792447985548</c:v>
                </c:pt>
                <c:pt idx="19">
                  <c:v>32.579402493604412</c:v>
                </c:pt>
                <c:pt idx="20">
                  <c:v>32.183012539223263</c:v>
                </c:pt>
                <c:pt idx="21">
                  <c:v>31.786622584842132</c:v>
                </c:pt>
                <c:pt idx="22">
                  <c:v>31.390232630460993</c:v>
                </c:pt>
                <c:pt idx="23">
                  <c:v>30.993842676079861</c:v>
                </c:pt>
                <c:pt idx="24">
                  <c:v>30.597452721698716</c:v>
                </c:pt>
                <c:pt idx="25">
                  <c:v>30.201062767317563</c:v>
                </c:pt>
                <c:pt idx="26">
                  <c:v>29.804672812936445</c:v>
                </c:pt>
                <c:pt idx="27">
                  <c:v>29.408282858555292</c:v>
                </c:pt>
                <c:pt idx="28">
                  <c:v>29.011892904174147</c:v>
                </c:pt>
                <c:pt idx="29">
                  <c:v>28.615502949793008</c:v>
                </c:pt>
                <c:pt idx="30">
                  <c:v>28.219112995411866</c:v>
                </c:pt>
                <c:pt idx="31">
                  <c:v>27.822723041030731</c:v>
                </c:pt>
                <c:pt idx="32">
                  <c:v>27.426333086649588</c:v>
                </c:pt>
                <c:pt idx="33">
                  <c:v>27.029943132268446</c:v>
                </c:pt>
                <c:pt idx="34">
                  <c:v>26.633553177887304</c:v>
                </c:pt>
                <c:pt idx="35">
                  <c:v>26.237163223506176</c:v>
                </c:pt>
                <c:pt idx="36">
                  <c:v>25.840773269125037</c:v>
                </c:pt>
                <c:pt idx="37">
                  <c:v>25.444383314743888</c:v>
                </c:pt>
                <c:pt idx="38">
                  <c:v>25.047993360362739</c:v>
                </c:pt>
                <c:pt idx="39">
                  <c:v>24.651603405981618</c:v>
                </c:pt>
                <c:pt idx="40">
                  <c:v>24.255213451600461</c:v>
                </c:pt>
                <c:pt idx="41">
                  <c:v>23.858823497219319</c:v>
                </c:pt>
                <c:pt idx="42">
                  <c:v>23.462433542838188</c:v>
                </c:pt>
                <c:pt idx="43">
                  <c:v>23.066043588457042</c:v>
                </c:pt>
                <c:pt idx="44">
                  <c:v>22.669653634075907</c:v>
                </c:pt>
                <c:pt idx="45">
                  <c:v>22.273263679694775</c:v>
                </c:pt>
                <c:pt idx="46">
                  <c:v>21.876873725313622</c:v>
                </c:pt>
                <c:pt idx="47">
                  <c:v>21.480483770932484</c:v>
                </c:pt>
                <c:pt idx="48">
                  <c:v>21.084093816551341</c:v>
                </c:pt>
                <c:pt idx="49">
                  <c:v>20.687703862170203</c:v>
                </c:pt>
                <c:pt idx="50">
                  <c:v>20.291313907789068</c:v>
                </c:pt>
                <c:pt idx="51">
                  <c:v>19.894923953407933</c:v>
                </c:pt>
                <c:pt idx="52">
                  <c:v>19.49853399902679</c:v>
                </c:pt>
                <c:pt idx="53">
                  <c:v>19.102144044645645</c:v>
                </c:pt>
                <c:pt idx="54">
                  <c:v>18.705754090264502</c:v>
                </c:pt>
                <c:pt idx="55">
                  <c:v>18.309364135883364</c:v>
                </c:pt>
                <c:pt idx="56">
                  <c:v>17.912974181502225</c:v>
                </c:pt>
                <c:pt idx="57">
                  <c:v>17.51658422712109</c:v>
                </c:pt>
                <c:pt idx="58">
                  <c:v>17.120194272739941</c:v>
                </c:pt>
                <c:pt idx="59">
                  <c:v>16.723804318358809</c:v>
                </c:pt>
                <c:pt idx="60">
                  <c:v>16.32741436397766</c:v>
                </c:pt>
                <c:pt idx="61">
                  <c:v>15.931024409596523</c:v>
                </c:pt>
                <c:pt idx="62">
                  <c:v>15.534634455215388</c:v>
                </c:pt>
                <c:pt idx="63">
                  <c:v>15.138244500834238</c:v>
                </c:pt>
                <c:pt idx="64">
                  <c:v>14.741854546453107</c:v>
                </c:pt>
                <c:pt idx="65">
                  <c:v>14.345464592071965</c:v>
                </c:pt>
                <c:pt idx="66">
                  <c:v>13.949074637690821</c:v>
                </c:pt>
                <c:pt idx="67">
                  <c:v>13.552684683309678</c:v>
                </c:pt>
                <c:pt idx="68">
                  <c:v>13.156294728928538</c:v>
                </c:pt>
                <c:pt idx="69">
                  <c:v>12.759904774547405</c:v>
                </c:pt>
                <c:pt idx="70">
                  <c:v>12.363514820166262</c:v>
                </c:pt>
                <c:pt idx="71">
                  <c:v>11.967124865785124</c:v>
                </c:pt>
                <c:pt idx="72">
                  <c:v>11.570734911403981</c:v>
                </c:pt>
                <c:pt idx="73">
                  <c:v>11.174344957022839</c:v>
                </c:pt>
                <c:pt idx="74">
                  <c:v>10.777955002641708</c:v>
                </c:pt>
                <c:pt idx="75">
                  <c:v>10.381565048260557</c:v>
                </c:pt>
                <c:pt idx="76">
                  <c:v>9.9851750938794233</c:v>
                </c:pt>
                <c:pt idx="77">
                  <c:v>9.588785139498281</c:v>
                </c:pt>
                <c:pt idx="78">
                  <c:v>9.1923951851171388</c:v>
                </c:pt>
                <c:pt idx="79">
                  <c:v>8.7960052307360002</c:v>
                </c:pt>
                <c:pt idx="80">
                  <c:v>8.3996152763548562</c:v>
                </c:pt>
                <c:pt idx="81">
                  <c:v>8.0032253219737175</c:v>
                </c:pt>
                <c:pt idx="82">
                  <c:v>7.6068353675925833</c:v>
                </c:pt>
                <c:pt idx="83">
                  <c:v>7.2104454132114402</c:v>
                </c:pt>
                <c:pt idx="84">
                  <c:v>6.8140554588302971</c:v>
                </c:pt>
                <c:pt idx="85">
                  <c:v>6.417665504449162</c:v>
                </c:pt>
                <c:pt idx="86">
                  <c:v>6.0212755500680188</c:v>
                </c:pt>
                <c:pt idx="87">
                  <c:v>5.6248855956868775</c:v>
                </c:pt>
                <c:pt idx="88">
                  <c:v>5.2284956413057415</c:v>
                </c:pt>
                <c:pt idx="89">
                  <c:v>4.8321056869245931</c:v>
                </c:pt>
                <c:pt idx="90">
                  <c:v>4.435715732543458</c:v>
                </c:pt>
                <c:pt idx="91">
                  <c:v>4.0393257781623157</c:v>
                </c:pt>
                <c:pt idx="92">
                  <c:v>3.6429358237811731</c:v>
                </c:pt>
                <c:pt idx="93">
                  <c:v>3.246545869400038</c:v>
                </c:pt>
                <c:pt idx="94">
                  <c:v>2.8501559150188958</c:v>
                </c:pt>
                <c:pt idx="95">
                  <c:v>2.4537659606377535</c:v>
                </c:pt>
                <c:pt idx="96">
                  <c:v>2.057376006256618</c:v>
                </c:pt>
                <c:pt idx="97">
                  <c:v>1.6609860518754758</c:v>
                </c:pt>
                <c:pt idx="98">
                  <c:v>1.2645960974943335</c:v>
                </c:pt>
                <c:pt idx="99">
                  <c:v>0.86820614311319844</c:v>
                </c:pt>
                <c:pt idx="100">
                  <c:v>0.47181618873205616</c:v>
                </c:pt>
              </c:numCache>
            </c:numRef>
          </c:xVal>
          <c:yVal>
            <c:numRef>
              <c:f>'all drops (m;velo)'!$P$104:$P$204</c:f>
              <c:numCache>
                <c:formatCode>0</c:formatCode>
                <c:ptCount val="101"/>
                <c:pt idx="0">
                  <c:v>96.604032295155321</c:v>
                </c:pt>
                <c:pt idx="1">
                  <c:v>96.698328550106069</c:v>
                </c:pt>
                <c:pt idx="2">
                  <c:v>96.793668288865064</c:v>
                </c:pt>
                <c:pt idx="3">
                  <c:v>96.890073807451245</c:v>
                </c:pt>
                <c:pt idx="4">
                  <c:v>96.987568112907752</c:v>
                </c:pt>
                <c:pt idx="5">
                  <c:v>97.086174953623001</c:v>
                </c:pt>
                <c:pt idx="6">
                  <c:v>97.185918851278288</c:v>
                </c:pt>
                <c:pt idx="7">
                  <c:v>97.286825134527007</c:v>
                </c:pt>
                <c:pt idx="8">
                  <c:v>97.388919974519538</c:v>
                </c:pt>
                <c:pt idx="9">
                  <c:v>97.492230422395991</c:v>
                </c:pt>
                <c:pt idx="10">
                  <c:v>97.596784448877855</c:v>
                </c:pt>
                <c:pt idx="11">
                  <c:v>97.70261098610311</c:v>
                </c:pt>
                <c:pt idx="12">
                  <c:v>97.809739971855507</c:v>
                </c:pt>
                <c:pt idx="13">
                  <c:v>97.918202396356378</c:v>
                </c:pt>
                <c:pt idx="14">
                  <c:v>98.028030351797796</c:v>
                </c:pt>
                <c:pt idx="15">
                  <c:v>98.139257084810993</c:v>
                </c:pt>
                <c:pt idx="16">
                  <c:v>98.251917052082518</c:v>
                </c:pt>
                <c:pt idx="17">
                  <c:v>98.366045979343951</c:v>
                </c:pt>
                <c:pt idx="18">
                  <c:v>98.481680923986374</c:v>
                </c:pt>
                <c:pt idx="19">
                  <c:v>98.598860341566862</c:v>
                </c:pt>
                <c:pt idx="20">
                  <c:v>98.717624156501998</c:v>
                </c:pt>
                <c:pt idx="21">
                  <c:v>98.838013837266288</c:v>
                </c:pt>
                <c:pt idx="22">
                  <c:v>98.960072476444907</c:v>
                </c:pt>
                <c:pt idx="23">
                  <c:v>99.083844876020009</c:v>
                </c:pt>
                <c:pt idx="24">
                  <c:v>99.209377638305924</c:v>
                </c:pt>
                <c:pt idx="25">
                  <c:v>99.336719262986179</c:v>
                </c:pt>
                <c:pt idx="26">
                  <c:v>99.465920250750457</c:v>
                </c:pt>
                <c:pt idx="27">
                  <c:v>99.59703321407558</c:v>
                </c:pt>
                <c:pt idx="28">
                  <c:v>99.730112995747703</c:v>
                </c:pt>
                <c:pt idx="29">
                  <c:v>99.865216795782786</c:v>
                </c:pt>
                <c:pt idx="30">
                  <c:v>100.00240430746889</c:v>
                </c:pt>
                <c:pt idx="31">
                  <c:v>100.14173786332464</c:v>
                </c:pt>
                <c:pt idx="32">
                  <c:v>100.28328259185399</c:v>
                </c:pt>
                <c:pt idx="33">
                  <c:v>100.42710658606605</c:v>
                </c:pt>
                <c:pt idx="34">
                  <c:v>100.57328108483324</c:v>
                </c:pt>
                <c:pt idx="35">
                  <c:v>100.7218806682791</c:v>
                </c:pt>
                <c:pt idx="36">
                  <c:v>100.8729834685124</c:v>
                </c:pt>
                <c:pt idx="37">
                  <c:v>101.02667139717508</c:v>
                </c:pt>
                <c:pt idx="38">
                  <c:v>101.18303039143782</c:v>
                </c:pt>
                <c:pt idx="39">
                  <c:v>101.34215068026077</c:v>
                </c:pt>
                <c:pt idx="40">
                  <c:v>101.50412707295357</c:v>
                </c:pt>
                <c:pt idx="41">
                  <c:v>101.66905927230862</c:v>
                </c:pt>
                <c:pt idx="42">
                  <c:v>101.83705221485728</c:v>
                </c:pt>
                <c:pt idx="43">
                  <c:v>102.00821644111163</c:v>
                </c:pt>
                <c:pt idx="44">
                  <c:v>102.18266849901158</c:v>
                </c:pt>
                <c:pt idx="45">
                  <c:v>102.36053138421344</c:v>
                </c:pt>
                <c:pt idx="46">
                  <c:v>102.54193502131803</c:v>
                </c:pt>
                <c:pt idx="47">
                  <c:v>102.72701679068913</c:v>
                </c:pt>
                <c:pt idx="48">
                  <c:v>102.91592210613295</c:v>
                </c:pt>
                <c:pt idx="49">
                  <c:v>103.10880504943515</c:v>
                </c:pt>
                <c:pt idx="50">
                  <c:v>103.30582906859573</c:v>
                </c:pt>
                <c:pt idx="51">
                  <c:v>103.50716774757608</c:v>
                </c:pt>
                <c:pt idx="52">
                  <c:v>103.71300565651612</c:v>
                </c:pt>
                <c:pt idx="53">
                  <c:v>103.92353929271546</c:v>
                </c:pt>
                <c:pt idx="54">
                  <c:v>104.13897812423554</c:v>
                </c:pt>
                <c:pt idx="55">
                  <c:v>104.35954574983764</c:v>
                </c:pt>
                <c:pt idx="56">
                  <c:v>104.58548119113787</c:v>
                </c:pt>
                <c:pt idx="57">
                  <c:v>104.81704033546424</c:v>
                </c:pt>
                <c:pt idx="58">
                  <c:v>105.05449755097585</c:v>
                </c:pt>
                <c:pt idx="59">
                  <c:v>105.29814749927964</c:v>
                </c:pt>
                <c:pt idx="60">
                  <c:v>105.54830717521787</c:v>
                </c:pt>
                <c:pt idx="61">
                  <c:v>105.80531820879898</c:v>
                </c:pt>
                <c:pt idx="62">
                  <c:v>106.06954947070726</c:v>
                </c:pt>
                <c:pt idx="63">
                  <c:v>106.34140003064874</c:v>
                </c:pt>
                <c:pt idx="64">
                  <c:v>106.62130252736239</c:v>
                </c:pt>
                <c:pt idx="65">
                  <c:v>106.90972702087331</c:v>
                </c:pt>
                <c:pt idx="66">
                  <c:v>107.20718541206685</c:v>
                </c:pt>
                <c:pt idx="67">
                  <c:v>107.51423653265594</c:v>
                </c:pt>
                <c:pt idx="68">
                  <c:v>107.83149203108204</c:v>
                </c:pt>
                <c:pt idx="69">
                  <c:v>108.15962320810191</c:v>
                </c:pt>
                <c:pt idx="70">
                  <c:v>108.49936899147896</c:v>
                </c:pt>
                <c:pt idx="71">
                  <c:v>108.85154528456752</c:v>
                </c:pt>
                <c:pt idx="72">
                  <c:v>109.2170559817352</c:v>
                </c:pt>
                <c:pt idx="73">
                  <c:v>109.59690601861458</c:v>
                </c:pt>
                <c:pt idx="74">
                  <c:v>109.99221692282661</c:v>
                </c:pt>
                <c:pt idx="75">
                  <c:v>110.4042454588492</c:v>
                </c:pt>
                <c:pt idx="76">
                  <c:v>110.83440613005115</c:v>
                </c:pt>
                <c:pt idx="77">
                  <c:v>111.28429852684188</c:v>
                </c:pt>
                <c:pt idx="78">
                  <c:v>111.75574081413468</c:v>
                </c:pt>
                <c:pt idx="79">
                  <c:v>112.25081106496921</c:v>
                </c:pt>
                <c:pt idx="80">
                  <c:v>112.77189871520008</c:v>
                </c:pt>
                <c:pt idx="81">
                  <c:v>113.32176920249672</c:v>
                </c:pt>
                <c:pt idx="82">
                  <c:v>113.90364595905673</c:v>
                </c:pt>
                <c:pt idx="83">
                  <c:v>114.52131549788118</c:v>
                </c:pt>
                <c:pt idx="84">
                  <c:v>115.17926359077582</c:v>
                </c:pt>
                <c:pt idx="85">
                  <c:v>115.88285383098868</c:v>
                </c:pt>
                <c:pt idx="86">
                  <c:v>116.63856476316842</c:v>
                </c:pt>
                <c:pt idx="87">
                  <c:v>117.45430917672108</c:v>
                </c:pt>
                <c:pt idx="88">
                  <c:v>118.3398707128525</c:v>
                </c:pt>
                <c:pt idx="89">
                  <c:v>119.30751160475504</c:v>
                </c:pt>
                <c:pt idx="90">
                  <c:v>120.3728369403819</c:v>
                </c:pt>
                <c:pt idx="91">
                  <c:v>121.55605714229961</c:v>
                </c:pt>
                <c:pt idx="92">
                  <c:v>122.88389659764431</c:v>
                </c:pt>
                <c:pt idx="93">
                  <c:v>124.39260814200064</c:v>
                </c:pt>
                <c:pt idx="94">
                  <c:v>126.13299890616182</c:v>
                </c:pt>
                <c:pt idx="95">
                  <c:v>128.1793731907419</c:v>
                </c:pt>
                <c:pt idx="96">
                  <c:v>130.6467461165642</c:v>
                </c:pt>
                <c:pt idx="97">
                  <c:v>133.72745992253809</c:v>
                </c:pt>
                <c:pt idx="98">
                  <c:v>137.7806182206358</c:v>
                </c:pt>
                <c:pt idx="99">
                  <c:v>143.60187396793768</c:v>
                </c:pt>
                <c:pt idx="100">
                  <c:v>153.61058440702945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9A-454E-916C-B1E38518B5BD}"/>
            </c:ext>
          </c:extLst>
        </c:ser>
        <c:ser>
          <c:idx val="12"/>
          <c:order val="12"/>
          <c:tx>
            <c:v>EXTRAPOLATED FIT</c:v>
          </c:tx>
          <c:spPr>
            <a:ln w="127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'all drops (m;velo)'!$A$188:$A$231</c:f>
              <c:numCache>
                <c:formatCode>0.00E+00</c:formatCode>
                <c:ptCount val="44"/>
                <c:pt idx="0">
                  <c:v>0.30000000000000004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  <c:pt idx="5">
                  <c:v>0.79999999999999993</c:v>
                </c:pt>
                <c:pt idx="6">
                  <c:v>0.89999999999999991</c:v>
                </c:pt>
                <c:pt idx="7">
                  <c:v>0.99999999999999989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20</c:v>
                </c:pt>
                <c:pt idx="18">
                  <c:v>30</c:v>
                </c:pt>
                <c:pt idx="19">
                  <c:v>40</c:v>
                </c:pt>
                <c:pt idx="20">
                  <c:v>50</c:v>
                </c:pt>
                <c:pt idx="21">
                  <c:v>60</c:v>
                </c:pt>
                <c:pt idx="22">
                  <c:v>70</c:v>
                </c:pt>
                <c:pt idx="23">
                  <c:v>80</c:v>
                </c:pt>
                <c:pt idx="24">
                  <c:v>90</c:v>
                </c:pt>
                <c:pt idx="25">
                  <c:v>100</c:v>
                </c:pt>
                <c:pt idx="26">
                  <c:v>200</c:v>
                </c:pt>
                <c:pt idx="27">
                  <c:v>300</c:v>
                </c:pt>
                <c:pt idx="28">
                  <c:v>400</c:v>
                </c:pt>
                <c:pt idx="29">
                  <c:v>500</c:v>
                </c:pt>
                <c:pt idx="30">
                  <c:v>600</c:v>
                </c:pt>
                <c:pt idx="31">
                  <c:v>700</c:v>
                </c:pt>
                <c:pt idx="32">
                  <c:v>800</c:v>
                </c:pt>
                <c:pt idx="33">
                  <c:v>900</c:v>
                </c:pt>
                <c:pt idx="34">
                  <c:v>1000</c:v>
                </c:pt>
                <c:pt idx="35">
                  <c:v>2000</c:v>
                </c:pt>
                <c:pt idx="36">
                  <c:v>3000</c:v>
                </c:pt>
                <c:pt idx="37">
                  <c:v>4000</c:v>
                </c:pt>
                <c:pt idx="38">
                  <c:v>5000</c:v>
                </c:pt>
                <c:pt idx="39">
                  <c:v>6000</c:v>
                </c:pt>
                <c:pt idx="40">
                  <c:v>7000</c:v>
                </c:pt>
                <c:pt idx="41">
                  <c:v>8000</c:v>
                </c:pt>
                <c:pt idx="42">
                  <c:v>9000</c:v>
                </c:pt>
                <c:pt idx="43">
                  <c:v>10000</c:v>
                </c:pt>
              </c:numCache>
            </c:numRef>
          </c:xVal>
          <c:yVal>
            <c:numRef>
              <c:f>'all drops (m;velo)'!$B$188:$B$231</c:f>
              <c:numCache>
                <c:formatCode>#,##0.000</c:formatCode>
                <c:ptCount val="44"/>
                <c:pt idx="0">
                  <c:v>158.46383333173321</c:v>
                </c:pt>
                <c:pt idx="1">
                  <c:v>153.77283627882366</c:v>
                </c:pt>
                <c:pt idx="2">
                  <c:v>150.23006156179588</c:v>
                </c:pt>
                <c:pt idx="3">
                  <c:v>147.3960794655957</c:v>
                </c:pt>
                <c:pt idx="4">
                  <c:v>145.04173112786245</c:v>
                </c:pt>
                <c:pt idx="5">
                  <c:v>143.03272058523805</c:v>
                </c:pt>
                <c:pt idx="6">
                  <c:v>141.28375835140969</c:v>
                </c:pt>
                <c:pt idx="7">
                  <c:v>139.73738755724955</c:v>
                </c:pt>
                <c:pt idx="8">
                  <c:v>129.97756426594341</c:v>
                </c:pt>
                <c:pt idx="9">
                  <c:v>124.58756601555821</c:v>
                </c:pt>
                <c:pt idx="10">
                  <c:v>120.8994064354181</c:v>
                </c:pt>
                <c:pt idx="11">
                  <c:v>118.11400316922338</c:v>
                </c:pt>
                <c:pt idx="12">
                  <c:v>115.88586742320678</c:v>
                </c:pt>
                <c:pt idx="13">
                  <c:v>114.03482972719883</c:v>
                </c:pt>
                <c:pt idx="14">
                  <c:v>112.45530379788983</c:v>
                </c:pt>
                <c:pt idx="15">
                  <c:v>111.0802332648575</c:v>
                </c:pt>
                <c:pt idx="16">
                  <c:v>109.86444434096697</c:v>
                </c:pt>
                <c:pt idx="17">
                  <c:v>102.19106800618987</c:v>
                </c:pt>
                <c:pt idx="18">
                  <c:v>97.953339126832191</c:v>
                </c:pt>
                <c:pt idx="19">
                  <c:v>95.05363125339781</c:v>
                </c:pt>
                <c:pt idx="20">
                  <c:v>92.863689195259468</c:v>
                </c:pt>
                <c:pt idx="21">
                  <c:v>91.111882467428174</c:v>
                </c:pt>
                <c:pt idx="22">
                  <c:v>89.65655808015363</c:v>
                </c:pt>
                <c:pt idx="23">
                  <c:v>88.414701898502983</c:v>
                </c:pt>
                <c:pt idx="24">
                  <c:v>87.333592807499414</c:v>
                </c:pt>
                <c:pt idx="25">
                  <c:v>86.377714234884664</c:v>
                </c:pt>
                <c:pt idx="26">
                  <c:v>80.344745950759361</c:v>
                </c:pt>
                <c:pt idx="27">
                  <c:v>77.012955248664284</c:v>
                </c:pt>
                <c:pt idx="28">
                  <c:v>74.733144527746973</c:v>
                </c:pt>
                <c:pt idx="29">
                  <c:v>73.011366472767151</c:v>
                </c:pt>
                <c:pt idx="30">
                  <c:v>71.634059539308822</c:v>
                </c:pt>
                <c:pt idx="31">
                  <c:v>70.489853196691556</c:v>
                </c:pt>
                <c:pt idx="32">
                  <c:v>69.513480003135555</c:v>
                </c:pt>
                <c:pt idx="33">
                  <c:v>68.663489520048728</c:v>
                </c:pt>
                <c:pt idx="34">
                  <c:v>67.911957878635093</c:v>
                </c:pt>
                <c:pt idx="35">
                  <c:v>63.168712567922846</c:v>
                </c:pt>
                <c:pt idx="36">
                  <c:v>60.549189328330939</c:v>
                </c:pt>
                <c:pt idx="37">
                  <c:v>58.75675465902281</c:v>
                </c:pt>
                <c:pt idx="38">
                  <c:v>57.403056893553064</c:v>
                </c:pt>
                <c:pt idx="39">
                  <c:v>56.320189497958111</c:v>
                </c:pt>
                <c:pt idx="40">
                  <c:v>55.420590641556451</c:v>
                </c:pt>
                <c:pt idx="41">
                  <c:v>54.652945702327166</c:v>
                </c:pt>
                <c:pt idx="42">
                  <c:v>53.984665482180745</c:v>
                </c:pt>
                <c:pt idx="43">
                  <c:v>53.39379565391279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29A-454E-916C-B1E38518B5BD}"/>
            </c:ext>
          </c:extLst>
        </c:ser>
        <c:ser>
          <c:idx val="13"/>
          <c:order val="13"/>
          <c:tx>
            <c:v>"N=c*S^-m"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'all drops (m;velo)'!$A$235:$A$261</c:f>
              <c:numCache>
                <c:formatCode>0.00E+00</c:formatCode>
                <c:ptCount val="27"/>
                <c:pt idx="0">
                  <c:v>18751.784924219097</c:v>
                </c:pt>
                <c:pt idx="1">
                  <c:v>7529.5920953945724</c:v>
                </c:pt>
                <c:pt idx="2">
                  <c:v>3273.4387635623116</c:v>
                </c:pt>
                <c:pt idx="3">
                  <c:v>1521.2851673501302</c:v>
                </c:pt>
                <c:pt idx="4">
                  <c:v>748.32782264583238</c:v>
                </c:pt>
                <c:pt idx="5">
                  <c:v>386.5807369951325</c:v>
                </c:pt>
                <c:pt idx="6">
                  <c:v>208.40511826968674</c:v>
                </c:pt>
                <c:pt idx="7">
                  <c:v>116.6404998516231</c:v>
                </c:pt>
                <c:pt idx="8">
                  <c:v>67.48415549988249</c:v>
                </c:pt>
                <c:pt idx="9">
                  <c:v>40.216707745328534</c:v>
                </c:pt>
                <c:pt idx="10">
                  <c:v>24.611856226257004</c:v>
                </c:pt>
                <c:pt idx="11">
                  <c:v>15.42728451512666</c:v>
                </c:pt>
                <c:pt idx="12">
                  <c:v>9.8826452438063654</c:v>
                </c:pt>
                <c:pt idx="13">
                  <c:v>6.4573763540097309</c:v>
                </c:pt>
                <c:pt idx="14">
                  <c:v>4.2964125569826406</c:v>
                </c:pt>
                <c:pt idx="15">
                  <c:v>2.90656713199379</c:v>
                </c:pt>
                <c:pt idx="16">
                  <c:v>1.9966980193763051</c:v>
                </c:pt>
                <c:pt idx="17">
                  <c:v>1.3912315373745645</c:v>
                </c:pt>
                <c:pt idx="18">
                  <c:v>0.982185794872241</c:v>
                </c:pt>
                <c:pt idx="19">
                  <c:v>0.70193105609072903</c:v>
                </c:pt>
                <c:pt idx="20">
                  <c:v>0.50739007284987281</c:v>
                </c:pt>
                <c:pt idx="21">
                  <c:v>0.37069071634436507</c:v>
                </c:pt>
                <c:pt idx="22">
                  <c:v>0.27353325714849086</c:v>
                </c:pt>
                <c:pt idx="23">
                  <c:v>0.2037374200510251</c:v>
                </c:pt>
                <c:pt idx="24">
                  <c:v>0.15309151763996401</c:v>
                </c:pt>
                <c:pt idx="25">
                  <c:v>0.11599242749684263</c:v>
                </c:pt>
                <c:pt idx="26">
                  <c:v>8.8573452576682976E-2</c:v>
                </c:pt>
              </c:numCache>
            </c:numRef>
          </c:xVal>
          <c:yVal>
            <c:numRef>
              <c:f>'all drops (m;velo)'!$B$235:$B$261</c:f>
              <c:numCache>
                <c:formatCode>#,##0.000</c:formatCode>
                <c:ptCount val="27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7D-4D32-8DD9-18D85E9CC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G27 60L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'G27 60L (m;velo)'!$A$2:$A$44</c15:sqref>
                        </c15:formulaRef>
                      </c:ext>
                    </c:extLst>
                    <c:numCache>
                      <c:formatCode>0.00E+00</c:formatCode>
                      <c:ptCount val="43"/>
                      <c:pt idx="0">
                        <c:v>25.003021597856595</c:v>
                      </c:pt>
                      <c:pt idx="1">
                        <c:v>21.606186818762051</c:v>
                      </c:pt>
                      <c:pt idx="2">
                        <c:v>0.74584062256687</c:v>
                      </c:pt>
                      <c:pt idx="3">
                        <c:v>0.99445416342249338</c:v>
                      </c:pt>
                      <c:pt idx="4">
                        <c:v>1.2430677042781166</c:v>
                      </c:pt>
                      <c:pt idx="5">
                        <c:v>1.49168124513374</c:v>
                      </c:pt>
                      <c:pt idx="6">
                        <c:v>1.7402947859893634</c:v>
                      </c:pt>
                      <c:pt idx="7">
                        <c:v>1.9889083268449868</c:v>
                      </c:pt>
                      <c:pt idx="8">
                        <c:v>2.2375218677006097</c:v>
                      </c:pt>
                      <c:pt idx="9">
                        <c:v>2.4861354085562333</c:v>
                      </c:pt>
                      <c:pt idx="10">
                        <c:v>2.7347489494118569</c:v>
                      </c:pt>
                      <c:pt idx="11">
                        <c:v>0.99445416342249338</c:v>
                      </c:pt>
                      <c:pt idx="12">
                        <c:v>1.2430677042781166</c:v>
                      </c:pt>
                      <c:pt idx="13">
                        <c:v>1.49168124513374</c:v>
                      </c:pt>
                      <c:pt idx="14">
                        <c:v>1.7402947859893634</c:v>
                      </c:pt>
                      <c:pt idx="15">
                        <c:v>1.9889083268449868</c:v>
                      </c:pt>
                      <c:pt idx="16">
                        <c:v>2.2375218677006097</c:v>
                      </c:pt>
                      <c:pt idx="17">
                        <c:v>2.7347489494118569</c:v>
                      </c:pt>
                      <c:pt idx="18">
                        <c:v>2.98336249026748</c:v>
                      </c:pt>
                      <c:pt idx="19">
                        <c:v>1.2430677042781166</c:v>
                      </c:pt>
                      <c:pt idx="20">
                        <c:v>1.49168124513374</c:v>
                      </c:pt>
                      <c:pt idx="21">
                        <c:v>1.7402947859893634</c:v>
                      </c:pt>
                      <c:pt idx="22">
                        <c:v>1.9889083268449868</c:v>
                      </c:pt>
                      <c:pt idx="23">
                        <c:v>2.2375218677006097</c:v>
                      </c:pt>
                      <c:pt idx="24">
                        <c:v>2.4861354085562333</c:v>
                      </c:pt>
                      <c:pt idx="25">
                        <c:v>4.0474201093863513</c:v>
                      </c:pt>
                      <c:pt idx="26">
                        <c:v>4.6701001262150204</c:v>
                      </c:pt>
                      <c:pt idx="27">
                        <c:v>4.9814401346293558</c:v>
                      </c:pt>
                      <c:pt idx="28">
                        <c:v>7.1608201935296982</c:v>
                      </c:pt>
                      <c:pt idx="29">
                        <c:v>3.4247400925576819</c:v>
                      </c:pt>
                      <c:pt idx="30">
                        <c:v>3.7360801009720164</c:v>
                      </c:pt>
                      <c:pt idx="31">
                        <c:v>4.0474201093863513</c:v>
                      </c:pt>
                      <c:pt idx="32">
                        <c:v>4.3587601178006858</c:v>
                      </c:pt>
                      <c:pt idx="33">
                        <c:v>4.6701001262150204</c:v>
                      </c:pt>
                      <c:pt idx="34">
                        <c:v>6.2268001682866947</c:v>
                      </c:pt>
                      <c:pt idx="35">
                        <c:v>7.1608201935296982</c:v>
                      </c:pt>
                      <c:pt idx="36">
                        <c:v>3.1134000841433473</c:v>
                      </c:pt>
                      <c:pt idx="37">
                        <c:v>3.4247400925576819</c:v>
                      </c:pt>
                      <c:pt idx="38">
                        <c:v>3.7360801009720164</c:v>
                      </c:pt>
                      <c:pt idx="39">
                        <c:v>4.0474201093863513</c:v>
                      </c:pt>
                      <c:pt idx="40">
                        <c:v>4.3587601178006858</c:v>
                      </c:pt>
                      <c:pt idx="41">
                        <c:v>5.2927801430436903</c:v>
                      </c:pt>
                      <c:pt idx="42">
                        <c:v>7.1608201935296982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'G27 60L (m;velo)'!$B$2:$B$44</c15:sqref>
                        </c15:formulaRef>
                      </c:ext>
                    </c:extLst>
                    <c:numCache>
                      <c:formatCode>#,##0.000</c:formatCode>
                      <c:ptCount val="43"/>
                      <c:pt idx="0">
                        <c:v>99.747593372498528</c:v>
                      </c:pt>
                      <c:pt idx="1">
                        <c:v>95.996428134623116</c:v>
                      </c:pt>
                      <c:pt idx="2">
                        <c:v>147.17769522532859</c:v>
                      </c:pt>
                      <c:pt idx="3">
                        <c:v>145.28074012362984</c:v>
                      </c:pt>
                      <c:pt idx="4">
                        <c:v>136.67148235438162</c:v>
                      </c:pt>
                      <c:pt idx="5">
                        <c:v>135.65004499192844</c:v>
                      </c:pt>
                      <c:pt idx="6">
                        <c:v>134.0449291366449</c:v>
                      </c:pt>
                      <c:pt idx="7">
                        <c:v>131.914502637814</c:v>
                      </c:pt>
                      <c:pt idx="8">
                        <c:v>128.29569598226558</c:v>
                      </c:pt>
                      <c:pt idx="9">
                        <c:v>118.75255262448876</c:v>
                      </c:pt>
                      <c:pt idx="10">
                        <c:v>117.93540273452622</c:v>
                      </c:pt>
                      <c:pt idx="11">
                        <c:v>140.49363704278807</c:v>
                      </c:pt>
                      <c:pt idx="12">
                        <c:v>139.58684160747444</c:v>
                      </c:pt>
                      <c:pt idx="13">
                        <c:v>138.62154323923824</c:v>
                      </c:pt>
                      <c:pt idx="14">
                        <c:v>138.1242683093964</c:v>
                      </c:pt>
                      <c:pt idx="15">
                        <c:v>135.05286440592008</c:v>
                      </c:pt>
                      <c:pt idx="16">
                        <c:v>134.17532043706771</c:v>
                      </c:pt>
                      <c:pt idx="17">
                        <c:v>126.80395105123425</c:v>
                      </c:pt>
                      <c:pt idx="18">
                        <c:v>124.2298220526136</c:v>
                      </c:pt>
                      <c:pt idx="19">
                        <c:v>144.49728289345654</c:v>
                      </c:pt>
                      <c:pt idx="20">
                        <c:v>139.66875925554606</c:v>
                      </c:pt>
                      <c:pt idx="21">
                        <c:v>134.05011356779568</c:v>
                      </c:pt>
                      <c:pt idx="22">
                        <c:v>133.2599915179558</c:v>
                      </c:pt>
                      <c:pt idx="23">
                        <c:v>131.35784584241532</c:v>
                      </c:pt>
                      <c:pt idx="24">
                        <c:v>127.55355449133431</c:v>
                      </c:pt>
                      <c:pt idx="25">
                        <c:v>121.45685861059646</c:v>
                      </c:pt>
                      <c:pt idx="26">
                        <c:v>118.50686190062923</c:v>
                      </c:pt>
                      <c:pt idx="27">
                        <c:v>114.45975897621136</c:v>
                      </c:pt>
                      <c:pt idx="28">
                        <c:v>112.43620751400243</c:v>
                      </c:pt>
                      <c:pt idx="29">
                        <c:v>122.86867301238763</c:v>
                      </c:pt>
                      <c:pt idx="30">
                        <c:v>120.50280576371755</c:v>
                      </c:pt>
                      <c:pt idx="31">
                        <c:v>119.69792309148957</c:v>
                      </c:pt>
                      <c:pt idx="32">
                        <c:v>116.28326933052243</c:v>
                      </c:pt>
                      <c:pt idx="33">
                        <c:v>112.50275980945165</c:v>
                      </c:pt>
                      <c:pt idx="34">
                        <c:v>110.77104254496116</c:v>
                      </c:pt>
                      <c:pt idx="35">
                        <c:v>107.81980608012526</c:v>
                      </c:pt>
                      <c:pt idx="36">
                        <c:v>123.47843261256035</c:v>
                      </c:pt>
                      <c:pt idx="37">
                        <c:v>121.5759826600215</c:v>
                      </c:pt>
                      <c:pt idx="38">
                        <c:v>120.45402499570373</c:v>
                      </c:pt>
                      <c:pt idx="39">
                        <c:v>119.21011541135141</c:v>
                      </c:pt>
                      <c:pt idx="40">
                        <c:v>118.81986926724086</c:v>
                      </c:pt>
                      <c:pt idx="41">
                        <c:v>116.35644048254314</c:v>
                      </c:pt>
                      <c:pt idx="42">
                        <c:v>114.21008668993522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919-480C-AFDB-4DD5B325C5B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Fit G27 60L</c:v>
                </c:tx>
                <c:spPr>
                  <a:ln w="254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0070C0"/>
                      </a:solidFill>
                      <a:prstDash val="sysDot"/>
                    </a:ln>
                    <a:effectLst/>
                  </c:spPr>
                  <c:trendlineType val="power"/>
                  <c:forward val="1000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60L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25.003021597856609</c:v>
                      </c:pt>
                      <c:pt idx="1">
                        <c:v>24.760449788103706</c:v>
                      </c:pt>
                      <c:pt idx="2">
                        <c:v>24.517877978350814</c:v>
                      </c:pt>
                      <c:pt idx="3">
                        <c:v>24.275306168597922</c:v>
                      </c:pt>
                      <c:pt idx="4">
                        <c:v>24.032734358845012</c:v>
                      </c:pt>
                      <c:pt idx="5">
                        <c:v>23.790162549092116</c:v>
                      </c:pt>
                      <c:pt idx="6">
                        <c:v>23.547590739339228</c:v>
                      </c:pt>
                      <c:pt idx="7">
                        <c:v>23.305018929586325</c:v>
                      </c:pt>
                      <c:pt idx="8">
                        <c:v>23.062447119833426</c:v>
                      </c:pt>
                      <c:pt idx="9">
                        <c:v>22.819875310080533</c:v>
                      </c:pt>
                      <c:pt idx="10">
                        <c:v>22.577303500327631</c:v>
                      </c:pt>
                      <c:pt idx="11">
                        <c:v>22.334731690574724</c:v>
                      </c:pt>
                      <c:pt idx="12">
                        <c:v>22.092159880821836</c:v>
                      </c:pt>
                      <c:pt idx="13">
                        <c:v>21.84958807106894</c:v>
                      </c:pt>
                      <c:pt idx="14">
                        <c:v>21.607016261316048</c:v>
                      </c:pt>
                      <c:pt idx="15">
                        <c:v>21.364444451563145</c:v>
                      </c:pt>
                      <c:pt idx="16">
                        <c:v>21.121872641810242</c:v>
                      </c:pt>
                      <c:pt idx="17">
                        <c:v>20.879300832057357</c:v>
                      </c:pt>
                      <c:pt idx="18">
                        <c:v>20.636729022304451</c:v>
                      </c:pt>
                      <c:pt idx="19">
                        <c:v>20.394157212551548</c:v>
                      </c:pt>
                      <c:pt idx="20">
                        <c:v>20.151585402798656</c:v>
                      </c:pt>
                      <c:pt idx="21">
                        <c:v>19.909013593045771</c:v>
                      </c:pt>
                      <c:pt idx="22">
                        <c:v>19.666441783292864</c:v>
                      </c:pt>
                      <c:pt idx="23">
                        <c:v>19.423869973539972</c:v>
                      </c:pt>
                      <c:pt idx="24">
                        <c:v>19.181298163787069</c:v>
                      </c:pt>
                      <c:pt idx="25">
                        <c:v>18.938726354034173</c:v>
                      </c:pt>
                      <c:pt idx="26">
                        <c:v>18.696154544281281</c:v>
                      </c:pt>
                      <c:pt idx="27">
                        <c:v>18.453582734528371</c:v>
                      </c:pt>
                      <c:pt idx="28">
                        <c:v>18.211010924775479</c:v>
                      </c:pt>
                      <c:pt idx="29">
                        <c:v>17.96843911502258</c:v>
                      </c:pt>
                      <c:pt idx="30">
                        <c:v>17.725867305269684</c:v>
                      </c:pt>
                      <c:pt idx="31">
                        <c:v>17.483295495516792</c:v>
                      </c:pt>
                      <c:pt idx="32">
                        <c:v>17.240723685763886</c:v>
                      </c:pt>
                      <c:pt idx="33">
                        <c:v>16.99815187601099</c:v>
                      </c:pt>
                      <c:pt idx="34">
                        <c:v>16.755580066258091</c:v>
                      </c:pt>
                      <c:pt idx="35">
                        <c:v>16.513008256505202</c:v>
                      </c:pt>
                      <c:pt idx="36">
                        <c:v>16.270436446752299</c:v>
                      </c:pt>
                      <c:pt idx="37">
                        <c:v>16.027864636999404</c:v>
                      </c:pt>
                      <c:pt idx="38">
                        <c:v>15.785292827246508</c:v>
                      </c:pt>
                      <c:pt idx="39">
                        <c:v>15.542721017493612</c:v>
                      </c:pt>
                      <c:pt idx="40">
                        <c:v>15.300149207740711</c:v>
                      </c:pt>
                      <c:pt idx="41">
                        <c:v>15.057577397987812</c:v>
                      </c:pt>
                      <c:pt idx="42">
                        <c:v>14.815005588234916</c:v>
                      </c:pt>
                      <c:pt idx="43">
                        <c:v>14.572433778482015</c:v>
                      </c:pt>
                      <c:pt idx="44">
                        <c:v>14.329861968729118</c:v>
                      </c:pt>
                      <c:pt idx="45">
                        <c:v>14.08729015897622</c:v>
                      </c:pt>
                      <c:pt idx="46">
                        <c:v>13.84471834922333</c:v>
                      </c:pt>
                      <c:pt idx="47">
                        <c:v>13.60214653947043</c:v>
                      </c:pt>
                      <c:pt idx="48">
                        <c:v>13.359574729717535</c:v>
                      </c:pt>
                      <c:pt idx="49">
                        <c:v>13.117002919964634</c:v>
                      </c:pt>
                      <c:pt idx="50">
                        <c:v>12.874431110211738</c:v>
                      </c:pt>
                      <c:pt idx="51">
                        <c:v>12.631859300458837</c:v>
                      </c:pt>
                      <c:pt idx="52">
                        <c:v>12.389287490705943</c:v>
                      </c:pt>
                      <c:pt idx="53">
                        <c:v>12.146715680953044</c:v>
                      </c:pt>
                      <c:pt idx="54">
                        <c:v>11.904143871200146</c:v>
                      </c:pt>
                      <c:pt idx="55">
                        <c:v>11.66157206144725</c:v>
                      </c:pt>
                      <c:pt idx="56">
                        <c:v>11.419000251694353</c:v>
                      </c:pt>
                      <c:pt idx="57">
                        <c:v>11.176428441941455</c:v>
                      </c:pt>
                      <c:pt idx="58">
                        <c:v>10.933856632188556</c:v>
                      </c:pt>
                      <c:pt idx="59">
                        <c:v>10.691284822435664</c:v>
                      </c:pt>
                      <c:pt idx="60">
                        <c:v>10.448713012682765</c:v>
                      </c:pt>
                      <c:pt idx="61">
                        <c:v>10.206141202929865</c:v>
                      </c:pt>
                      <c:pt idx="62">
                        <c:v>9.9635693931769715</c:v>
                      </c:pt>
                      <c:pt idx="63">
                        <c:v>9.7209975834240723</c:v>
                      </c:pt>
                      <c:pt idx="64">
                        <c:v>9.4784257736711748</c:v>
                      </c:pt>
                      <c:pt idx="65">
                        <c:v>9.2358539639182773</c:v>
                      </c:pt>
                      <c:pt idx="66">
                        <c:v>8.9932821541653816</c:v>
                      </c:pt>
                      <c:pt idx="67">
                        <c:v>8.7507103444124787</c:v>
                      </c:pt>
                      <c:pt idx="68">
                        <c:v>8.5081385346595848</c:v>
                      </c:pt>
                      <c:pt idx="69">
                        <c:v>8.2655667249066873</c:v>
                      </c:pt>
                      <c:pt idx="70">
                        <c:v>8.0229949151537916</c:v>
                      </c:pt>
                      <c:pt idx="71">
                        <c:v>7.7804231054008923</c:v>
                      </c:pt>
                      <c:pt idx="72">
                        <c:v>7.5378512956479975</c:v>
                      </c:pt>
                      <c:pt idx="73">
                        <c:v>7.2952794858950973</c:v>
                      </c:pt>
                      <c:pt idx="74">
                        <c:v>7.0527076761422034</c:v>
                      </c:pt>
                      <c:pt idx="75">
                        <c:v>6.810135866389305</c:v>
                      </c:pt>
                      <c:pt idx="76">
                        <c:v>6.5675640566364049</c:v>
                      </c:pt>
                      <c:pt idx="77">
                        <c:v>6.3249922468835091</c:v>
                      </c:pt>
                      <c:pt idx="78">
                        <c:v>6.0824204371306134</c:v>
                      </c:pt>
                      <c:pt idx="79">
                        <c:v>5.8398486273777133</c:v>
                      </c:pt>
                      <c:pt idx="80">
                        <c:v>5.5972768176248175</c:v>
                      </c:pt>
                      <c:pt idx="81">
                        <c:v>5.3547050078719218</c:v>
                      </c:pt>
                      <c:pt idx="82">
                        <c:v>5.1121331981190226</c:v>
                      </c:pt>
                      <c:pt idx="83">
                        <c:v>4.8695613883661224</c:v>
                      </c:pt>
                      <c:pt idx="84">
                        <c:v>4.6269895786132267</c:v>
                      </c:pt>
                      <c:pt idx="85">
                        <c:v>4.3844177688603283</c:v>
                      </c:pt>
                      <c:pt idx="86">
                        <c:v>4.1418459591074361</c:v>
                      </c:pt>
                      <c:pt idx="87">
                        <c:v>3.8992741493545364</c:v>
                      </c:pt>
                      <c:pt idx="88">
                        <c:v>3.6567023396016372</c:v>
                      </c:pt>
                      <c:pt idx="89">
                        <c:v>3.4141305298487414</c:v>
                      </c:pt>
                      <c:pt idx="90">
                        <c:v>3.1715587200958417</c:v>
                      </c:pt>
                      <c:pt idx="91">
                        <c:v>2.928986910342946</c:v>
                      </c:pt>
                      <c:pt idx="92">
                        <c:v>2.6864151005900503</c:v>
                      </c:pt>
                      <c:pt idx="93">
                        <c:v>2.443843290837151</c:v>
                      </c:pt>
                      <c:pt idx="94">
                        <c:v>2.2012714810842517</c:v>
                      </c:pt>
                      <c:pt idx="95">
                        <c:v>1.9586996713313598</c:v>
                      </c:pt>
                      <c:pt idx="96">
                        <c:v>1.7161278615784605</c:v>
                      </c:pt>
                      <c:pt idx="97">
                        <c:v>1.473556051825561</c:v>
                      </c:pt>
                      <c:pt idx="98">
                        <c:v>1.2309842420726653</c:v>
                      </c:pt>
                      <c:pt idx="99">
                        <c:v>0.98841243231976605</c:v>
                      </c:pt>
                      <c:pt idx="100">
                        <c:v>0.74584062256687034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60L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94.749439849174451</c:v>
                      </c:pt>
                      <c:pt idx="1">
                        <c:v>94.868325258857965</c:v>
                      </c:pt>
                      <c:pt idx="2">
                        <c:v>94.98853249094654</c:v>
                      </c:pt>
                      <c:pt idx="3">
                        <c:v>95.110089539787666</c:v>
                      </c:pt>
                      <c:pt idx="4">
                        <c:v>95.233025279901796</c:v>
                      </c:pt>
                      <c:pt idx="5">
                        <c:v>95.357369502872061</c:v>
                      </c:pt>
                      <c:pt idx="6">
                        <c:v>95.483152956174237</c:v>
                      </c:pt>
                      <c:pt idx="7">
                        <c:v>95.610407384071024</c:v>
                      </c:pt>
                      <c:pt idx="8">
                        <c:v>95.739165570701374</c:v>
                      </c:pt>
                      <c:pt idx="9">
                        <c:v>95.86946138550887</c:v>
                      </c:pt>
                      <c:pt idx="10">
                        <c:v>96.001329831161271</c:v>
                      </c:pt>
                      <c:pt idx="11">
                        <c:v>96.134807094127538</c:v>
                      </c:pt>
                      <c:pt idx="12">
                        <c:v>96.269930598088266</c:v>
                      </c:pt>
                      <c:pt idx="13">
                        <c:v>96.406739060374193</c:v>
                      </c:pt>
                      <c:pt idx="14">
                        <c:v>96.545272551637325</c:v>
                      </c:pt>
                      <c:pt idx="15">
                        <c:v>96.685572558980837</c:v>
                      </c:pt>
                      <c:pt idx="16">
                        <c:v>96.82768205278812</c:v>
                      </c:pt>
                      <c:pt idx="17">
                        <c:v>96.971645557514577</c:v>
                      </c:pt>
                      <c:pt idx="18">
                        <c:v>97.117509226724707</c:v>
                      </c:pt>
                      <c:pt idx="19">
                        <c:v>97.265320922684509</c:v>
                      </c:pt>
                      <c:pt idx="20">
                        <c:v>97.415130300840687</c:v>
                      </c:pt>
                      <c:pt idx="21">
                        <c:v>97.566988899552229</c:v>
                      </c:pt>
                      <c:pt idx="22">
                        <c:v>97.720950235467654</c:v>
                      </c:pt>
                      <c:pt idx="23">
                        <c:v>97.877069904978867</c:v>
                      </c:pt>
                      <c:pt idx="24">
                        <c:v>98.035405692219172</c:v>
                      </c:pt>
                      <c:pt idx="25">
                        <c:v>98.196017684116299</c:v>
                      </c:pt>
                      <c:pt idx="26">
                        <c:v>98.358968393059484</c:v>
                      </c:pt>
                      <c:pt idx="27">
                        <c:v>98.524322887789182</c:v>
                      </c:pt>
                      <c:pt idx="28">
                        <c:v>98.692148933177535</c:v>
                      </c:pt>
                      <c:pt idx="29">
                        <c:v>98.862517139630498</c:v>
                      </c:pt>
                      <c:pt idx="30">
                        <c:v>99.035501122915207</c:v>
                      </c:pt>
                      <c:pt idx="31">
                        <c:v>99.211177675291168</c:v>
                      </c:pt>
                      <c:pt idx="32">
                        <c:v>99.389626948917325</c:v>
                      </c:pt>
                      <c:pt idx="33">
                        <c:v>99.570932652599581</c:v>
                      </c:pt>
                      <c:pt idx="34">
                        <c:v>99.755182263056156</c:v>
                      </c:pt>
                      <c:pt idx="35">
                        <c:v>99.942467251999929</c:v>
                      </c:pt>
                      <c:pt idx="36">
                        <c:v>100.13288333047291</c:v>
                      </c:pt>
                      <c:pt idx="37">
                        <c:v>100.32653071202364</c:v>
                      </c:pt>
                      <c:pt idx="38">
                        <c:v>100.52351439648916</c:v>
                      </c:pt>
                      <c:pt idx="39">
                        <c:v>100.7239444763417</c:v>
                      </c:pt>
                      <c:pt idx="40">
                        <c:v>100.92793646777429</c:v>
                      </c:pt>
                      <c:pt idx="41">
                        <c:v>101.13561166895522</c:v>
                      </c:pt>
                      <c:pt idx="42">
                        <c:v>101.34709754815424</c:v>
                      </c:pt>
                      <c:pt idx="43">
                        <c:v>101.56252816477043</c:v>
                      </c:pt>
                      <c:pt idx="44">
                        <c:v>101.78204462664785</c:v>
                      </c:pt>
                      <c:pt idx="45">
                        <c:v>102.00579558748117</c:v>
                      </c:pt>
                      <c:pt idx="46">
                        <c:v>102.23393778858498</c:v>
                      </c:pt>
                      <c:pt idx="47">
                        <c:v>102.46663664983787</c:v>
                      </c:pt>
                      <c:pt idx="48">
                        <c:v>102.70406691523128</c:v>
                      </c:pt>
                      <c:pt idx="49">
                        <c:v>102.94641335916366</c:v>
                      </c:pt>
                      <c:pt idx="50">
                        <c:v>103.19387156043898</c:v>
                      </c:pt>
                      <c:pt idx="51">
                        <c:v>103.44664875187148</c:v>
                      </c:pt>
                      <c:pt idx="52">
                        <c:v>103.70496475449492</c:v>
                      </c:pt>
                      <c:pt idx="53">
                        <c:v>103.96905300664378</c:v>
                      </c:pt>
                      <c:pt idx="54">
                        <c:v>104.2391616996518</c:v>
                      </c:pt>
                      <c:pt idx="55">
                        <c:v>104.5155550336399</c:v>
                      </c:pt>
                      <c:pt idx="56">
                        <c:v>104.79851460889004</c:v>
                      </c:pt>
                      <c:pt idx="57">
                        <c:v>105.08834097067175</c:v>
                      </c:pt>
                      <c:pt idx="58">
                        <c:v>105.38535532819334</c:v>
                      </c:pt>
                      <c:pt idx="59">
                        <c:v>105.68990147165793</c:v>
                      </c:pt>
                      <c:pt idx="60">
                        <c:v>106.00234791533461</c:v>
                      </c:pt>
                      <c:pt idx="61">
                        <c:v>106.32309029923977</c:v>
                      </c:pt>
                      <c:pt idx="62">
                        <c:v>106.65255408761725</c:v>
                      </c:pt>
                      <c:pt idx="63">
                        <c:v>106.9911976091345</c:v>
                      </c:pt>
                      <c:pt idx="64">
                        <c:v>107.33951549181586</c:v>
                      </c:pt>
                      <c:pt idx="65">
                        <c:v>107.69804255555077</c:v>
                      </c:pt>
                      <c:pt idx="66">
                        <c:v>108.06735823696468</c:v>
                      </c:pt>
                      <c:pt idx="67">
                        <c:v>108.4480916360469</c:v>
                      </c:pt>
                      <c:pt idx="68">
                        <c:v>108.84092729188131</c:v>
                      </c:pt>
                      <c:pt idx="69">
                        <c:v>109.2466118170147</c:v>
                      </c:pt>
                      <c:pt idx="70">
                        <c:v>109.66596154755895</c:v>
                      </c:pt>
                      <c:pt idx="71">
                        <c:v>110.09987140059499</c:v>
                      </c:pt>
                      <c:pt idx="72">
                        <c:v>110.54932517380317</c:v>
                      </c:pt>
                      <c:pt idx="73">
                        <c:v>111.01540757716798</c:v>
                      </c:pt>
                      <c:pt idx="74">
                        <c:v>111.49931835666007</c:v>
                      </c:pt>
                      <c:pt idx="75">
                        <c:v>112.00238895985383</c:v>
                      </c:pt>
                      <c:pt idx="76">
                        <c:v>112.52610231010308</c:v>
                      </c:pt>
                      <c:pt idx="77">
                        <c:v>113.07211640838682</c:v>
                      </c:pt>
                      <c:pt idx="78">
                        <c:v>113.64229268303804</c:v>
                      </c:pt>
                      <c:pt idx="79">
                        <c:v>114.23873027543932</c:v>
                      </c:pt>
                      <c:pt idx="80">
                        <c:v>114.86380781034379</c:v>
                      </c:pt>
                      <c:pt idx="81">
                        <c:v>115.52023469041049</c:v>
                      </c:pt>
                      <c:pt idx="82">
                        <c:v>116.21111463121174</c:v>
                      </c:pt>
                      <c:pt idx="83">
                        <c:v>116.94002509817855</c:v>
                      </c:pt>
                      <c:pt idx="84">
                        <c:v>117.7111176465304</c:v>
                      </c:pt>
                      <c:pt idx="85">
                        <c:v>118.52924609401978</c:v>
                      </c:pt>
                      <c:pt idx="86">
                        <c:v>119.4001322820795</c:v>
                      </c:pt>
                      <c:pt idx="87">
                        <c:v>120.33058340068528</c:v>
                      </c:pt>
                      <c:pt idx="88">
                        <c:v>121.32878128833823</c:v>
                      </c:pt>
                      <c:pt idx="89">
                        <c:v>122.40467416915922</c:v>
                      </c:pt>
                      <c:pt idx="90">
                        <c:v>123.57051740392396</c:v>
                      </c:pt>
                      <c:pt idx="91">
                        <c:v>124.84163645160963</c:v>
                      </c:pt>
                      <c:pt idx="92">
                        <c:v>126.23753072806871</c:v>
                      </c:pt>
                      <c:pt idx="93">
                        <c:v>127.7835178771884</c:v>
                      </c:pt>
                      <c:pt idx="94">
                        <c:v>129.5132682520167</c:v>
                      </c:pt>
                      <c:pt idx="95">
                        <c:v>131.47287415548462</c:v>
                      </c:pt>
                      <c:pt idx="96">
                        <c:v>133.7277147234779</c:v>
                      </c:pt>
                      <c:pt idx="97">
                        <c:v>136.37477110572928</c:v>
                      </c:pt>
                      <c:pt idx="98">
                        <c:v>139.56652443437952</c:v>
                      </c:pt>
                      <c:pt idx="99">
                        <c:v>143.56243422306031</c:v>
                      </c:pt>
                      <c:pt idx="100">
                        <c:v>148.85736298171247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19-480C-AFDB-4DD5B325C5B6}"/>
                  </c:ext>
                </c:extLst>
              </c15:ser>
            </c15:filteredScatterSeries>
            <c15:filteredScatterSeries>
              <c15:ser>
                <c:idx val="3"/>
                <c:order val="2"/>
                <c:tx>
                  <c:v>Fit G20 120L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ot"/>
                    </a:ln>
                    <a:effectLst/>
                  </c:spPr>
                  <c:trendlineType val="power"/>
                  <c:forward val="600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15.641802717763225</c:v>
                      </c:pt>
                      <c:pt idx="1">
                        <c:v>15.495103789878458</c:v>
                      </c:pt>
                      <c:pt idx="2">
                        <c:v>15.348404861993686</c:v>
                      </c:pt>
                      <c:pt idx="3">
                        <c:v>15.201705934108915</c:v>
                      </c:pt>
                      <c:pt idx="4">
                        <c:v>15.055007006224146</c:v>
                      </c:pt>
                      <c:pt idx="5">
                        <c:v>14.908308078339369</c:v>
                      </c:pt>
                      <c:pt idx="6">
                        <c:v>14.761609150454595</c:v>
                      </c:pt>
                      <c:pt idx="7">
                        <c:v>14.614910222569824</c:v>
                      </c:pt>
                      <c:pt idx="8">
                        <c:v>14.46821129468505</c:v>
                      </c:pt>
                      <c:pt idx="9">
                        <c:v>14.321512366800278</c:v>
                      </c:pt>
                      <c:pt idx="10">
                        <c:v>14.174813438915509</c:v>
                      </c:pt>
                      <c:pt idx="11">
                        <c:v>14.028114511030738</c:v>
                      </c:pt>
                      <c:pt idx="12">
                        <c:v>13.881415583145966</c:v>
                      </c:pt>
                      <c:pt idx="13">
                        <c:v>13.734716655261193</c:v>
                      </c:pt>
                      <c:pt idx="14">
                        <c:v>13.588017727376418</c:v>
                      </c:pt>
                      <c:pt idx="15">
                        <c:v>13.441318799491651</c:v>
                      </c:pt>
                      <c:pt idx="16">
                        <c:v>13.294619871606875</c:v>
                      </c:pt>
                      <c:pt idx="17">
                        <c:v>13.147920943722104</c:v>
                      </c:pt>
                      <c:pt idx="18">
                        <c:v>13.001222015837334</c:v>
                      </c:pt>
                      <c:pt idx="19">
                        <c:v>12.854523087952559</c:v>
                      </c:pt>
                      <c:pt idx="20">
                        <c:v>12.707824160067785</c:v>
                      </c:pt>
                      <c:pt idx="21">
                        <c:v>12.561125232183015</c:v>
                      </c:pt>
                      <c:pt idx="22">
                        <c:v>12.414426304298242</c:v>
                      </c:pt>
                      <c:pt idx="23">
                        <c:v>12.267727376413472</c:v>
                      </c:pt>
                      <c:pt idx="24">
                        <c:v>12.121028448528699</c:v>
                      </c:pt>
                      <c:pt idx="25">
                        <c:v>11.974329520643931</c:v>
                      </c:pt>
                      <c:pt idx="26">
                        <c:v>11.827630592759158</c:v>
                      </c:pt>
                      <c:pt idx="27">
                        <c:v>11.680931664874381</c:v>
                      </c:pt>
                      <c:pt idx="28">
                        <c:v>11.534232736989608</c:v>
                      </c:pt>
                      <c:pt idx="29">
                        <c:v>11.387533809104839</c:v>
                      </c:pt>
                      <c:pt idx="30">
                        <c:v>11.240834881220065</c:v>
                      </c:pt>
                      <c:pt idx="31">
                        <c:v>11.094135953335291</c:v>
                      </c:pt>
                      <c:pt idx="32">
                        <c:v>10.947437025450524</c:v>
                      </c:pt>
                      <c:pt idx="33">
                        <c:v>10.80073809756575</c:v>
                      </c:pt>
                      <c:pt idx="34">
                        <c:v>10.654039169680976</c:v>
                      </c:pt>
                      <c:pt idx="35">
                        <c:v>10.507340241796202</c:v>
                      </c:pt>
                      <c:pt idx="36">
                        <c:v>10.360641313911433</c:v>
                      </c:pt>
                      <c:pt idx="37">
                        <c:v>10.213942386026659</c:v>
                      </c:pt>
                      <c:pt idx="38">
                        <c:v>10.067243458141894</c:v>
                      </c:pt>
                      <c:pt idx="39">
                        <c:v>9.920544530257116</c:v>
                      </c:pt>
                      <c:pt idx="40">
                        <c:v>9.7738456023723419</c:v>
                      </c:pt>
                      <c:pt idx="41">
                        <c:v>9.6271466744875696</c:v>
                      </c:pt>
                      <c:pt idx="42">
                        <c:v>9.4804477466027972</c:v>
                      </c:pt>
                      <c:pt idx="43">
                        <c:v>9.3337488187180266</c:v>
                      </c:pt>
                      <c:pt idx="44">
                        <c:v>9.1870498908332543</c:v>
                      </c:pt>
                      <c:pt idx="45">
                        <c:v>9.0403509629484837</c:v>
                      </c:pt>
                      <c:pt idx="46">
                        <c:v>8.8936520350637132</c:v>
                      </c:pt>
                      <c:pt idx="47">
                        <c:v>8.746953107178939</c:v>
                      </c:pt>
                      <c:pt idx="48">
                        <c:v>8.6002541792941667</c:v>
                      </c:pt>
                      <c:pt idx="49">
                        <c:v>8.4535552514093943</c:v>
                      </c:pt>
                      <c:pt idx="50">
                        <c:v>8.3068563235246202</c:v>
                      </c:pt>
                      <c:pt idx="51">
                        <c:v>8.1601573956398514</c:v>
                      </c:pt>
                      <c:pt idx="52">
                        <c:v>8.0134584677550791</c:v>
                      </c:pt>
                      <c:pt idx="53">
                        <c:v>7.8667595398703076</c:v>
                      </c:pt>
                      <c:pt idx="54">
                        <c:v>7.7200606119855335</c:v>
                      </c:pt>
                      <c:pt idx="55">
                        <c:v>7.5733616841007638</c:v>
                      </c:pt>
                      <c:pt idx="56">
                        <c:v>7.4266627562159933</c:v>
                      </c:pt>
                      <c:pt idx="57">
                        <c:v>7.2799638283312182</c:v>
                      </c:pt>
                      <c:pt idx="58">
                        <c:v>7.1332649004464468</c:v>
                      </c:pt>
                      <c:pt idx="59">
                        <c:v>6.9865659725616736</c:v>
                      </c:pt>
                      <c:pt idx="60">
                        <c:v>6.8398670446769021</c:v>
                      </c:pt>
                      <c:pt idx="61">
                        <c:v>6.6931681167921298</c:v>
                      </c:pt>
                      <c:pt idx="62">
                        <c:v>6.5464691889073592</c:v>
                      </c:pt>
                      <c:pt idx="63">
                        <c:v>6.3997702610225859</c:v>
                      </c:pt>
                      <c:pt idx="64">
                        <c:v>6.2530713331378127</c:v>
                      </c:pt>
                      <c:pt idx="65">
                        <c:v>6.1063724052530413</c:v>
                      </c:pt>
                      <c:pt idx="66">
                        <c:v>5.9596734773682689</c:v>
                      </c:pt>
                      <c:pt idx="67">
                        <c:v>5.8129745494834957</c:v>
                      </c:pt>
                      <c:pt idx="68">
                        <c:v>5.6662756215987242</c:v>
                      </c:pt>
                      <c:pt idx="69">
                        <c:v>5.5195766937139519</c:v>
                      </c:pt>
                      <c:pt idx="70">
                        <c:v>5.3728777658291786</c:v>
                      </c:pt>
                      <c:pt idx="71">
                        <c:v>5.226178837944409</c:v>
                      </c:pt>
                      <c:pt idx="72">
                        <c:v>5.0794799100596366</c:v>
                      </c:pt>
                      <c:pt idx="73">
                        <c:v>4.9327809821748634</c:v>
                      </c:pt>
                      <c:pt idx="74">
                        <c:v>4.7860820542900919</c:v>
                      </c:pt>
                      <c:pt idx="75">
                        <c:v>4.6393831264053196</c:v>
                      </c:pt>
                      <c:pt idx="76">
                        <c:v>4.4926841985205481</c:v>
                      </c:pt>
                      <c:pt idx="77">
                        <c:v>4.3459852706357758</c:v>
                      </c:pt>
                      <c:pt idx="78">
                        <c:v>4.1992863427510034</c:v>
                      </c:pt>
                      <c:pt idx="79">
                        <c:v>4.0525874148662311</c:v>
                      </c:pt>
                      <c:pt idx="80">
                        <c:v>3.9058884869814592</c:v>
                      </c:pt>
                      <c:pt idx="81">
                        <c:v>3.7591895590966864</c:v>
                      </c:pt>
                      <c:pt idx="82">
                        <c:v>3.6124906312119145</c:v>
                      </c:pt>
                      <c:pt idx="83">
                        <c:v>3.4657917033271421</c:v>
                      </c:pt>
                      <c:pt idx="84">
                        <c:v>3.3190927754423698</c:v>
                      </c:pt>
                      <c:pt idx="85">
                        <c:v>3.172393847557597</c:v>
                      </c:pt>
                      <c:pt idx="86">
                        <c:v>3.0256949196728247</c:v>
                      </c:pt>
                      <c:pt idx="87">
                        <c:v>2.8789959917880528</c:v>
                      </c:pt>
                      <c:pt idx="88">
                        <c:v>2.7322970639032835</c:v>
                      </c:pt>
                      <c:pt idx="89">
                        <c:v>2.5855981360185112</c:v>
                      </c:pt>
                      <c:pt idx="90">
                        <c:v>2.4388992081337393</c:v>
                      </c:pt>
                      <c:pt idx="91">
                        <c:v>2.2922002802489665</c:v>
                      </c:pt>
                      <c:pt idx="92">
                        <c:v>2.1455013523641946</c:v>
                      </c:pt>
                      <c:pt idx="93">
                        <c:v>1.998802424479422</c:v>
                      </c:pt>
                      <c:pt idx="94">
                        <c:v>1.8521034965946497</c:v>
                      </c:pt>
                      <c:pt idx="95">
                        <c:v>1.7054045687098773</c:v>
                      </c:pt>
                      <c:pt idx="96">
                        <c:v>1.5587056408251048</c:v>
                      </c:pt>
                      <c:pt idx="97">
                        <c:v>1.4120067129403324</c:v>
                      </c:pt>
                      <c:pt idx="98">
                        <c:v>1.2653077850555601</c:v>
                      </c:pt>
                      <c:pt idx="99">
                        <c:v>1.1186088571707895</c:v>
                      </c:pt>
                      <c:pt idx="100">
                        <c:v>0.97190992928601894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97.087688831235326</c:v>
                      </c:pt>
                      <c:pt idx="1">
                        <c:v>97.21423216744229</c:v>
                      </c:pt>
                      <c:pt idx="2">
                        <c:v>97.342146558220378</c:v>
                      </c:pt>
                      <c:pt idx="3">
                        <c:v>97.47146017772873</c:v>
                      </c:pt>
                      <c:pt idx="4">
                        <c:v>97.60220205810073</c:v>
                      </c:pt>
                      <c:pt idx="5">
                        <c:v>97.73440212423526</c:v>
                      </c:pt>
                      <c:pt idx="6">
                        <c:v>97.868091230355788</c:v>
                      </c:pt>
                      <c:pt idx="7">
                        <c:v>98.003301198448838</c:v>
                      </c:pt>
                      <c:pt idx="8">
                        <c:v>98.140064858694444</c:v>
                      </c:pt>
                      <c:pt idx="9">
                        <c:v>98.278416092016982</c:v>
                      </c:pt>
                      <c:pt idx="10">
                        <c:v>98.418389874887467</c:v>
                      </c:pt>
                      <c:pt idx="11">
                        <c:v>98.560022326523466</c:v>
                      </c:pt>
                      <c:pt idx="12">
                        <c:v>98.703350758640013</c:v>
                      </c:pt>
                      <c:pt idx="13">
                        <c:v>98.848413727918668</c:v>
                      </c:pt>
                      <c:pt idx="14">
                        <c:v>98.995251091373646</c:v>
                      </c:pt>
                      <c:pt idx="15">
                        <c:v>99.143904064808879</c:v>
                      </c:pt>
                      <c:pt idx="16">
                        <c:v>99.294415284574015</c:v>
                      </c:pt>
                      <c:pt idx="17">
                        <c:v>99.446828872842971</c:v>
                      </c:pt>
                      <c:pt idx="18">
                        <c:v>99.601190506660629</c:v>
                      </c:pt>
                      <c:pt idx="19">
                        <c:v>99.757547491017917</c:v>
                      </c:pt>
                      <c:pt idx="20">
                        <c:v>99.915948836240204</c:v>
                      </c:pt>
                      <c:pt idx="21">
                        <c:v>100.07644533999644</c:v>
                      </c:pt>
                      <c:pt idx="22">
                        <c:v>100.23908967426364</c:v>
                      </c:pt>
                      <c:pt idx="23">
                        <c:v>100.40393647760692</c:v>
                      </c:pt>
                      <c:pt idx="24">
                        <c:v>100.57104245316872</c:v>
                      </c:pt>
                      <c:pt idx="25">
                        <c:v>100.74046647279499</c:v>
                      </c:pt>
                      <c:pt idx="26">
                        <c:v>100.91226968776171</c:v>
                      </c:pt>
                      <c:pt idx="27">
                        <c:v>101.0865156466093</c:v>
                      </c:pt>
                      <c:pt idx="28">
                        <c:v>101.26327042063589</c:v>
                      </c:pt>
                      <c:pt idx="29">
                        <c:v>101.442602737652</c:v>
                      </c:pt>
                      <c:pt idx="30">
                        <c:v>101.62458412465486</c:v>
                      </c:pt>
                      <c:pt idx="31">
                        <c:v>101.80928906014225</c:v>
                      </c:pt>
                      <c:pt idx="32">
                        <c:v>101.9967951368546</c:v>
                      </c:pt>
                      <c:pt idx="33">
                        <c:v>102.18718323580978</c:v>
                      </c:pt>
                      <c:pt idx="34">
                        <c:v>102.38053771257756</c:v>
                      </c:pt>
                      <c:pt idx="35">
                        <c:v>102.5769465968406</c:v>
                      </c:pt>
                      <c:pt idx="36">
                        <c:v>102.77650180638527</c:v>
                      </c:pt>
                      <c:pt idx="37">
                        <c:v>102.97929937679035</c:v>
                      </c:pt>
                      <c:pt idx="38">
                        <c:v>103.18543970820639</c:v>
                      </c:pt>
                      <c:pt idx="39">
                        <c:v>103.39502783076979</c:v>
                      </c:pt>
                      <c:pt idx="40">
                        <c:v>103.60817369035583</c:v>
                      </c:pt>
                      <c:pt idx="41">
                        <c:v>103.82499245656081</c:v>
                      </c:pt>
                      <c:pt idx="42">
                        <c:v>104.04560485501288</c:v>
                      </c:pt>
                      <c:pt idx="43">
                        <c:v>104.27013752634048</c:v>
                      </c:pt>
                      <c:pt idx="44">
                        <c:v>104.49872341439659</c:v>
                      </c:pt>
                      <c:pt idx="45">
                        <c:v>104.731502186629</c:v>
                      </c:pt>
                      <c:pt idx="46">
                        <c:v>104.96862068983408</c:v>
                      </c:pt>
                      <c:pt idx="47">
                        <c:v>105.21023344490602</c:v>
                      </c:pt>
                      <c:pt idx="48">
                        <c:v>105.45650318463832</c:v>
                      </c:pt>
                      <c:pt idx="49">
                        <c:v>105.70760143912933</c:v>
                      </c:pt>
                      <c:pt idx="50">
                        <c:v>105.96370917391309</c:v>
                      </c:pt>
                      <c:pt idx="51">
                        <c:v>106.22501748659084</c:v>
                      </c:pt>
                      <c:pt idx="52">
                        <c:v>106.49172836848744</c:v>
                      </c:pt>
                      <c:pt idx="53">
                        <c:v>106.76405553871398</c:v>
                      </c:pt>
                      <c:pt idx="54">
                        <c:v>107.04222535902014</c:v>
                      </c:pt>
                      <c:pt idx="55">
                        <c:v>107.32647783895982</c:v>
                      </c:pt>
                      <c:pt idx="56">
                        <c:v>107.61706774223308</c:v>
                      </c:pt>
                      <c:pt idx="57">
                        <c:v>107.91426580661188</c:v>
                      </c:pt>
                      <c:pt idx="58">
                        <c:v>108.21836009166573</c:v>
                      </c:pt>
                      <c:pt idx="59">
                        <c:v>108.52965747061434</c:v>
                      </c:pt>
                      <c:pt idx="60">
                        <c:v>108.84848528511223</c:v>
                      </c:pt>
                      <c:pt idx="61">
                        <c:v>109.1751931846849</c:v>
                      </c:pt>
                      <c:pt idx="62">
                        <c:v>109.5101551759799</c:v>
                      </c:pt>
                      <c:pt idx="63">
                        <c:v>109.85377191107006</c:v>
                      </c:pt>
                      <c:pt idx="64">
                        <c:v>110.2064732489021</c:v>
                      </c:pt>
                      <c:pt idx="65">
                        <c:v>110.56872112976444</c:v>
                      </c:pt>
                      <c:pt idx="66">
                        <c:v>110.94101280958728</c:v>
                      </c:pt>
                      <c:pt idx="67">
                        <c:v>111.32388450923423</c:v>
                      </c:pt>
                      <c:pt idx="68">
                        <c:v>111.7179155440249</c:v>
                      </c:pt>
                      <c:pt idx="69">
                        <c:v>112.12373301097533</c:v>
                      </c:pt>
                      <c:pt idx="70">
                        <c:v>112.54201712616999</c:v>
                      </c:pt>
                      <c:pt idx="71">
                        <c:v>112.97350732298592</c:v>
                      </c:pt>
                      <c:pt idx="72">
                        <c:v>113.41900924444532</c:v>
                      </c:pt>
                      <c:pt idx="73">
                        <c:v>113.87940279091434</c:v>
                      </c:pt>
                      <c:pt idx="74">
                        <c:v>114.35565141920709</c:v>
                      </c:pt>
                      <c:pt idx="75">
                        <c:v>114.84881293282233</c:v>
                      </c:pt>
                      <c:pt idx="76">
                        <c:v>115.36005205818402</c:v>
                      </c:pt>
                      <c:pt idx="77">
                        <c:v>115.89065517181785</c:v>
                      </c:pt>
                      <c:pt idx="78">
                        <c:v>116.44204763311224</c:v>
                      </c:pt>
                      <c:pt idx="79">
                        <c:v>117.01581429305966</c:v>
                      </c:pt>
                      <c:pt idx="80">
                        <c:v>117.61372389997007</c:v>
                      </c:pt>
                      <c:pt idx="81">
                        <c:v>118.23775832082042</c:v>
                      </c:pt>
                      <c:pt idx="82">
                        <c:v>118.89014775883521</c:v>
                      </c:pt>
                      <c:pt idx="83">
                        <c:v>119.57341349852298</c:v>
                      </c:pt>
                      <c:pt idx="84">
                        <c:v>120.29042018392775</c:v>
                      </c:pt>
                      <c:pt idx="85">
                        <c:v>121.04444028566404</c:v>
                      </c:pt>
                      <c:pt idx="86">
                        <c:v>121.83923431360157</c:v>
                      </c:pt>
                      <c:pt idx="87">
                        <c:v>122.67915159957485</c:v>
                      </c:pt>
                      <c:pt idx="88">
                        <c:v>123.56925828413632</c:v>
                      </c:pt>
                      <c:pt idx="89">
                        <c:v>124.51550176800914</c:v>
                      </c:pt>
                      <c:pt idx="90">
                        <c:v>125.5249247711447</c:v>
                      </c:pt>
                      <c:pt idx="91">
                        <c:v>126.60594799636512</c:v>
                      </c:pt>
                      <c:pt idx="92">
                        <c:v>127.7687494202832</c:v>
                      </c:pt>
                      <c:pt idx="93">
                        <c:v>129.02578249936866</c:v>
                      </c:pt>
                      <c:pt idx="94">
                        <c:v>130.39249876282358</c:v>
                      </c:pt>
                      <c:pt idx="95">
                        <c:v>131.88837915171533</c:v>
                      </c:pt>
                      <c:pt idx="96">
                        <c:v>133.53844609213243</c:v>
                      </c:pt>
                      <c:pt idx="97">
                        <c:v>135.37555091076521</c:v>
                      </c:pt>
                      <c:pt idx="98">
                        <c:v>137.44396464837254</c:v>
                      </c:pt>
                      <c:pt idx="99">
                        <c:v>139.80527126396703</c:v>
                      </c:pt>
                      <c:pt idx="100">
                        <c:v>142.54858113635109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19-480C-AFDB-4DD5B325C5B6}"/>
                  </c:ext>
                </c:extLst>
              </c15:ser>
            </c15:filteredScatterSeries>
            <c15:filteredScatterSeries>
              <c15:ser>
                <c:idx val="4"/>
                <c:order val="3"/>
                <c:tx>
                  <c:v>G27 105L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rgbClr val="00B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(m;velo)'!$A$2:$A$52</c15:sqref>
                        </c15:formulaRef>
                      </c:ext>
                    </c:extLst>
                    <c:numCache>
                      <c:formatCode>0.00E+00</c:formatCode>
                      <c:ptCount val="51"/>
                      <c:pt idx="0">
                        <c:v>30.854470482189271</c:v>
                      </c:pt>
                      <c:pt idx="1">
                        <c:v>33.939917530408195</c:v>
                      </c:pt>
                      <c:pt idx="2">
                        <c:v>33.939917530408195</c:v>
                      </c:pt>
                      <c:pt idx="3">
                        <c:v>38.568088102736588</c:v>
                      </c:pt>
                      <c:pt idx="4">
                        <c:v>40.110811626846051</c:v>
                      </c:pt>
                      <c:pt idx="5">
                        <c:v>27.769023433970343</c:v>
                      </c:pt>
                      <c:pt idx="6">
                        <c:v>29.311746958079805</c:v>
                      </c:pt>
                      <c:pt idx="7">
                        <c:v>38.568088102736588</c:v>
                      </c:pt>
                      <c:pt idx="8">
                        <c:v>3.8413815750325635</c:v>
                      </c:pt>
                      <c:pt idx="9">
                        <c:v>4.8017269687907049</c:v>
                      </c:pt>
                      <c:pt idx="10">
                        <c:v>6.722417756306986</c:v>
                      </c:pt>
                      <c:pt idx="11">
                        <c:v>9.6034539375814099</c:v>
                      </c:pt>
                      <c:pt idx="12">
                        <c:v>10.563799331339549</c:v>
                      </c:pt>
                      <c:pt idx="13">
                        <c:v>15.365526300130254</c:v>
                      </c:pt>
                      <c:pt idx="14">
                        <c:v>17.286217087646538</c:v>
                      </c:pt>
                      <c:pt idx="15">
                        <c:v>18.246562481404677</c:v>
                      </c:pt>
                      <c:pt idx="16">
                        <c:v>19.20690787516282</c:v>
                      </c:pt>
                      <c:pt idx="17">
                        <c:v>2.8810361812744225</c:v>
                      </c:pt>
                      <c:pt idx="18">
                        <c:v>3.8413815750325635</c:v>
                      </c:pt>
                      <c:pt idx="19">
                        <c:v>4.8017269687907049</c:v>
                      </c:pt>
                      <c:pt idx="20">
                        <c:v>9.6034539375814099</c:v>
                      </c:pt>
                      <c:pt idx="21">
                        <c:v>10.563799331339549</c:v>
                      </c:pt>
                      <c:pt idx="22">
                        <c:v>11.52414472509769</c:v>
                      </c:pt>
                      <c:pt idx="23">
                        <c:v>14.405180906372113</c:v>
                      </c:pt>
                      <c:pt idx="24">
                        <c:v>19.20690787516282</c:v>
                      </c:pt>
                      <c:pt idx="25">
                        <c:v>3.8413815750325635</c:v>
                      </c:pt>
                      <c:pt idx="26">
                        <c:v>5.762072362548845</c:v>
                      </c:pt>
                      <c:pt idx="27">
                        <c:v>6.722417756306986</c:v>
                      </c:pt>
                      <c:pt idx="28">
                        <c:v>9.6034539375814099</c:v>
                      </c:pt>
                      <c:pt idx="29">
                        <c:v>14.405180906372113</c:v>
                      </c:pt>
                      <c:pt idx="30">
                        <c:v>18.246562481404677</c:v>
                      </c:pt>
                      <c:pt idx="31">
                        <c:v>0.57514661383205934</c:v>
                      </c:pt>
                      <c:pt idx="32">
                        <c:v>1.1502932276641187</c:v>
                      </c:pt>
                      <c:pt idx="33">
                        <c:v>1.725439841496178</c:v>
                      </c:pt>
                      <c:pt idx="34">
                        <c:v>2.3005864553282374</c:v>
                      </c:pt>
                      <c:pt idx="35">
                        <c:v>2.8757330691602965</c:v>
                      </c:pt>
                      <c:pt idx="36">
                        <c:v>3.450879682992356</c:v>
                      </c:pt>
                      <c:pt idx="37">
                        <c:v>4.0260262968244147</c:v>
                      </c:pt>
                      <c:pt idx="38">
                        <c:v>5.1763195244885329</c:v>
                      </c:pt>
                      <c:pt idx="39">
                        <c:v>0.57514661383205934</c:v>
                      </c:pt>
                      <c:pt idx="40">
                        <c:v>1.1502932276641187</c:v>
                      </c:pt>
                      <c:pt idx="41">
                        <c:v>1.725439841496178</c:v>
                      </c:pt>
                      <c:pt idx="42">
                        <c:v>2.3005864553282374</c:v>
                      </c:pt>
                      <c:pt idx="43">
                        <c:v>3.450879682992356</c:v>
                      </c:pt>
                      <c:pt idx="44">
                        <c:v>5.7514661383205929</c:v>
                      </c:pt>
                      <c:pt idx="45">
                        <c:v>1.1502932276641187</c:v>
                      </c:pt>
                      <c:pt idx="46">
                        <c:v>1.725439841496178</c:v>
                      </c:pt>
                      <c:pt idx="47">
                        <c:v>2.3005864553282374</c:v>
                      </c:pt>
                      <c:pt idx="48">
                        <c:v>3.450879682992356</c:v>
                      </c:pt>
                      <c:pt idx="49">
                        <c:v>4.6011729106564747</c:v>
                      </c:pt>
                      <c:pt idx="50">
                        <c:v>5.1763195244885329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(m;velo)'!$B$2:$B$52</c15:sqref>
                        </c15:formulaRef>
                      </c:ext>
                    </c:extLst>
                    <c:numCache>
                      <c:formatCode>#,##0.000</c:formatCode>
                      <c:ptCount val="51"/>
                      <c:pt idx="0">
                        <c:v>96.398686048416309</c:v>
                      </c:pt>
                      <c:pt idx="1">
                        <c:v>93.377574558440898</c:v>
                      </c:pt>
                      <c:pt idx="2">
                        <c:v>98.202523299837239</c:v>
                      </c:pt>
                      <c:pt idx="3">
                        <c:v>96.892645099435484</c:v>
                      </c:pt>
                      <c:pt idx="4">
                        <c:v>91.075244856474768</c:v>
                      </c:pt>
                      <c:pt idx="5">
                        <c:v>98.226747141076572</c:v>
                      </c:pt>
                      <c:pt idx="6">
                        <c:v>96.129287571603214</c:v>
                      </c:pt>
                      <c:pt idx="7">
                        <c:v>95.109421909382206</c:v>
                      </c:pt>
                      <c:pt idx="8">
                        <c:v>119.13563169228982</c:v>
                      </c:pt>
                      <c:pt idx="9">
                        <c:v>114.99363409754525</c:v>
                      </c:pt>
                      <c:pt idx="10">
                        <c:v>113.98806242714483</c:v>
                      </c:pt>
                      <c:pt idx="11">
                        <c:v>111.52201761640093</c:v>
                      </c:pt>
                      <c:pt idx="12">
                        <c:v>109.94183356291457</c:v>
                      </c:pt>
                      <c:pt idx="13">
                        <c:v>109.0080884403999</c:v>
                      </c:pt>
                      <c:pt idx="14">
                        <c:v>108.07434331788519</c:v>
                      </c:pt>
                      <c:pt idx="15">
                        <c:v>105.75195160291281</c:v>
                      </c:pt>
                      <c:pt idx="16">
                        <c:v>105.56041414188415</c:v>
                      </c:pt>
                      <c:pt idx="17">
                        <c:v>126.17252703498713</c:v>
                      </c:pt>
                      <c:pt idx="18">
                        <c:v>122.38570023480405</c:v>
                      </c:pt>
                      <c:pt idx="19">
                        <c:v>116.53768922634551</c:v>
                      </c:pt>
                      <c:pt idx="20">
                        <c:v>114.28476694963702</c:v>
                      </c:pt>
                      <c:pt idx="21">
                        <c:v>111.64836854649269</c:v>
                      </c:pt>
                      <c:pt idx="22">
                        <c:v>108.77229755650337</c:v>
                      </c:pt>
                      <c:pt idx="23">
                        <c:v>107.07062222328031</c:v>
                      </c:pt>
                      <c:pt idx="24">
                        <c:v>106.04003012696514</c:v>
                      </c:pt>
                      <c:pt idx="25">
                        <c:v>122.25432118368342</c:v>
                      </c:pt>
                      <c:pt idx="26">
                        <c:v>120.29311410924292</c:v>
                      </c:pt>
                      <c:pt idx="27">
                        <c:v>116.89687746813868</c:v>
                      </c:pt>
                      <c:pt idx="28">
                        <c:v>111.82643966592674</c:v>
                      </c:pt>
                      <c:pt idx="29">
                        <c:v>111.41984795537198</c:v>
                      </c:pt>
                      <c:pt idx="30">
                        <c:v>110.00873554815261</c:v>
                      </c:pt>
                      <c:pt idx="31">
                        <c:v>140.09555954729694</c:v>
                      </c:pt>
                      <c:pt idx="32">
                        <c:v>125.70535893441595</c:v>
                      </c:pt>
                      <c:pt idx="33">
                        <c:v>123.2687711812389</c:v>
                      </c:pt>
                      <c:pt idx="34">
                        <c:v>121.06150933424321</c:v>
                      </c:pt>
                      <c:pt idx="35">
                        <c:v>120.63152326015314</c:v>
                      </c:pt>
                      <c:pt idx="36">
                        <c:v>120.05820849469971</c:v>
                      </c:pt>
                      <c:pt idx="37">
                        <c:v>118.13760403043072</c:v>
                      </c:pt>
                      <c:pt idx="38">
                        <c:v>116.90497728470585</c:v>
                      </c:pt>
                      <c:pt idx="39">
                        <c:v>151.18427342926574</c:v>
                      </c:pt>
                      <c:pt idx="40">
                        <c:v>140.46954198969809</c:v>
                      </c:pt>
                      <c:pt idx="41">
                        <c:v>133.86260302177348</c:v>
                      </c:pt>
                      <c:pt idx="42">
                        <c:v>126.30771195903883</c:v>
                      </c:pt>
                      <c:pt idx="43">
                        <c:v>121.05088661287125</c:v>
                      </c:pt>
                      <c:pt idx="44">
                        <c:v>119.21243402712456</c:v>
                      </c:pt>
                      <c:pt idx="45">
                        <c:v>138.21626111911107</c:v>
                      </c:pt>
                      <c:pt idx="46">
                        <c:v>129.98058130777247</c:v>
                      </c:pt>
                      <c:pt idx="47">
                        <c:v>127.25448519557391</c:v>
                      </c:pt>
                      <c:pt idx="48">
                        <c:v>124.93012956898552</c:v>
                      </c:pt>
                      <c:pt idx="49">
                        <c:v>121.94577173299243</c:v>
                      </c:pt>
                      <c:pt idx="50">
                        <c:v>120.56837580196087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19-480C-AFDB-4DD5B325C5B6}"/>
                  </c:ext>
                </c:extLst>
              </c15:ser>
            </c15:filteredScatterSeries>
            <c15:filteredScatterSeries>
              <c15:ser>
                <c:idx val="5"/>
                <c:order val="4"/>
                <c:tx>
                  <c:v>Fit G27 105L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40.110811626846086</c:v>
                      </c:pt>
                      <c:pt idx="1">
                        <c:v>39.715454976715939</c:v>
                      </c:pt>
                      <c:pt idx="2">
                        <c:v>39.3200983265858</c:v>
                      </c:pt>
                      <c:pt idx="3">
                        <c:v>38.924741676455668</c:v>
                      </c:pt>
                      <c:pt idx="4">
                        <c:v>38.529385026325507</c:v>
                      </c:pt>
                      <c:pt idx="5">
                        <c:v>38.134028376195381</c:v>
                      </c:pt>
                      <c:pt idx="6">
                        <c:v>37.738671726065242</c:v>
                      </c:pt>
                      <c:pt idx="7">
                        <c:v>37.343315075935088</c:v>
                      </c:pt>
                      <c:pt idx="8">
                        <c:v>36.947958425804956</c:v>
                      </c:pt>
                      <c:pt idx="9">
                        <c:v>36.552601775674809</c:v>
                      </c:pt>
                      <c:pt idx="10">
                        <c:v>36.157245125544677</c:v>
                      </c:pt>
                      <c:pt idx="11">
                        <c:v>35.76188847541453</c:v>
                      </c:pt>
                      <c:pt idx="12">
                        <c:v>35.366531825284397</c:v>
                      </c:pt>
                      <c:pt idx="13">
                        <c:v>34.971175175154265</c:v>
                      </c:pt>
                      <c:pt idx="14">
                        <c:v>34.575818525024118</c:v>
                      </c:pt>
                      <c:pt idx="15">
                        <c:v>34.180461874893979</c:v>
                      </c:pt>
                      <c:pt idx="16">
                        <c:v>33.785105224763832</c:v>
                      </c:pt>
                      <c:pt idx="17">
                        <c:v>33.389748574633693</c:v>
                      </c:pt>
                      <c:pt idx="18">
                        <c:v>32.994391924503567</c:v>
                      </c:pt>
                      <c:pt idx="19">
                        <c:v>32.599035274373414</c:v>
                      </c:pt>
                      <c:pt idx="20">
                        <c:v>32.203678624243281</c:v>
                      </c:pt>
                      <c:pt idx="21">
                        <c:v>31.808321974113131</c:v>
                      </c:pt>
                      <c:pt idx="22">
                        <c:v>31.412965323983002</c:v>
                      </c:pt>
                      <c:pt idx="23">
                        <c:v>31.017608673852862</c:v>
                      </c:pt>
                      <c:pt idx="24">
                        <c:v>30.622252023722726</c:v>
                      </c:pt>
                      <c:pt idx="25">
                        <c:v>30.226895373592569</c:v>
                      </c:pt>
                      <c:pt idx="26">
                        <c:v>29.831538723462437</c:v>
                      </c:pt>
                      <c:pt idx="27">
                        <c:v>29.436182073332297</c:v>
                      </c:pt>
                      <c:pt idx="28">
                        <c:v>29.040825423202161</c:v>
                      </c:pt>
                      <c:pt idx="29">
                        <c:v>28.645468773072011</c:v>
                      </c:pt>
                      <c:pt idx="30">
                        <c:v>28.250112122941886</c:v>
                      </c:pt>
                      <c:pt idx="31">
                        <c:v>27.854755472811746</c:v>
                      </c:pt>
                      <c:pt idx="32">
                        <c:v>27.459398822681582</c:v>
                      </c:pt>
                      <c:pt idx="33">
                        <c:v>27.064042172551449</c:v>
                      </c:pt>
                      <c:pt idx="34">
                        <c:v>26.668685522421317</c:v>
                      </c:pt>
                      <c:pt idx="35">
                        <c:v>26.27332887229117</c:v>
                      </c:pt>
                      <c:pt idx="36">
                        <c:v>25.877972222161031</c:v>
                      </c:pt>
                      <c:pt idx="37">
                        <c:v>25.482615572030898</c:v>
                      </c:pt>
                      <c:pt idx="38">
                        <c:v>25.087258921900752</c:v>
                      </c:pt>
                      <c:pt idx="39">
                        <c:v>24.691902271770612</c:v>
                      </c:pt>
                      <c:pt idx="40">
                        <c:v>24.296545621640458</c:v>
                      </c:pt>
                      <c:pt idx="41">
                        <c:v>23.901188971510326</c:v>
                      </c:pt>
                      <c:pt idx="42">
                        <c:v>23.50583232138019</c:v>
                      </c:pt>
                      <c:pt idx="43">
                        <c:v>23.110475671250047</c:v>
                      </c:pt>
                      <c:pt idx="44">
                        <c:v>22.715119021119911</c:v>
                      </c:pt>
                      <c:pt idx="45">
                        <c:v>22.319762370989764</c:v>
                      </c:pt>
                      <c:pt idx="46">
                        <c:v>21.924405720859639</c:v>
                      </c:pt>
                      <c:pt idx="47">
                        <c:v>21.529049070729485</c:v>
                      </c:pt>
                      <c:pt idx="48">
                        <c:v>21.133692420599345</c:v>
                      </c:pt>
                      <c:pt idx="49">
                        <c:v>20.73833577046921</c:v>
                      </c:pt>
                      <c:pt idx="50">
                        <c:v>20.34297912033907</c:v>
                      </c:pt>
                      <c:pt idx="51">
                        <c:v>19.947622470208938</c:v>
                      </c:pt>
                      <c:pt idx="52">
                        <c:v>19.552265820078791</c:v>
                      </c:pt>
                      <c:pt idx="53">
                        <c:v>19.156909169948644</c:v>
                      </c:pt>
                      <c:pt idx="54">
                        <c:v>18.761552519818508</c:v>
                      </c:pt>
                      <c:pt idx="55">
                        <c:v>18.366195869688365</c:v>
                      </c:pt>
                      <c:pt idx="56">
                        <c:v>17.970839219558222</c:v>
                      </c:pt>
                      <c:pt idx="57">
                        <c:v>17.57548256942809</c:v>
                      </c:pt>
                      <c:pt idx="58">
                        <c:v>17.18012591929795</c:v>
                      </c:pt>
                      <c:pt idx="59">
                        <c:v>16.784769269167803</c:v>
                      </c:pt>
                      <c:pt idx="60">
                        <c:v>16.389412619037664</c:v>
                      </c:pt>
                      <c:pt idx="61">
                        <c:v>15.994055968907521</c:v>
                      </c:pt>
                      <c:pt idx="62">
                        <c:v>15.598699318777388</c:v>
                      </c:pt>
                      <c:pt idx="63">
                        <c:v>15.203342668647249</c:v>
                      </c:pt>
                      <c:pt idx="64">
                        <c:v>14.807986018517109</c:v>
                      </c:pt>
                      <c:pt idx="65">
                        <c:v>14.412629368386964</c:v>
                      </c:pt>
                      <c:pt idx="66">
                        <c:v>14.017272718256821</c:v>
                      </c:pt>
                      <c:pt idx="67">
                        <c:v>13.621916068126687</c:v>
                      </c:pt>
                      <c:pt idx="68">
                        <c:v>13.226559417996542</c:v>
                      </c:pt>
                      <c:pt idx="69">
                        <c:v>12.831202767866404</c:v>
                      </c:pt>
                      <c:pt idx="70">
                        <c:v>12.435846117736261</c:v>
                      </c:pt>
                      <c:pt idx="71">
                        <c:v>12.040489467606125</c:v>
                      </c:pt>
                      <c:pt idx="72">
                        <c:v>11.645132817475986</c:v>
                      </c:pt>
                      <c:pt idx="73">
                        <c:v>11.249776167345845</c:v>
                      </c:pt>
                      <c:pt idx="74">
                        <c:v>10.854419517215701</c:v>
                      </c:pt>
                      <c:pt idx="75">
                        <c:v>10.459062867085564</c:v>
                      </c:pt>
                      <c:pt idx="76">
                        <c:v>10.063706216955426</c:v>
                      </c:pt>
                      <c:pt idx="77">
                        <c:v>9.6683495668252828</c:v>
                      </c:pt>
                      <c:pt idx="78">
                        <c:v>9.2729929166951433</c:v>
                      </c:pt>
                      <c:pt idx="79">
                        <c:v>8.8776362665650055</c:v>
                      </c:pt>
                      <c:pt idx="80">
                        <c:v>8.4822796164348588</c:v>
                      </c:pt>
                      <c:pt idx="81">
                        <c:v>8.0869229663047211</c:v>
                      </c:pt>
                      <c:pt idx="82">
                        <c:v>7.6915663161745877</c:v>
                      </c:pt>
                      <c:pt idx="83">
                        <c:v>7.2962096660444402</c:v>
                      </c:pt>
                      <c:pt idx="84">
                        <c:v>6.9008530159143007</c:v>
                      </c:pt>
                      <c:pt idx="85">
                        <c:v>6.5054963657841611</c:v>
                      </c:pt>
                      <c:pt idx="86">
                        <c:v>6.1101397156540225</c:v>
                      </c:pt>
                      <c:pt idx="87">
                        <c:v>5.7147830655238829</c:v>
                      </c:pt>
                      <c:pt idx="88">
                        <c:v>5.3194264153937434</c:v>
                      </c:pt>
                      <c:pt idx="89">
                        <c:v>4.9240697652636038</c:v>
                      </c:pt>
                      <c:pt idx="90">
                        <c:v>4.5287131151334643</c:v>
                      </c:pt>
                      <c:pt idx="91">
                        <c:v>4.1333564650033168</c:v>
                      </c:pt>
                      <c:pt idx="92">
                        <c:v>3.7379998148731852</c:v>
                      </c:pt>
                      <c:pt idx="93">
                        <c:v>3.3426431647430457</c:v>
                      </c:pt>
                      <c:pt idx="94">
                        <c:v>2.9472865146128981</c:v>
                      </c:pt>
                      <c:pt idx="95">
                        <c:v>2.551929864482759</c:v>
                      </c:pt>
                      <c:pt idx="96">
                        <c:v>2.1565732143526266</c:v>
                      </c:pt>
                      <c:pt idx="97">
                        <c:v>1.7612165642224797</c:v>
                      </c:pt>
                      <c:pt idx="98">
                        <c:v>1.36585991409234</c:v>
                      </c:pt>
                      <c:pt idx="99">
                        <c:v>0.97050326396220032</c:v>
                      </c:pt>
                      <c:pt idx="100">
                        <c:v>0.57514661383206078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96.721121538082215</c:v>
                      </c:pt>
                      <c:pt idx="1">
                        <c:v>96.812390259445195</c:v>
                      </c:pt>
                      <c:pt idx="2">
                        <c:v>96.904659517054228</c:v>
                      </c:pt>
                      <c:pt idx="3">
                        <c:v>96.997950506456334</c:v>
                      </c:pt>
                      <c:pt idx="4">
                        <c:v>97.092285093291778</c:v>
                      </c:pt>
                      <c:pt idx="5">
                        <c:v>97.187685841612947</c:v>
                      </c:pt>
                      <c:pt idx="6">
                        <c:v>97.284176043707419</c:v>
                      </c:pt>
                      <c:pt idx="7">
                        <c:v>97.381779751522473</c:v>
                      </c:pt>
                      <c:pt idx="8">
                        <c:v>97.480521809794993</c:v>
                      </c:pt>
                      <c:pt idx="9">
                        <c:v>97.580427890997569</c:v>
                      </c:pt>
                      <c:pt idx="10">
                        <c:v>97.68152453222298</c:v>
                      </c:pt>
                      <c:pt idx="11">
                        <c:v>97.783839174135281</c:v>
                      </c:pt>
                      <c:pt idx="12">
                        <c:v>97.887400202129214</c:v>
                      </c:pt>
                      <c:pt idx="13">
                        <c:v>97.992236989848266</c:v>
                      </c:pt>
                      <c:pt idx="14">
                        <c:v>98.098379945224707</c:v>
                      </c:pt>
                      <c:pt idx="15">
                        <c:v>98.205860559219929</c:v>
                      </c:pt>
                      <c:pt idx="16">
                        <c:v>98.314711457455346</c:v>
                      </c:pt>
                      <c:pt idx="17">
                        <c:v>98.424966454941867</c:v>
                      </c:pt>
                      <c:pt idx="18">
                        <c:v>98.536660614132558</c:v>
                      </c:pt>
                      <c:pt idx="19">
                        <c:v>98.649830306544501</c:v>
                      </c:pt>
                      <c:pt idx="20">
                        <c:v>98.76451327821249</c:v>
                      </c:pt>
                      <c:pt idx="21">
                        <c:v>98.880748719266947</c:v>
                      </c:pt>
                      <c:pt idx="22">
                        <c:v>98.998577337946912</c:v>
                      </c:pt>
                      <c:pt idx="23">
                        <c:v>99.118041439393949</c:v>
                      </c:pt>
                      <c:pt idx="24">
                        <c:v>99.239185009598685</c:v>
                      </c:pt>
                      <c:pt idx="25">
                        <c:v>99.362053804910289</c:v>
                      </c:pt>
                      <c:pt idx="26">
                        <c:v>99.486695447553586</c:v>
                      </c:pt>
                      <c:pt idx="27">
                        <c:v>99.613159527645024</c:v>
                      </c:pt>
                      <c:pt idx="28">
                        <c:v>99.741497712240871</c:v>
                      </c:pt>
                      <c:pt idx="29">
                        <c:v>99.871763862008436</c:v>
                      </c:pt>
                      <c:pt idx="30">
                        <c:v>100.00401415616425</c:v>
                      </c:pt>
                      <c:pt idx="31">
                        <c:v>100.13830722639091</c:v>
                      </c:pt>
                      <c:pt idx="32">
                        <c:v>100.27470430051604</c:v>
                      </c:pt>
                      <c:pt idx="33">
                        <c:v>100.41326935681482</c:v>
                      </c:pt>
                      <c:pt idx="34">
                        <c:v>100.55406928989353</c:v>
                      </c:pt>
                      <c:pt idx="35">
                        <c:v>100.69717408920459</c:v>
                      </c:pt>
                      <c:pt idx="36">
                        <c:v>100.84265703136593</c:v>
                      </c:pt>
                      <c:pt idx="37">
                        <c:v>100.99059488757729</c:v>
                      </c:pt>
                      <c:pt idx="38">
                        <c:v>101.14106814757645</c:v>
                      </c:pt>
                      <c:pt idx="39">
                        <c:v>101.29416126173662</c:v>
                      </c:pt>
                      <c:pt idx="40">
                        <c:v>101.44996290309169</c:v>
                      </c:pt>
                      <c:pt idx="41">
                        <c:v>101.60856625128423</c:v>
                      </c:pt>
                      <c:pt idx="42">
                        <c:v>101.77006930066614</c:v>
                      </c:pt>
                      <c:pt idx="43">
                        <c:v>101.93457519505286</c:v>
                      </c:pt>
                      <c:pt idx="44">
                        <c:v>102.10219259193603</c:v>
                      </c:pt>
                      <c:pt idx="45">
                        <c:v>102.27303605931037</c:v>
                      </c:pt>
                      <c:pt idx="46">
                        <c:v>102.44722650867125</c:v>
                      </c:pt>
                      <c:pt idx="47">
                        <c:v>102.6248916681996</c:v>
                      </c:pt>
                      <c:pt idx="48">
                        <c:v>102.80616660067797</c:v>
                      </c:pt>
                      <c:pt idx="49">
                        <c:v>102.99119427129128</c:v>
                      </c:pt>
                      <c:pt idx="50">
                        <c:v>103.18012617117456</c:v>
                      </c:pt>
                      <c:pt idx="51">
                        <c:v>103.37312300337805</c:v>
                      </c:pt>
                      <c:pt idx="52">
                        <c:v>103.57035543887996</c:v>
                      </c:pt>
                      <c:pt idx="53">
                        <c:v>103.77200495137534</c:v>
                      </c:pt>
                      <c:pt idx="54">
                        <c:v>103.97826474086608</c:v>
                      </c:pt>
                      <c:pt idx="55">
                        <c:v>104.18934075759535</c:v>
                      </c:pt>
                      <c:pt idx="56">
                        <c:v>104.40545283965133</c:v>
                      </c:pt>
                      <c:pt idx="57">
                        <c:v>104.62683597967283</c:v>
                      </c:pt>
                      <c:pt idx="58">
                        <c:v>104.8537417385828</c:v>
                      </c:pt>
                      <c:pt idx="59">
                        <c:v>105.08643982724215</c:v>
                      </c:pt>
                      <c:pt idx="60">
                        <c:v>105.32521988045561</c:v>
                      </c:pt>
                      <c:pt idx="61">
                        <c:v>105.57039345199514</c:v>
                      </c:pt>
                      <c:pt idx="62">
                        <c:v>105.82229626441232</c:v>
                      </c:pt>
                      <c:pt idx="63">
                        <c:v>106.08129075356587</c:v>
                      </c:pt>
                      <c:pt idx="64">
                        <c:v>106.34776895527088</c:v>
                      </c:pt>
                      <c:pt idx="65">
                        <c:v>106.62215579058918</c:v>
                      </c:pt>
                      <c:pt idx="66">
                        <c:v>106.90491281745842</c:v>
                      </c:pt>
                      <c:pt idx="67">
                        <c:v>107.19654253011949</c:v>
                      </c:pt>
                      <c:pt idx="68">
                        <c:v>107.49759330485941</c:v>
                      </c:pt>
                      <c:pt idx="69">
                        <c:v>107.80866511183604</c:v>
                      </c:pt>
                      <c:pt idx="70">
                        <c:v>108.13041613940059</c:v>
                      </c:pt>
                      <c:pt idx="71">
                        <c:v>108.46357051096359</c:v>
                      </c:pt>
                      <c:pt idx="72">
                        <c:v>108.80892731719256</c:v>
                      </c:pt>
                      <c:pt idx="73">
                        <c:v>109.16737124104458</c:v>
                      </c:pt>
                      <c:pt idx="74">
                        <c:v>109.53988512374484</c:v>
                      </c:pt>
                      <c:pt idx="75">
                        <c:v>109.92756491168086</c:v>
                      </c:pt>
                      <c:pt idx="76">
                        <c:v>110.33163754477692</c:v>
                      </c:pt>
                      <c:pt idx="77">
                        <c:v>110.7534825067363</c:v>
                      </c:pt>
                      <c:pt idx="78">
                        <c:v>111.19465797153826</c:v>
                      </c:pt>
                      <c:pt idx="79">
                        <c:v>111.65693277028493</c:v>
                      </c:pt>
                      <c:pt idx="80">
                        <c:v>112.14232579938893</c:v>
                      </c:pt>
                      <c:pt idx="81">
                        <c:v>112.65315504186368</c:v>
                      </c:pt>
                      <c:pt idx="82">
                        <c:v>113.19209914855539</c:v>
                      </c:pt>
                      <c:pt idx="83">
                        <c:v>113.76227563360746</c:v>
                      </c:pt>
                      <c:pt idx="84">
                        <c:v>114.36734134743486</c:v>
                      </c:pt>
                      <c:pt idx="85">
                        <c:v>115.01162327137307</c:v>
                      </c:pt>
                      <c:pt idx="86">
                        <c:v>115.70029127336244</c:v>
                      </c:pt>
                      <c:pt idx="87">
                        <c:v>116.4395900163931</c:v>
                      </c:pt>
                      <c:pt idx="88">
                        <c:v>117.2371560048494</c:v>
                      </c:pt>
                      <c:pt idx="89">
                        <c:v>118.10246008013389</c:v>
                      </c:pt>
                      <c:pt idx="90">
                        <c:v>119.04743977916773</c:v>
                      </c:pt>
                      <c:pt idx="91">
                        <c:v>120.08742803768742</c:v>
                      </c:pt>
                      <c:pt idx="92">
                        <c:v>121.24256133967648</c:v>
                      </c:pt>
                      <c:pt idx="93">
                        <c:v>122.53999710052044</c:v>
                      </c:pt>
                      <c:pt idx="94">
                        <c:v>124.01756807830155</c:v>
                      </c:pt>
                      <c:pt idx="95">
                        <c:v>125.73015224427199</c:v>
                      </c:pt>
                      <c:pt idx="96">
                        <c:v>127.76159003469387</c:v>
                      </c:pt>
                      <c:pt idx="97">
                        <c:v>130.24914122679834</c:v>
                      </c:pt>
                      <c:pt idx="98">
                        <c:v>133.44047032382267</c:v>
                      </c:pt>
                      <c:pt idx="99">
                        <c:v>137.85381418872177</c:v>
                      </c:pt>
                      <c:pt idx="100">
                        <c:v>144.89522407938779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919-480C-AFDB-4DD5B325C5B6}"/>
                  </c:ext>
                </c:extLst>
              </c15:ser>
            </c15:filteredScatterSeries>
            <c15:filteredScatterSeries>
              <c15:ser>
                <c:idx val="6"/>
                <c:order val="5"/>
                <c:tx>
                  <c:v>G30 85L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(m;velo)'!$A$2:$A$42</c15:sqref>
                        </c15:formulaRef>
                      </c:ext>
                    </c:extLst>
                    <c:numCache>
                      <c:formatCode>0.00E+00</c:formatCode>
                      <c:ptCount val="41"/>
                      <c:pt idx="0">
                        <c:v>30.373414329104897</c:v>
                      </c:pt>
                      <c:pt idx="1">
                        <c:v>3.9390521708057915</c:v>
                      </c:pt>
                      <c:pt idx="2">
                        <c:v>6.3024834732892669</c:v>
                      </c:pt>
                      <c:pt idx="3">
                        <c:v>7.090293907450425</c:v>
                      </c:pt>
                      <c:pt idx="4">
                        <c:v>9.4537252099338982</c:v>
                      </c:pt>
                      <c:pt idx="5">
                        <c:v>10.241535644095059</c:v>
                      </c:pt>
                      <c:pt idx="6">
                        <c:v>11.029346078256216</c:v>
                      </c:pt>
                      <c:pt idx="7">
                        <c:v>14.968398249062007</c:v>
                      </c:pt>
                      <c:pt idx="8">
                        <c:v>3.1512417366446335</c:v>
                      </c:pt>
                      <c:pt idx="9">
                        <c:v>3.9390521708057915</c:v>
                      </c:pt>
                      <c:pt idx="10">
                        <c:v>6.3024834732892669</c:v>
                      </c:pt>
                      <c:pt idx="11">
                        <c:v>8.6659147757727411</c:v>
                      </c:pt>
                      <c:pt idx="12">
                        <c:v>9.4537252099338982</c:v>
                      </c:pt>
                      <c:pt idx="13">
                        <c:v>14.968398249062007</c:v>
                      </c:pt>
                      <c:pt idx="14">
                        <c:v>3.1512417366446335</c:v>
                      </c:pt>
                      <c:pt idx="15">
                        <c:v>3.9390521708057915</c:v>
                      </c:pt>
                      <c:pt idx="16">
                        <c:v>4.7268626049669491</c:v>
                      </c:pt>
                      <c:pt idx="17">
                        <c:v>6.3024834732892669</c:v>
                      </c:pt>
                      <c:pt idx="18">
                        <c:v>7.878104341611583</c:v>
                      </c:pt>
                      <c:pt idx="19">
                        <c:v>8.6659147757727411</c:v>
                      </c:pt>
                      <c:pt idx="20">
                        <c:v>9.4537252099338982</c:v>
                      </c:pt>
                      <c:pt idx="21">
                        <c:v>10.241535644095059</c:v>
                      </c:pt>
                      <c:pt idx="22">
                        <c:v>13.392777380739691</c:v>
                      </c:pt>
                      <c:pt idx="23">
                        <c:v>14.968398249062007</c:v>
                      </c:pt>
                      <c:pt idx="24">
                        <c:v>0.94363237746411799</c:v>
                      </c:pt>
                      <c:pt idx="25">
                        <c:v>1.4154485661961771</c:v>
                      </c:pt>
                      <c:pt idx="26">
                        <c:v>1.887264754928236</c:v>
                      </c:pt>
                      <c:pt idx="27">
                        <c:v>2.8308971323923542</c:v>
                      </c:pt>
                      <c:pt idx="28">
                        <c:v>3.774529509856472</c:v>
                      </c:pt>
                      <c:pt idx="29">
                        <c:v>0.94363237746411799</c:v>
                      </c:pt>
                      <c:pt idx="30">
                        <c:v>1.4154485661961771</c:v>
                      </c:pt>
                      <c:pt idx="31">
                        <c:v>1.887264754928236</c:v>
                      </c:pt>
                      <c:pt idx="32">
                        <c:v>2.3590809436602953</c:v>
                      </c:pt>
                      <c:pt idx="33">
                        <c:v>3.3027133211244135</c:v>
                      </c:pt>
                      <c:pt idx="34">
                        <c:v>3.774529509856472</c:v>
                      </c:pt>
                      <c:pt idx="35">
                        <c:v>0.47181618873205899</c:v>
                      </c:pt>
                      <c:pt idx="36">
                        <c:v>0.94363237746411799</c:v>
                      </c:pt>
                      <c:pt idx="37">
                        <c:v>1.4154485661961771</c:v>
                      </c:pt>
                      <c:pt idx="38">
                        <c:v>1.887264754928236</c:v>
                      </c:pt>
                      <c:pt idx="39">
                        <c:v>2.8308971323923542</c:v>
                      </c:pt>
                      <c:pt idx="40">
                        <c:v>3.774529509856472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(m;velo)'!$B$2:$B$42</c15:sqref>
                        </c15:formulaRef>
                      </c:ext>
                    </c:extLst>
                    <c:numCache>
                      <c:formatCode>#,##0.000</c:formatCode>
                      <c:ptCount val="41"/>
                      <c:pt idx="0">
                        <c:v>100.92286507311093</c:v>
                      </c:pt>
                      <c:pt idx="1">
                        <c:v>117.92779020417348</c:v>
                      </c:pt>
                      <c:pt idx="2">
                        <c:v>117.59224858897701</c:v>
                      </c:pt>
                      <c:pt idx="3">
                        <c:v>115.98644228767971</c:v>
                      </c:pt>
                      <c:pt idx="4">
                        <c:v>113.70955275598949</c:v>
                      </c:pt>
                      <c:pt idx="5">
                        <c:v>110.78554725213468</c:v>
                      </c:pt>
                      <c:pt idx="6">
                        <c:v>110.45000563693822</c:v>
                      </c:pt>
                      <c:pt idx="7">
                        <c:v>107.11855674320198</c:v>
                      </c:pt>
                      <c:pt idx="8">
                        <c:v>123.83285370717226</c:v>
                      </c:pt>
                      <c:pt idx="9">
                        <c:v>121.48897208098484</c:v>
                      </c:pt>
                      <c:pt idx="10">
                        <c:v>115.31834494014291</c:v>
                      </c:pt>
                      <c:pt idx="11">
                        <c:v>111.80252250868433</c:v>
                      </c:pt>
                      <c:pt idx="12">
                        <c:v>106.66033323073361</c:v>
                      </c:pt>
                      <c:pt idx="13">
                        <c:v>107.66485392543608</c:v>
                      </c:pt>
                      <c:pt idx="14">
                        <c:v>126.05358399617073</c:v>
                      </c:pt>
                      <c:pt idx="15">
                        <c:v>122.3402146342103</c:v>
                      </c:pt>
                      <c:pt idx="16">
                        <c:v>121.42984020955707</c:v>
                      </c:pt>
                      <c:pt idx="17">
                        <c:v>120.2080219034444</c:v>
                      </c:pt>
                      <c:pt idx="18">
                        <c:v>119.65700580491604</c:v>
                      </c:pt>
                      <c:pt idx="19">
                        <c:v>119.15390415001005</c:v>
                      </c:pt>
                      <c:pt idx="20">
                        <c:v>117.02171141820115</c:v>
                      </c:pt>
                      <c:pt idx="21">
                        <c:v>115.46449200568877</c:v>
                      </c:pt>
                      <c:pt idx="22">
                        <c:v>114.19475925699673</c:v>
                      </c:pt>
                      <c:pt idx="23">
                        <c:v>113.21251317212499</c:v>
                      </c:pt>
                      <c:pt idx="24">
                        <c:v>142.93996264007947</c:v>
                      </c:pt>
                      <c:pt idx="25">
                        <c:v>134.83928095904344</c:v>
                      </c:pt>
                      <c:pt idx="26">
                        <c:v>129.61118143440314</c:v>
                      </c:pt>
                      <c:pt idx="27">
                        <c:v>123.86601712161163</c:v>
                      </c:pt>
                      <c:pt idx="28">
                        <c:v>116.62711008749434</c:v>
                      </c:pt>
                      <c:pt idx="29">
                        <c:v>146.77930375930265</c:v>
                      </c:pt>
                      <c:pt idx="30">
                        <c:v>138.46534309984125</c:v>
                      </c:pt>
                      <c:pt idx="31">
                        <c:v>136.13513267246216</c:v>
                      </c:pt>
                      <c:pt idx="32">
                        <c:v>127.64856384573423</c:v>
                      </c:pt>
                      <c:pt idx="33">
                        <c:v>125.692337807626</c:v>
                      </c:pt>
                      <c:pt idx="34">
                        <c:v>124.16763221579347</c:v>
                      </c:pt>
                      <c:pt idx="35">
                        <c:v>149.57811851645184</c:v>
                      </c:pt>
                      <c:pt idx="36">
                        <c:v>146.47767934153356</c:v>
                      </c:pt>
                      <c:pt idx="37">
                        <c:v>140.53517091794299</c:v>
                      </c:pt>
                      <c:pt idx="38">
                        <c:v>133.81755271061729</c:v>
                      </c:pt>
                      <c:pt idx="39">
                        <c:v>130.7171135332004</c:v>
                      </c:pt>
                      <c:pt idx="40">
                        <c:v>122.36315241384239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919-480C-AFDB-4DD5B325C5B6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Fit G30 85L</c:v>
                </c:tx>
                <c:spPr>
                  <a:ln w="1270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30.3734143291049</c:v>
                      </c:pt>
                      <c:pt idx="1">
                        <c:v>30.074398347701177</c:v>
                      </c:pt>
                      <c:pt idx="2">
                        <c:v>29.77538236629745</c:v>
                      </c:pt>
                      <c:pt idx="3">
                        <c:v>29.476366384893716</c:v>
                      </c:pt>
                      <c:pt idx="4">
                        <c:v>29.177350403489992</c:v>
                      </c:pt>
                      <c:pt idx="5">
                        <c:v>28.878334422086272</c:v>
                      </c:pt>
                      <c:pt idx="6">
                        <c:v>28.579318440682535</c:v>
                      </c:pt>
                      <c:pt idx="7">
                        <c:v>28.280302459278808</c:v>
                      </c:pt>
                      <c:pt idx="8">
                        <c:v>27.981286477875088</c:v>
                      </c:pt>
                      <c:pt idx="9">
                        <c:v>27.68227049647135</c:v>
                      </c:pt>
                      <c:pt idx="10">
                        <c:v>27.38325451506763</c:v>
                      </c:pt>
                      <c:pt idx="11">
                        <c:v>27.084238533663889</c:v>
                      </c:pt>
                      <c:pt idx="12">
                        <c:v>26.785222552260166</c:v>
                      </c:pt>
                      <c:pt idx="13">
                        <c:v>26.486206570856449</c:v>
                      </c:pt>
                      <c:pt idx="14">
                        <c:v>26.187190589452708</c:v>
                      </c:pt>
                      <c:pt idx="15">
                        <c:v>25.888174608048981</c:v>
                      </c:pt>
                      <c:pt idx="16">
                        <c:v>25.589158626645254</c:v>
                      </c:pt>
                      <c:pt idx="17">
                        <c:v>25.290142645241531</c:v>
                      </c:pt>
                      <c:pt idx="18">
                        <c:v>24.991126663837797</c:v>
                      </c:pt>
                      <c:pt idx="19">
                        <c:v>24.692110682434063</c:v>
                      </c:pt>
                      <c:pt idx="20">
                        <c:v>24.393094701030343</c:v>
                      </c:pt>
                      <c:pt idx="21">
                        <c:v>24.094078719626623</c:v>
                      </c:pt>
                      <c:pt idx="22">
                        <c:v>23.795062738222885</c:v>
                      </c:pt>
                      <c:pt idx="23">
                        <c:v>23.496046756819158</c:v>
                      </c:pt>
                      <c:pt idx="24">
                        <c:v>23.197030775415431</c:v>
                      </c:pt>
                      <c:pt idx="25">
                        <c:v>22.898014794011697</c:v>
                      </c:pt>
                      <c:pt idx="26">
                        <c:v>22.598998812607967</c:v>
                      </c:pt>
                      <c:pt idx="27">
                        <c:v>22.29998283120424</c:v>
                      </c:pt>
                      <c:pt idx="28">
                        <c:v>22.000966849800513</c:v>
                      </c:pt>
                      <c:pt idx="29">
                        <c:v>21.701950868396793</c:v>
                      </c:pt>
                      <c:pt idx="30">
                        <c:v>21.402934886993059</c:v>
                      </c:pt>
                      <c:pt idx="31">
                        <c:v>21.103918905589328</c:v>
                      </c:pt>
                      <c:pt idx="32">
                        <c:v>20.804902924185594</c:v>
                      </c:pt>
                      <c:pt idx="33">
                        <c:v>20.505886942781871</c:v>
                      </c:pt>
                      <c:pt idx="34">
                        <c:v>20.206870961378144</c:v>
                      </c:pt>
                      <c:pt idx="35">
                        <c:v>19.907854979974413</c:v>
                      </c:pt>
                      <c:pt idx="36">
                        <c:v>19.608838998570693</c:v>
                      </c:pt>
                      <c:pt idx="37">
                        <c:v>19.309823017166952</c:v>
                      </c:pt>
                      <c:pt idx="38">
                        <c:v>19.010807035763222</c:v>
                      </c:pt>
                      <c:pt idx="39">
                        <c:v>18.711791054359495</c:v>
                      </c:pt>
                      <c:pt idx="40">
                        <c:v>18.412775072955775</c:v>
                      </c:pt>
                      <c:pt idx="41">
                        <c:v>18.113759091552037</c:v>
                      </c:pt>
                      <c:pt idx="42">
                        <c:v>17.81474311014831</c:v>
                      </c:pt>
                      <c:pt idx="43">
                        <c:v>17.51572712874459</c:v>
                      </c:pt>
                      <c:pt idx="44">
                        <c:v>17.216711147340856</c:v>
                      </c:pt>
                      <c:pt idx="45">
                        <c:v>16.917695165937126</c:v>
                      </c:pt>
                      <c:pt idx="46">
                        <c:v>16.618679184533399</c:v>
                      </c:pt>
                      <c:pt idx="47">
                        <c:v>16.319663203129672</c:v>
                      </c:pt>
                      <c:pt idx="48">
                        <c:v>16.020647221725941</c:v>
                      </c:pt>
                      <c:pt idx="49">
                        <c:v>15.721631240322209</c:v>
                      </c:pt>
                      <c:pt idx="50">
                        <c:v>15.422615258918489</c:v>
                      </c:pt>
                      <c:pt idx="51">
                        <c:v>15.123599277514757</c:v>
                      </c:pt>
                      <c:pt idx="52">
                        <c:v>14.824583296111024</c:v>
                      </c:pt>
                      <c:pt idx="53">
                        <c:v>14.525567314707299</c:v>
                      </c:pt>
                      <c:pt idx="54">
                        <c:v>14.22655133330357</c:v>
                      </c:pt>
                      <c:pt idx="55">
                        <c:v>13.927535351899841</c:v>
                      </c:pt>
                      <c:pt idx="56">
                        <c:v>13.628519370496115</c:v>
                      </c:pt>
                      <c:pt idx="57">
                        <c:v>13.329503389092389</c:v>
                      </c:pt>
                      <c:pt idx="58">
                        <c:v>13.030487407688653</c:v>
                      </c:pt>
                      <c:pt idx="59">
                        <c:v>12.73147142628493</c:v>
                      </c:pt>
                      <c:pt idx="60">
                        <c:v>12.432455444881203</c:v>
                      </c:pt>
                      <c:pt idx="61">
                        <c:v>12.133439463477471</c:v>
                      </c:pt>
                      <c:pt idx="62">
                        <c:v>11.83442348207374</c:v>
                      </c:pt>
                      <c:pt idx="63">
                        <c:v>11.535407500670011</c:v>
                      </c:pt>
                      <c:pt idx="64">
                        <c:v>11.236391519266279</c:v>
                      </c:pt>
                      <c:pt idx="65">
                        <c:v>10.937375537862561</c:v>
                      </c:pt>
                      <c:pt idx="66">
                        <c:v>10.638359556458829</c:v>
                      </c:pt>
                      <c:pt idx="67">
                        <c:v>10.339343575055098</c:v>
                      </c:pt>
                      <c:pt idx="68">
                        <c:v>10.040327593651369</c:v>
                      </c:pt>
                      <c:pt idx="69">
                        <c:v>9.7413116122476424</c:v>
                      </c:pt>
                      <c:pt idx="70">
                        <c:v>9.4422956308439137</c:v>
                      </c:pt>
                      <c:pt idx="71">
                        <c:v>9.1432796494401867</c:v>
                      </c:pt>
                      <c:pt idx="72">
                        <c:v>8.8442636680364615</c:v>
                      </c:pt>
                      <c:pt idx="73">
                        <c:v>8.5452476866327309</c:v>
                      </c:pt>
                      <c:pt idx="74">
                        <c:v>8.2462317052290022</c:v>
                      </c:pt>
                      <c:pt idx="75">
                        <c:v>7.9472157238252734</c:v>
                      </c:pt>
                      <c:pt idx="76">
                        <c:v>7.6481997424215411</c:v>
                      </c:pt>
                      <c:pt idx="77">
                        <c:v>7.3491837610178132</c:v>
                      </c:pt>
                      <c:pt idx="78">
                        <c:v>7.0501677796140871</c:v>
                      </c:pt>
                      <c:pt idx="79">
                        <c:v>6.7511517982103566</c:v>
                      </c:pt>
                      <c:pt idx="80">
                        <c:v>6.4521358168066287</c:v>
                      </c:pt>
                      <c:pt idx="81">
                        <c:v>6.1531198354029017</c:v>
                      </c:pt>
                      <c:pt idx="82">
                        <c:v>5.8541038539991712</c:v>
                      </c:pt>
                      <c:pt idx="83">
                        <c:v>5.5550878725954451</c:v>
                      </c:pt>
                      <c:pt idx="84">
                        <c:v>5.2560718911917181</c:v>
                      </c:pt>
                      <c:pt idx="85">
                        <c:v>4.9570559097879832</c:v>
                      </c:pt>
                      <c:pt idx="86">
                        <c:v>4.6580399283842562</c:v>
                      </c:pt>
                      <c:pt idx="87">
                        <c:v>4.3590239469805283</c:v>
                      </c:pt>
                      <c:pt idx="88">
                        <c:v>4.0600079655767987</c:v>
                      </c:pt>
                      <c:pt idx="89">
                        <c:v>3.7609919841730708</c:v>
                      </c:pt>
                      <c:pt idx="90">
                        <c:v>3.4619760027693434</c:v>
                      </c:pt>
                      <c:pt idx="91">
                        <c:v>3.1629600213656177</c:v>
                      </c:pt>
                      <c:pt idx="92">
                        <c:v>2.8639440399618867</c:v>
                      </c:pt>
                      <c:pt idx="93">
                        <c:v>2.5649280585581593</c:v>
                      </c:pt>
                      <c:pt idx="94">
                        <c:v>2.2659120771544328</c:v>
                      </c:pt>
                      <c:pt idx="95">
                        <c:v>1.966896095750702</c:v>
                      </c:pt>
                      <c:pt idx="96">
                        <c:v>1.6678801143469748</c:v>
                      </c:pt>
                      <c:pt idx="97">
                        <c:v>1.3688641329432478</c:v>
                      </c:pt>
                      <c:pt idx="98">
                        <c:v>1.0698481515395137</c:v>
                      </c:pt>
                      <c:pt idx="99">
                        <c:v>0.77083217013578675</c:v>
                      </c:pt>
                      <c:pt idx="100">
                        <c:v>0.47181618873205977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101.13008200049852</c:v>
                      </c:pt>
                      <c:pt idx="1">
                        <c:v>101.22788850277395</c:v>
                      </c:pt>
                      <c:pt idx="2">
                        <c:v>101.32676833995541</c:v>
                      </c:pt>
                      <c:pt idx="3">
                        <c:v>101.42674424876806</c:v>
                      </c:pt>
                      <c:pt idx="4">
                        <c:v>101.52783968443819</c:v>
                      </c:pt>
                      <c:pt idx="5">
                        <c:v>101.63007885103796</c:v>
                      </c:pt>
                      <c:pt idx="6">
                        <c:v>101.73348673344064</c:v>
                      </c:pt>
                      <c:pt idx="7">
                        <c:v>101.83808913099115</c:v>
                      </c:pt>
                      <c:pt idx="8">
                        <c:v>101.943912693001</c:v>
                      </c:pt>
                      <c:pt idx="9">
                        <c:v>102.05098495618996</c:v>
                      </c:pt>
                      <c:pt idx="10">
                        <c:v>102.15933438419952</c:v>
                      </c:pt>
                      <c:pt idx="11">
                        <c:v>102.26899040932109</c:v>
                      </c:pt>
                      <c:pt idx="12">
                        <c:v>102.37998347658687</c:v>
                      </c:pt>
                      <c:pt idx="13">
                        <c:v>102.49234509038443</c:v>
                      </c:pt>
                      <c:pt idx="14">
                        <c:v>102.60610786377202</c:v>
                      </c:pt>
                      <c:pt idx="15">
                        <c:v>102.72130557068219</c:v>
                      </c:pt>
                      <c:pt idx="16">
                        <c:v>102.83797320121872</c:v>
                      </c:pt>
                      <c:pt idx="17">
                        <c:v>102.95614702026957</c:v>
                      </c:pt>
                      <c:pt idx="18">
                        <c:v>103.07586462967495</c:v>
                      </c:pt>
                      <c:pt idx="19">
                        <c:v>103.19716503421388</c:v>
                      </c:pt>
                      <c:pt idx="20">
                        <c:v>103.32008871169053</c:v>
                      </c:pt>
                      <c:pt idx="21">
                        <c:v>103.44467768743036</c:v>
                      </c:pt>
                      <c:pt idx="22">
                        <c:v>103.57097561352268</c:v>
                      </c:pt>
                      <c:pt idx="23">
                        <c:v>103.69902785317417</c:v>
                      </c:pt>
                      <c:pt idx="24">
                        <c:v>103.82888157057413</c:v>
                      </c:pt>
                      <c:pt idx="25">
                        <c:v>103.96058582670697</c:v>
                      </c:pt>
                      <c:pt idx="26">
                        <c:v>104.09419168158985</c:v>
                      </c:pt>
                      <c:pt idx="27">
                        <c:v>104.22975230345708</c:v>
                      </c:pt>
                      <c:pt idx="28">
                        <c:v>104.36732308546379</c:v>
                      </c:pt>
                      <c:pt idx="29">
                        <c:v>104.5069617705355</c:v>
                      </c:pt>
                      <c:pt idx="30">
                        <c:v>104.64872858505652</c:v>
                      </c:pt>
                      <c:pt idx="31">
                        <c:v>104.79268638215233</c:v>
                      </c:pt>
                      <c:pt idx="32">
                        <c:v>104.93890079540303</c:v>
                      </c:pt>
                      <c:pt idx="33">
                        <c:v>105.08744040391065</c:v>
                      </c:pt>
                      <c:pt idx="34">
                        <c:v>105.23837690973528</c:v>
                      </c:pt>
                      <c:pt idx="35">
                        <c:v>105.39178532882798</c:v>
                      </c:pt>
                      <c:pt idx="36">
                        <c:v>105.54774419670579</c:v>
                      </c:pt>
                      <c:pt idx="37">
                        <c:v>105.70633579025119</c:v>
                      </c:pt>
                      <c:pt idx="38">
                        <c:v>105.86764636717255</c:v>
                      </c:pt>
                      <c:pt idx="39">
                        <c:v>106.03176642483388</c:v>
                      </c:pt>
                      <c:pt idx="40">
                        <c:v>106.19879098035774</c:v>
                      </c:pt>
                      <c:pt idx="41">
                        <c:v>106.36881987412903</c:v>
                      </c:pt>
                      <c:pt idx="42">
                        <c:v>106.54195809907422</c:v>
                      </c:pt>
                      <c:pt idx="43">
                        <c:v>106.71831615838128</c:v>
                      </c:pt>
                      <c:pt idx="44">
                        <c:v>106.89801045464858</c:v>
                      </c:pt>
                      <c:pt idx="45">
                        <c:v>107.08116371382336</c:v>
                      </c:pt>
                      <c:pt idx="46">
                        <c:v>107.2679054477171</c:v>
                      </c:pt>
                      <c:pt idx="47">
                        <c:v>107.45837245937297</c:v>
                      </c:pt>
                      <c:pt idx="48">
                        <c:v>107.65270939612215</c:v>
                      </c:pt>
                      <c:pt idx="49">
                        <c:v>107.851069355815</c:v>
                      </c:pt>
                      <c:pt idx="50">
                        <c:v>108.05361455245816</c:v>
                      </c:pt>
                      <c:pt idx="51">
                        <c:v>108.26051704835879</c:v>
                      </c:pt>
                      <c:pt idx="52">
                        <c:v>108.4719595608847</c:v>
                      </c:pt>
                      <c:pt idx="53">
                        <c:v>108.68813635312007</c:v>
                      </c:pt>
                      <c:pt idx="54">
                        <c:v>108.90925421907176</c:v>
                      </c:pt>
                      <c:pt idx="55">
                        <c:v>109.13553357568834</c:v>
                      </c:pt>
                      <c:pt idx="56">
                        <c:v>109.36720967584463</c:v>
                      </c:pt>
                      <c:pt idx="57">
                        <c:v>109.60453395867629</c:v>
                      </c:pt>
                      <c:pt idx="58">
                        <c:v>109.8477755562934</c:v>
                      </c:pt>
                      <c:pt idx="59">
                        <c:v>110.09722297903635</c:v>
                      </c:pt>
                      <c:pt idx="60">
                        <c:v>110.35318600518818</c:v>
                      </c:pt>
                      <c:pt idx="61">
                        <c:v>110.61599780553605</c:v>
                      </c:pt>
                      <c:pt idx="62">
                        <c:v>110.88601733857006</c:v>
                      </c:pt>
                      <c:pt idx="63">
                        <c:v>111.16363205861455</c:v>
                      </c:pt>
                      <c:pt idx="64">
                        <c:v>111.44926098708585</c:v>
                      </c:pt>
                      <c:pt idx="65">
                        <c:v>111.74335820669737</c:v>
                      </c:pt>
                      <c:pt idx="66">
                        <c:v>112.04641685021768</c:v>
                      </c:pt>
                      <c:pt idx="67">
                        <c:v>112.35897366990903</c:v>
                      </c:pt>
                      <c:pt idx="68">
                        <c:v>112.68161429173996</c:v>
                      </c:pt>
                      <c:pt idx="69">
                        <c:v>113.01497928085202</c:v>
                      </c:pt>
                      <c:pt idx="70">
                        <c:v>113.35977117280069</c:v>
                      </c:pt>
                      <c:pt idx="71">
                        <c:v>113.71676266045574</c:v>
                      </c:pt>
                      <c:pt idx="72">
                        <c:v>114.08680617135752</c:v>
                      </c:pt>
                      <c:pt idx="73">
                        <c:v>114.47084512776901</c:v>
                      </c:pt>
                      <c:pt idx="74">
                        <c:v>114.86992725572016</c:v>
                      </c:pt>
                      <c:pt idx="75">
                        <c:v>115.28522040559642</c:v>
                      </c:pt>
                      <c:pt idx="76">
                        <c:v>115.71803147305985</c:v>
                      </c:pt>
                      <c:pt idx="77">
                        <c:v>116.16982917619445</c:v>
                      </c:pt>
                      <c:pt idx="78">
                        <c:v>116.64227166825967</c:v>
                      </c:pt>
                      <c:pt idx="79">
                        <c:v>117.13724026758014</c:v>
                      </c:pt>
                      <c:pt idx="80">
                        <c:v>117.65688099946409</c:v>
                      </c:pt>
                      <c:pt idx="81">
                        <c:v>118.20365621777754</c:v>
                      </c:pt>
                      <c:pt idx="82">
                        <c:v>118.78040937842795</c:v>
                      </c:pt>
                      <c:pt idx="83">
                        <c:v>119.39044718458399</c:v>
                      </c:pt>
                      <c:pt idx="84">
                        <c:v>120.03764498735761</c:v>
                      </c:pt>
                      <c:pt idx="85">
                        <c:v>120.72658378232644</c:v>
                      </c:pt>
                      <c:pt idx="86">
                        <c:v>121.46273084268772</c:v>
                      </c:pt>
                      <c:pt idx="87">
                        <c:v>122.25268172888632</c:v>
                      </c:pt>
                      <c:pt idx="88">
                        <c:v>123.10449041222545</c:v>
                      </c:pt>
                      <c:pt idx="89">
                        <c:v>124.02812885738702</c:v>
                      </c:pt>
                      <c:pt idx="90">
                        <c:v>125.03614188533552</c:v>
                      </c:pt>
                      <c:pt idx="91">
                        <c:v>126.14460566192885</c:v>
                      </c:pt>
                      <c:pt idx="92">
                        <c:v>127.37457518854889</c:v>
                      </c:pt>
                      <c:pt idx="93">
                        <c:v>128.75435270442455</c:v>
                      </c:pt>
                      <c:pt idx="94">
                        <c:v>130.32320432501791</c:v>
                      </c:pt>
                      <c:pt idx="95">
                        <c:v>132.13779115623666</c:v>
                      </c:pt>
                      <c:pt idx="96">
                        <c:v>134.2840885755605</c:v>
                      </c:pt>
                      <c:pt idx="97">
                        <c:v>136.90154205156591</c:v>
                      </c:pt>
                      <c:pt idx="98">
                        <c:v>140.23836122851796</c:v>
                      </c:pt>
                      <c:pt idx="99">
                        <c:v>144.80273463377526</c:v>
                      </c:pt>
                      <c:pt idx="100">
                        <c:v>151.91716142812129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919-480C-AFDB-4DD5B325C5B6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G20 120L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(m;velo)'!$A$2:$A$32</c15:sqref>
                        </c15:formulaRef>
                      </c:ext>
                    </c:extLst>
                    <c:numCache>
                      <c:formatCode>0.00E+00</c:formatCode>
                      <c:ptCount val="31"/>
                      <c:pt idx="0">
                        <c:v>1.4578648939290255</c:v>
                      </c:pt>
                      <c:pt idx="1">
                        <c:v>2.4297748232150425</c:v>
                      </c:pt>
                      <c:pt idx="2">
                        <c:v>2.915729787858051</c:v>
                      </c:pt>
                      <c:pt idx="3">
                        <c:v>0.97190992928601705</c:v>
                      </c:pt>
                      <c:pt idx="4">
                        <c:v>1.4578648939290255</c:v>
                      </c:pt>
                      <c:pt idx="5">
                        <c:v>1.9438198585720341</c:v>
                      </c:pt>
                      <c:pt idx="6">
                        <c:v>2.915729787858051</c:v>
                      </c:pt>
                      <c:pt idx="7">
                        <c:v>0.97190992928601705</c:v>
                      </c:pt>
                      <c:pt idx="8">
                        <c:v>1.4578648939290255</c:v>
                      </c:pt>
                      <c:pt idx="9">
                        <c:v>1.9438198585720341</c:v>
                      </c:pt>
                      <c:pt idx="10">
                        <c:v>2.915729787858051</c:v>
                      </c:pt>
                      <c:pt idx="11">
                        <c:v>3.6513833219278529</c:v>
                      </c:pt>
                      <c:pt idx="12">
                        <c:v>4.259947208915829</c:v>
                      </c:pt>
                      <c:pt idx="13">
                        <c:v>4.8685110959038047</c:v>
                      </c:pt>
                      <c:pt idx="14">
                        <c:v>5.4770749828917795</c:v>
                      </c:pt>
                      <c:pt idx="15">
                        <c:v>6.6942027568677309</c:v>
                      </c:pt>
                      <c:pt idx="16">
                        <c:v>7.3027666438557057</c:v>
                      </c:pt>
                      <c:pt idx="17">
                        <c:v>2.4342555479519024</c:v>
                      </c:pt>
                      <c:pt idx="18">
                        <c:v>3.0428194349398776</c:v>
                      </c:pt>
                      <c:pt idx="19">
                        <c:v>3.6513833219278529</c:v>
                      </c:pt>
                      <c:pt idx="20">
                        <c:v>4.259947208915829</c:v>
                      </c:pt>
                      <c:pt idx="21">
                        <c:v>5.4770749828917795</c:v>
                      </c:pt>
                      <c:pt idx="22">
                        <c:v>6.0856388698797552</c:v>
                      </c:pt>
                      <c:pt idx="23">
                        <c:v>6.6942027568677309</c:v>
                      </c:pt>
                      <c:pt idx="24">
                        <c:v>3.0428194349398776</c:v>
                      </c:pt>
                      <c:pt idx="25">
                        <c:v>3.6513833219278529</c:v>
                      </c:pt>
                      <c:pt idx="26">
                        <c:v>4.8685110959038047</c:v>
                      </c:pt>
                      <c:pt idx="27">
                        <c:v>5.4770749828917795</c:v>
                      </c:pt>
                      <c:pt idx="28">
                        <c:v>6.0856388698797552</c:v>
                      </c:pt>
                      <c:pt idx="29">
                        <c:v>15.641802717763225</c:v>
                      </c:pt>
                      <c:pt idx="30">
                        <c:v>13.034835598136022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(m;velo)'!$B$2:$B$32</c15:sqref>
                        </c15:formulaRef>
                      </c:ext>
                    </c:extLst>
                    <c:numCache>
                      <c:formatCode>#,##0.000</c:formatCode>
                      <c:ptCount val="31"/>
                      <c:pt idx="0">
                        <c:v>138.47528590532582</c:v>
                      </c:pt>
                      <c:pt idx="1">
                        <c:v>128.9393080514532</c:v>
                      </c:pt>
                      <c:pt idx="2">
                        <c:v>119.78359925310309</c:v>
                      </c:pt>
                      <c:pt idx="3">
                        <c:v>144.23390887684323</c:v>
                      </c:pt>
                      <c:pt idx="4">
                        <c:v>140.89783799974145</c:v>
                      </c:pt>
                      <c:pt idx="5">
                        <c:v>129.45570016687481</c:v>
                      </c:pt>
                      <c:pt idx="6">
                        <c:v>124.10042849573773</c:v>
                      </c:pt>
                      <c:pt idx="7">
                        <c:v>142.5189443282251</c:v>
                      </c:pt>
                      <c:pt idx="8">
                        <c:v>133.45670982827062</c:v>
                      </c:pt>
                      <c:pt idx="9">
                        <c:v>124.71603849452865</c:v>
                      </c:pt>
                      <c:pt idx="10">
                        <c:v>123.89751408438963</c:v>
                      </c:pt>
                      <c:pt idx="11">
                        <c:v>125.0881979570498</c:v>
                      </c:pt>
                      <c:pt idx="12">
                        <c:v>116.38083086759765</c:v>
                      </c:pt>
                      <c:pt idx="13">
                        <c:v>113.91740208566142</c:v>
                      </c:pt>
                      <c:pt idx="14">
                        <c:v>111.6490963684362</c:v>
                      </c:pt>
                      <c:pt idx="15">
                        <c:v>107.64907339062384</c:v>
                      </c:pt>
                      <c:pt idx="16">
                        <c:v>106.60028688260051</c:v>
                      </c:pt>
                      <c:pt idx="17">
                        <c:v>122.60037878831164</c:v>
                      </c:pt>
                      <c:pt idx="18">
                        <c:v>118.35645197110961</c:v>
                      </c:pt>
                      <c:pt idx="19">
                        <c:v>117.42961737884711</c:v>
                      </c:pt>
                      <c:pt idx="20">
                        <c:v>115.47838665829444</c:v>
                      </c:pt>
                      <c:pt idx="21">
                        <c:v>114.47838091401121</c:v>
                      </c:pt>
                      <c:pt idx="22">
                        <c:v>113.47837516972798</c:v>
                      </c:pt>
                      <c:pt idx="23">
                        <c:v>107.47834070402855</c:v>
                      </c:pt>
                      <c:pt idx="24">
                        <c:v>118.64312103662732</c:v>
                      </c:pt>
                      <c:pt idx="25">
                        <c:v>115.05547298976759</c:v>
                      </c:pt>
                      <c:pt idx="26">
                        <c:v>112.3464326278531</c:v>
                      </c:pt>
                      <c:pt idx="27">
                        <c:v>110.88208648627773</c:v>
                      </c:pt>
                      <c:pt idx="28">
                        <c:v>110.63802879601515</c:v>
                      </c:pt>
                      <c:pt idx="29">
                        <c:v>101.0765920893912</c:v>
                      </c:pt>
                      <c:pt idx="30">
                        <c:v>99.463772200994654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919-480C-AFDB-4DD5B325C5B6}"/>
                  </c:ext>
                </c:extLst>
              </c15:ser>
            </c15:filteredScatterSeries>
          </c:ext>
        </c:extLst>
      </c:scatterChart>
      <c:valAx>
        <c:axId val="530717344"/>
        <c:scaling>
          <c:logBase val="10"/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Impingment (accumulated impacted water column) 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speed [m/s]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da-DK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0.76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'New Vestas G27 105L'!$Q$7:$Q$57</c:f>
              <c:numCache>
                <c:formatCode>General</c:formatCode>
                <c:ptCount val="51"/>
                <c:pt idx="0">
                  <c:v>72000</c:v>
                </c:pt>
                <c:pt idx="1">
                  <c:v>79200</c:v>
                </c:pt>
                <c:pt idx="2">
                  <c:v>79200</c:v>
                </c:pt>
                <c:pt idx="3">
                  <c:v>90000</c:v>
                </c:pt>
                <c:pt idx="4">
                  <c:v>93600</c:v>
                </c:pt>
                <c:pt idx="5">
                  <c:v>64800</c:v>
                </c:pt>
                <c:pt idx="6">
                  <c:v>68400</c:v>
                </c:pt>
                <c:pt idx="7">
                  <c:v>90000</c:v>
                </c:pt>
                <c:pt idx="8">
                  <c:v>7200</c:v>
                </c:pt>
                <c:pt idx="9">
                  <c:v>9000</c:v>
                </c:pt>
                <c:pt idx="10">
                  <c:v>12600</c:v>
                </c:pt>
                <c:pt idx="11">
                  <c:v>18000</c:v>
                </c:pt>
                <c:pt idx="12">
                  <c:v>19800</c:v>
                </c:pt>
                <c:pt idx="13">
                  <c:v>28800</c:v>
                </c:pt>
                <c:pt idx="14">
                  <c:v>32400</c:v>
                </c:pt>
                <c:pt idx="15">
                  <c:v>34200</c:v>
                </c:pt>
                <c:pt idx="16">
                  <c:v>36000</c:v>
                </c:pt>
                <c:pt idx="17">
                  <c:v>5400</c:v>
                </c:pt>
                <c:pt idx="18">
                  <c:v>7200</c:v>
                </c:pt>
                <c:pt idx="19">
                  <c:v>9000</c:v>
                </c:pt>
                <c:pt idx="20">
                  <c:v>18000</c:v>
                </c:pt>
                <c:pt idx="21">
                  <c:v>19800</c:v>
                </c:pt>
                <c:pt idx="22">
                  <c:v>21600</c:v>
                </c:pt>
                <c:pt idx="23">
                  <c:v>27000</c:v>
                </c:pt>
                <c:pt idx="24">
                  <c:v>36000</c:v>
                </c:pt>
                <c:pt idx="25">
                  <c:v>7200</c:v>
                </c:pt>
                <c:pt idx="26">
                  <c:v>10800</c:v>
                </c:pt>
                <c:pt idx="27">
                  <c:v>12600</c:v>
                </c:pt>
                <c:pt idx="28">
                  <c:v>18000</c:v>
                </c:pt>
                <c:pt idx="29">
                  <c:v>27000</c:v>
                </c:pt>
                <c:pt idx="30">
                  <c:v>34200</c:v>
                </c:pt>
                <c:pt idx="31">
                  <c:v>900</c:v>
                </c:pt>
                <c:pt idx="32">
                  <c:v>1800</c:v>
                </c:pt>
                <c:pt idx="33">
                  <c:v>2700</c:v>
                </c:pt>
                <c:pt idx="34">
                  <c:v>3600</c:v>
                </c:pt>
                <c:pt idx="35">
                  <c:v>4500</c:v>
                </c:pt>
                <c:pt idx="36">
                  <c:v>5400</c:v>
                </c:pt>
                <c:pt idx="37">
                  <c:v>6300</c:v>
                </c:pt>
                <c:pt idx="38">
                  <c:v>8100</c:v>
                </c:pt>
                <c:pt idx="39">
                  <c:v>900</c:v>
                </c:pt>
                <c:pt idx="40">
                  <c:v>1800</c:v>
                </c:pt>
                <c:pt idx="41">
                  <c:v>2700</c:v>
                </c:pt>
                <c:pt idx="42">
                  <c:v>3600</c:v>
                </c:pt>
                <c:pt idx="43">
                  <c:v>5400</c:v>
                </c:pt>
                <c:pt idx="44">
                  <c:v>9000</c:v>
                </c:pt>
                <c:pt idx="45">
                  <c:v>1800</c:v>
                </c:pt>
                <c:pt idx="46">
                  <c:v>2700</c:v>
                </c:pt>
                <c:pt idx="47">
                  <c:v>3600</c:v>
                </c:pt>
                <c:pt idx="48">
                  <c:v>5400</c:v>
                </c:pt>
                <c:pt idx="49">
                  <c:v>7200</c:v>
                </c:pt>
                <c:pt idx="50">
                  <c:v>8100</c:v>
                </c:pt>
              </c:numCache>
            </c:numRef>
          </c:xVal>
          <c:yVal>
            <c:numRef>
              <c:f>'New Vestas G27 105L'!$T$7:$T$57</c:f>
              <c:numCache>
                <c:formatCode>0.0</c:formatCode>
                <c:ptCount val="51"/>
                <c:pt idx="0">
                  <c:v>96.398686048416309</c:v>
                </c:pt>
                <c:pt idx="1">
                  <c:v>93.377574558440898</c:v>
                </c:pt>
                <c:pt idx="2">
                  <c:v>98.202523299837239</c:v>
                </c:pt>
                <c:pt idx="3">
                  <c:v>96.892645099435484</c:v>
                </c:pt>
                <c:pt idx="4">
                  <c:v>91.075244856474768</c:v>
                </c:pt>
                <c:pt idx="5">
                  <c:v>98.226747141076572</c:v>
                </c:pt>
                <c:pt idx="6">
                  <c:v>96.129287571603214</c:v>
                </c:pt>
                <c:pt idx="7">
                  <c:v>95.109421909382206</c:v>
                </c:pt>
                <c:pt idx="8">
                  <c:v>119.13563169228982</c:v>
                </c:pt>
                <c:pt idx="9">
                  <c:v>114.99363409754525</c:v>
                </c:pt>
                <c:pt idx="10">
                  <c:v>113.98806242714483</c:v>
                </c:pt>
                <c:pt idx="11">
                  <c:v>111.52201761640093</c:v>
                </c:pt>
                <c:pt idx="12">
                  <c:v>109.94183356291457</c:v>
                </c:pt>
                <c:pt idx="13">
                  <c:v>109.0080884403999</c:v>
                </c:pt>
                <c:pt idx="14">
                  <c:v>108.07434331788519</c:v>
                </c:pt>
                <c:pt idx="15">
                  <c:v>105.75195160291281</c:v>
                </c:pt>
                <c:pt idx="16">
                  <c:v>105.56041414188415</c:v>
                </c:pt>
                <c:pt idx="17">
                  <c:v>126.17252703498713</c:v>
                </c:pt>
                <c:pt idx="18">
                  <c:v>122.38570023480405</c:v>
                </c:pt>
                <c:pt idx="19">
                  <c:v>116.53768922634551</c:v>
                </c:pt>
                <c:pt idx="20">
                  <c:v>114.28476694963702</c:v>
                </c:pt>
                <c:pt idx="21">
                  <c:v>111.64836854649269</c:v>
                </c:pt>
                <c:pt idx="22">
                  <c:v>108.77229755650337</c:v>
                </c:pt>
                <c:pt idx="23">
                  <c:v>107.07062222328031</c:v>
                </c:pt>
                <c:pt idx="24">
                  <c:v>106.04003012696514</c:v>
                </c:pt>
                <c:pt idx="25">
                  <c:v>122.25432118368342</c:v>
                </c:pt>
                <c:pt idx="26">
                  <c:v>120.29311410924292</c:v>
                </c:pt>
                <c:pt idx="27">
                  <c:v>116.89687746813868</c:v>
                </c:pt>
                <c:pt idx="28">
                  <c:v>111.82643966592674</c:v>
                </c:pt>
                <c:pt idx="29">
                  <c:v>111.41984795537198</c:v>
                </c:pt>
                <c:pt idx="30">
                  <c:v>110.00873554815261</c:v>
                </c:pt>
                <c:pt idx="31">
                  <c:v>140.09555954729694</c:v>
                </c:pt>
                <c:pt idx="32">
                  <c:v>125.70535893441595</c:v>
                </c:pt>
                <c:pt idx="33">
                  <c:v>123.2687711812389</c:v>
                </c:pt>
                <c:pt idx="34">
                  <c:v>121.06150933424321</c:v>
                </c:pt>
                <c:pt idx="35">
                  <c:v>120.63152326015314</c:v>
                </c:pt>
                <c:pt idx="36">
                  <c:v>120.05820849469971</c:v>
                </c:pt>
                <c:pt idx="37">
                  <c:v>118.13760403043072</c:v>
                </c:pt>
                <c:pt idx="38">
                  <c:v>116.90497728470585</c:v>
                </c:pt>
                <c:pt idx="39">
                  <c:v>151.18427342926574</c:v>
                </c:pt>
                <c:pt idx="40">
                  <c:v>140.46954198969809</c:v>
                </c:pt>
                <c:pt idx="41">
                  <c:v>133.86260302177348</c:v>
                </c:pt>
                <c:pt idx="42">
                  <c:v>126.30771195903883</c:v>
                </c:pt>
                <c:pt idx="43">
                  <c:v>121.05088661287125</c:v>
                </c:pt>
                <c:pt idx="44">
                  <c:v>119.21243402712456</c:v>
                </c:pt>
                <c:pt idx="45">
                  <c:v>138.21626111911107</c:v>
                </c:pt>
                <c:pt idx="46">
                  <c:v>129.98058130777247</c:v>
                </c:pt>
                <c:pt idx="47">
                  <c:v>127.25448519557391</c:v>
                </c:pt>
                <c:pt idx="48">
                  <c:v>124.93012956898552</c:v>
                </c:pt>
                <c:pt idx="49">
                  <c:v>121.94577173299243</c:v>
                </c:pt>
                <c:pt idx="50">
                  <c:v>120.56837580196087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2C-4320-B2E0-E62D01DDE8BA}"/>
            </c:ext>
          </c:extLst>
        </c:ser>
        <c:ser>
          <c:idx val="6"/>
          <c:order val="1"/>
          <c:tx>
            <c:v>1.90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'New Vestas G30 85L'!$Q$7:$Q$47</c:f>
              <c:numCache>
                <c:formatCode>General</c:formatCode>
                <c:ptCount val="41"/>
                <c:pt idx="0">
                  <c:v>86400</c:v>
                </c:pt>
                <c:pt idx="1">
                  <c:v>9000</c:v>
                </c:pt>
                <c:pt idx="2">
                  <c:v>14400</c:v>
                </c:pt>
                <c:pt idx="3">
                  <c:v>16200</c:v>
                </c:pt>
                <c:pt idx="4">
                  <c:v>21600</c:v>
                </c:pt>
                <c:pt idx="5">
                  <c:v>23400</c:v>
                </c:pt>
                <c:pt idx="6">
                  <c:v>25200</c:v>
                </c:pt>
                <c:pt idx="7">
                  <c:v>34200</c:v>
                </c:pt>
                <c:pt idx="8">
                  <c:v>7200</c:v>
                </c:pt>
                <c:pt idx="9">
                  <c:v>9000</c:v>
                </c:pt>
                <c:pt idx="10">
                  <c:v>14400</c:v>
                </c:pt>
                <c:pt idx="11">
                  <c:v>19800</c:v>
                </c:pt>
                <c:pt idx="12">
                  <c:v>21600</c:v>
                </c:pt>
                <c:pt idx="13">
                  <c:v>34200</c:v>
                </c:pt>
                <c:pt idx="14">
                  <c:v>7200</c:v>
                </c:pt>
                <c:pt idx="15">
                  <c:v>9000</c:v>
                </c:pt>
                <c:pt idx="16">
                  <c:v>10800</c:v>
                </c:pt>
                <c:pt idx="17">
                  <c:v>14400</c:v>
                </c:pt>
                <c:pt idx="18">
                  <c:v>18000</c:v>
                </c:pt>
                <c:pt idx="19">
                  <c:v>19800</c:v>
                </c:pt>
                <c:pt idx="20">
                  <c:v>21600</c:v>
                </c:pt>
                <c:pt idx="21">
                  <c:v>23400</c:v>
                </c:pt>
                <c:pt idx="22">
                  <c:v>30600</c:v>
                </c:pt>
                <c:pt idx="23">
                  <c:v>34200</c:v>
                </c:pt>
                <c:pt idx="24">
                  <c:v>1800</c:v>
                </c:pt>
                <c:pt idx="25">
                  <c:v>2700</c:v>
                </c:pt>
                <c:pt idx="26">
                  <c:v>3600</c:v>
                </c:pt>
                <c:pt idx="27">
                  <c:v>5400</c:v>
                </c:pt>
                <c:pt idx="28">
                  <c:v>7200</c:v>
                </c:pt>
                <c:pt idx="29">
                  <c:v>1800</c:v>
                </c:pt>
                <c:pt idx="30">
                  <c:v>2700</c:v>
                </c:pt>
                <c:pt idx="31">
                  <c:v>3600</c:v>
                </c:pt>
                <c:pt idx="32">
                  <c:v>4500</c:v>
                </c:pt>
                <c:pt idx="33">
                  <c:v>6300</c:v>
                </c:pt>
                <c:pt idx="34">
                  <c:v>7200</c:v>
                </c:pt>
                <c:pt idx="35">
                  <c:v>900</c:v>
                </c:pt>
                <c:pt idx="36">
                  <c:v>1800</c:v>
                </c:pt>
                <c:pt idx="37">
                  <c:v>2700</c:v>
                </c:pt>
                <c:pt idx="38">
                  <c:v>3600</c:v>
                </c:pt>
                <c:pt idx="39">
                  <c:v>5400</c:v>
                </c:pt>
                <c:pt idx="40">
                  <c:v>7200</c:v>
                </c:pt>
              </c:numCache>
            </c:numRef>
          </c:xVal>
          <c:yVal>
            <c:numRef>
              <c:f>'New Vestas G30 85L'!$T$7:$T$47</c:f>
              <c:numCache>
                <c:formatCode>0.0</c:formatCode>
                <c:ptCount val="41"/>
                <c:pt idx="0">
                  <c:v>100.92286507311093</c:v>
                </c:pt>
                <c:pt idx="1">
                  <c:v>117.92779020417348</c:v>
                </c:pt>
                <c:pt idx="2">
                  <c:v>117.59224858897701</c:v>
                </c:pt>
                <c:pt idx="3">
                  <c:v>115.98644228767971</c:v>
                </c:pt>
                <c:pt idx="4">
                  <c:v>113.70955275598949</c:v>
                </c:pt>
                <c:pt idx="5">
                  <c:v>110.78554725213468</c:v>
                </c:pt>
                <c:pt idx="6">
                  <c:v>110.45000563693822</c:v>
                </c:pt>
                <c:pt idx="7">
                  <c:v>107.11855674320198</c:v>
                </c:pt>
                <c:pt idx="8">
                  <c:v>123.83285370717226</c:v>
                </c:pt>
                <c:pt idx="9">
                  <c:v>121.48897208098484</c:v>
                </c:pt>
                <c:pt idx="10">
                  <c:v>115.31834494014291</c:v>
                </c:pt>
                <c:pt idx="11">
                  <c:v>111.80252250868433</c:v>
                </c:pt>
                <c:pt idx="12">
                  <c:v>106.66033323073361</c:v>
                </c:pt>
                <c:pt idx="13">
                  <c:v>107.66485392543608</c:v>
                </c:pt>
                <c:pt idx="14">
                  <c:v>126.05358399617073</c:v>
                </c:pt>
                <c:pt idx="15">
                  <c:v>122.3402146342103</c:v>
                </c:pt>
                <c:pt idx="16">
                  <c:v>121.42984020955707</c:v>
                </c:pt>
                <c:pt idx="17">
                  <c:v>120.2080219034444</c:v>
                </c:pt>
                <c:pt idx="18">
                  <c:v>119.65700580491604</c:v>
                </c:pt>
                <c:pt idx="19">
                  <c:v>119.15390415001005</c:v>
                </c:pt>
                <c:pt idx="20">
                  <c:v>117.02171141820115</c:v>
                </c:pt>
                <c:pt idx="21">
                  <c:v>115.46449200568877</c:v>
                </c:pt>
                <c:pt idx="22">
                  <c:v>114.19475925699673</c:v>
                </c:pt>
                <c:pt idx="23">
                  <c:v>113.21251317212499</c:v>
                </c:pt>
                <c:pt idx="24">
                  <c:v>142.93996264007947</c:v>
                </c:pt>
                <c:pt idx="25">
                  <c:v>134.83928095904344</c:v>
                </c:pt>
                <c:pt idx="26">
                  <c:v>129.61118143440314</c:v>
                </c:pt>
                <c:pt idx="27">
                  <c:v>123.86601712161163</c:v>
                </c:pt>
                <c:pt idx="28">
                  <c:v>116.62711008749434</c:v>
                </c:pt>
                <c:pt idx="29">
                  <c:v>146.77930375930265</c:v>
                </c:pt>
                <c:pt idx="30">
                  <c:v>138.46534309984125</c:v>
                </c:pt>
                <c:pt idx="31">
                  <c:v>136.13513267246216</c:v>
                </c:pt>
                <c:pt idx="32">
                  <c:v>127.64856384573423</c:v>
                </c:pt>
                <c:pt idx="33">
                  <c:v>125.692337807626</c:v>
                </c:pt>
                <c:pt idx="34">
                  <c:v>124.16763221579347</c:v>
                </c:pt>
                <c:pt idx="35">
                  <c:v>149.57811851645184</c:v>
                </c:pt>
                <c:pt idx="36">
                  <c:v>146.47767934153356</c:v>
                </c:pt>
                <c:pt idx="37">
                  <c:v>140.53517091794299</c:v>
                </c:pt>
                <c:pt idx="38">
                  <c:v>133.81755271061729</c:v>
                </c:pt>
                <c:pt idx="39">
                  <c:v>130.7171135332004</c:v>
                </c:pt>
                <c:pt idx="40">
                  <c:v>122.36315241384239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2C-4320-B2E0-E62D01DDE8BA}"/>
            </c:ext>
          </c:extLst>
        </c:ser>
        <c:ser>
          <c:idx val="0"/>
          <c:order val="2"/>
          <c:tx>
            <c:v>2.38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'New Vestas G27 60L'!$Q$7:$Q$49</c:f>
              <c:numCache>
                <c:formatCode>General</c:formatCode>
                <c:ptCount val="43"/>
                <c:pt idx="0">
                  <c:v>89984.855602349911</c:v>
                </c:pt>
                <c:pt idx="1">
                  <c:v>77759.785688077391</c:v>
                </c:pt>
                <c:pt idx="2">
                  <c:v>1800</c:v>
                </c:pt>
                <c:pt idx="3">
                  <c:v>2400</c:v>
                </c:pt>
                <c:pt idx="4">
                  <c:v>3000</c:v>
                </c:pt>
                <c:pt idx="5">
                  <c:v>3600</c:v>
                </c:pt>
                <c:pt idx="6">
                  <c:v>4200</c:v>
                </c:pt>
                <c:pt idx="7">
                  <c:v>4800</c:v>
                </c:pt>
                <c:pt idx="8">
                  <c:v>5400</c:v>
                </c:pt>
                <c:pt idx="9">
                  <c:v>6000</c:v>
                </c:pt>
                <c:pt idx="10">
                  <c:v>6600</c:v>
                </c:pt>
                <c:pt idx="11">
                  <c:v>2400</c:v>
                </c:pt>
                <c:pt idx="12">
                  <c:v>3000</c:v>
                </c:pt>
                <c:pt idx="13">
                  <c:v>3600</c:v>
                </c:pt>
                <c:pt idx="14">
                  <c:v>4200</c:v>
                </c:pt>
                <c:pt idx="15">
                  <c:v>4800</c:v>
                </c:pt>
                <c:pt idx="16">
                  <c:v>5400</c:v>
                </c:pt>
                <c:pt idx="17">
                  <c:v>6600</c:v>
                </c:pt>
                <c:pt idx="18">
                  <c:v>7200</c:v>
                </c:pt>
                <c:pt idx="19">
                  <c:v>3000</c:v>
                </c:pt>
                <c:pt idx="20">
                  <c:v>3600</c:v>
                </c:pt>
                <c:pt idx="21">
                  <c:v>4200</c:v>
                </c:pt>
                <c:pt idx="22">
                  <c:v>4800</c:v>
                </c:pt>
                <c:pt idx="23">
                  <c:v>5400</c:v>
                </c:pt>
                <c:pt idx="24">
                  <c:v>6000</c:v>
                </c:pt>
                <c:pt idx="25">
                  <c:v>11700</c:v>
                </c:pt>
                <c:pt idx="26">
                  <c:v>13500</c:v>
                </c:pt>
                <c:pt idx="27">
                  <c:v>14400</c:v>
                </c:pt>
                <c:pt idx="28">
                  <c:v>20700</c:v>
                </c:pt>
                <c:pt idx="29">
                  <c:v>9900</c:v>
                </c:pt>
                <c:pt idx="30">
                  <c:v>10800</c:v>
                </c:pt>
                <c:pt idx="31">
                  <c:v>11700</c:v>
                </c:pt>
                <c:pt idx="32">
                  <c:v>12600</c:v>
                </c:pt>
                <c:pt idx="33">
                  <c:v>13500</c:v>
                </c:pt>
                <c:pt idx="34">
                  <c:v>18000</c:v>
                </c:pt>
                <c:pt idx="35">
                  <c:v>20700</c:v>
                </c:pt>
                <c:pt idx="36">
                  <c:v>9000</c:v>
                </c:pt>
                <c:pt idx="37">
                  <c:v>9900</c:v>
                </c:pt>
                <c:pt idx="38">
                  <c:v>10800</c:v>
                </c:pt>
                <c:pt idx="39">
                  <c:v>11700</c:v>
                </c:pt>
                <c:pt idx="40">
                  <c:v>12600</c:v>
                </c:pt>
                <c:pt idx="41">
                  <c:v>15300</c:v>
                </c:pt>
                <c:pt idx="42">
                  <c:v>20700</c:v>
                </c:pt>
              </c:numCache>
            </c:numRef>
          </c:xVal>
          <c:yVal>
            <c:numRef>
              <c:f>'New Vestas G27 60L'!$T$7:$T$49</c:f>
              <c:numCache>
                <c:formatCode>0.0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2C-4320-B2E0-E62D01DDE8BA}"/>
            </c:ext>
          </c:extLst>
        </c:ser>
        <c:ser>
          <c:idx val="2"/>
          <c:order val="3"/>
          <c:tx>
            <c:v>3.50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'New Vestas G20 120L'!$Q$7:$Q$37</c:f>
              <c:numCache>
                <c:formatCode>General</c:formatCode>
                <c:ptCount val="31"/>
                <c:pt idx="0">
                  <c:v>1800</c:v>
                </c:pt>
                <c:pt idx="1">
                  <c:v>3000</c:v>
                </c:pt>
                <c:pt idx="2">
                  <c:v>3600</c:v>
                </c:pt>
                <c:pt idx="3">
                  <c:v>1200</c:v>
                </c:pt>
                <c:pt idx="4">
                  <c:v>1800</c:v>
                </c:pt>
                <c:pt idx="5">
                  <c:v>2400</c:v>
                </c:pt>
                <c:pt idx="6">
                  <c:v>3600</c:v>
                </c:pt>
                <c:pt idx="7">
                  <c:v>1200</c:v>
                </c:pt>
                <c:pt idx="8">
                  <c:v>1800</c:v>
                </c:pt>
                <c:pt idx="9">
                  <c:v>2400</c:v>
                </c:pt>
                <c:pt idx="10">
                  <c:v>3600</c:v>
                </c:pt>
                <c:pt idx="11">
                  <c:v>5400</c:v>
                </c:pt>
                <c:pt idx="12">
                  <c:v>6300</c:v>
                </c:pt>
                <c:pt idx="13">
                  <c:v>7200</c:v>
                </c:pt>
                <c:pt idx="14">
                  <c:v>8100</c:v>
                </c:pt>
                <c:pt idx="15">
                  <c:v>9900</c:v>
                </c:pt>
                <c:pt idx="16">
                  <c:v>10800</c:v>
                </c:pt>
                <c:pt idx="17">
                  <c:v>3600</c:v>
                </c:pt>
                <c:pt idx="18">
                  <c:v>4500</c:v>
                </c:pt>
                <c:pt idx="19">
                  <c:v>5400</c:v>
                </c:pt>
                <c:pt idx="20">
                  <c:v>6300</c:v>
                </c:pt>
                <c:pt idx="21">
                  <c:v>8100</c:v>
                </c:pt>
                <c:pt idx="22">
                  <c:v>9000</c:v>
                </c:pt>
                <c:pt idx="23">
                  <c:v>9900</c:v>
                </c:pt>
                <c:pt idx="24">
                  <c:v>4500</c:v>
                </c:pt>
                <c:pt idx="25">
                  <c:v>5400</c:v>
                </c:pt>
                <c:pt idx="26">
                  <c:v>7200</c:v>
                </c:pt>
                <c:pt idx="27">
                  <c:v>8100</c:v>
                </c:pt>
                <c:pt idx="28">
                  <c:v>9000</c:v>
                </c:pt>
                <c:pt idx="29">
                  <c:v>28800</c:v>
                </c:pt>
                <c:pt idx="30">
                  <c:v>24000</c:v>
                </c:pt>
              </c:numCache>
            </c:numRef>
          </c:xVal>
          <c:yVal>
            <c:numRef>
              <c:f>'New Vestas G20 120L'!$T$7:$T$37</c:f>
              <c:numCache>
                <c:formatCode>0.0</c:formatCode>
                <c:ptCount val="31"/>
                <c:pt idx="0">
                  <c:v>138.47528590532582</c:v>
                </c:pt>
                <c:pt idx="1">
                  <c:v>128.9393080514532</c:v>
                </c:pt>
                <c:pt idx="2">
                  <c:v>119.78359925310309</c:v>
                </c:pt>
                <c:pt idx="3">
                  <c:v>144.23390887684323</c:v>
                </c:pt>
                <c:pt idx="4">
                  <c:v>140.89783799974145</c:v>
                </c:pt>
                <c:pt idx="5">
                  <c:v>129.45570016687481</c:v>
                </c:pt>
                <c:pt idx="6">
                  <c:v>124.10042849573773</c:v>
                </c:pt>
                <c:pt idx="7">
                  <c:v>142.5189443282251</c:v>
                </c:pt>
                <c:pt idx="8">
                  <c:v>133.45670982827062</c:v>
                </c:pt>
                <c:pt idx="9">
                  <c:v>124.71603849452865</c:v>
                </c:pt>
                <c:pt idx="10">
                  <c:v>123.89751408438963</c:v>
                </c:pt>
                <c:pt idx="11">
                  <c:v>125.0881979570498</c:v>
                </c:pt>
                <c:pt idx="12">
                  <c:v>116.38083086759765</c:v>
                </c:pt>
                <c:pt idx="13">
                  <c:v>113.91740208566142</c:v>
                </c:pt>
                <c:pt idx="14">
                  <c:v>111.6490963684362</c:v>
                </c:pt>
                <c:pt idx="15">
                  <c:v>107.64907339062384</c:v>
                </c:pt>
                <c:pt idx="16">
                  <c:v>106.60028688260051</c:v>
                </c:pt>
                <c:pt idx="17">
                  <c:v>122.60037878831164</c:v>
                </c:pt>
                <c:pt idx="18">
                  <c:v>118.35645197110961</c:v>
                </c:pt>
                <c:pt idx="19">
                  <c:v>117.42961737884711</c:v>
                </c:pt>
                <c:pt idx="20">
                  <c:v>115.47838665829444</c:v>
                </c:pt>
                <c:pt idx="21">
                  <c:v>114.47838091401121</c:v>
                </c:pt>
                <c:pt idx="22">
                  <c:v>113.47837516972798</c:v>
                </c:pt>
                <c:pt idx="23">
                  <c:v>107.47834070402855</c:v>
                </c:pt>
                <c:pt idx="24">
                  <c:v>118.64312103662732</c:v>
                </c:pt>
                <c:pt idx="25">
                  <c:v>115.05547298976759</c:v>
                </c:pt>
                <c:pt idx="26">
                  <c:v>112.3464326278531</c:v>
                </c:pt>
                <c:pt idx="27">
                  <c:v>110.88208648627773</c:v>
                </c:pt>
                <c:pt idx="28">
                  <c:v>110.63802879601515</c:v>
                </c:pt>
                <c:pt idx="29">
                  <c:v>101.0765920893912</c:v>
                </c:pt>
                <c:pt idx="30">
                  <c:v>99.463772200994654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2C-4320-B2E0-E62D01DD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4"/>
                <c:tx>
                  <c:v>G27 60L fit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'G27 60L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15758.206889405428</c:v>
                      </c:pt>
                      <c:pt idx="1">
                        <c:v>15605.325496704039</c:v>
                      </c:pt>
                      <c:pt idx="2">
                        <c:v>15452.444104002621</c:v>
                      </c:pt>
                      <c:pt idx="3">
                        <c:v>15299.562711301212</c:v>
                      </c:pt>
                      <c:pt idx="4">
                        <c:v>15146.681318599807</c:v>
                      </c:pt>
                      <c:pt idx="5">
                        <c:v>14993.799925898415</c:v>
                      </c:pt>
                      <c:pt idx="6">
                        <c:v>14840.918533197013</c:v>
                      </c:pt>
                      <c:pt idx="7">
                        <c:v>14688.037140495597</c:v>
                      </c:pt>
                      <c:pt idx="8">
                        <c:v>14535.155747794184</c:v>
                      </c:pt>
                      <c:pt idx="9">
                        <c:v>14382.274355092801</c:v>
                      </c:pt>
                      <c:pt idx="10">
                        <c:v>14229.392962391379</c:v>
                      </c:pt>
                      <c:pt idx="11">
                        <c:v>14076.511569689974</c:v>
                      </c:pt>
                      <c:pt idx="12">
                        <c:v>13923.630176988585</c:v>
                      </c:pt>
                      <c:pt idx="13">
                        <c:v>13770.748784287172</c:v>
                      </c:pt>
                      <c:pt idx="14">
                        <c:v>13617.867391585753</c:v>
                      </c:pt>
                      <c:pt idx="15">
                        <c:v>13464.985998884355</c:v>
                      </c:pt>
                      <c:pt idx="16">
                        <c:v>13312.104606182957</c:v>
                      </c:pt>
                      <c:pt idx="17">
                        <c:v>13159.223213481517</c:v>
                      </c:pt>
                      <c:pt idx="18">
                        <c:v>13006.341820780128</c:v>
                      </c:pt>
                      <c:pt idx="19">
                        <c:v>12853.46042807873</c:v>
                      </c:pt>
                      <c:pt idx="20">
                        <c:v>12700.579035377321</c:v>
                      </c:pt>
                      <c:pt idx="21">
                        <c:v>12547.697642675912</c:v>
                      </c:pt>
                      <c:pt idx="22">
                        <c:v>12394.816249974496</c:v>
                      </c:pt>
                      <c:pt idx="23">
                        <c:v>12241.934857273114</c:v>
                      </c:pt>
                      <c:pt idx="24">
                        <c:v>12089.053464571711</c:v>
                      </c:pt>
                      <c:pt idx="25">
                        <c:v>11936.172071870295</c:v>
                      </c:pt>
                      <c:pt idx="26">
                        <c:v>11783.290679168871</c:v>
                      </c:pt>
                      <c:pt idx="27">
                        <c:v>11630.409286467477</c:v>
                      </c:pt>
                      <c:pt idx="28">
                        <c:v>11477.527893766059</c:v>
                      </c:pt>
                      <c:pt idx="29">
                        <c:v>11324.646501064668</c:v>
                      </c:pt>
                      <c:pt idx="30">
                        <c:v>11171.765108363259</c:v>
                      </c:pt>
                      <c:pt idx="31">
                        <c:v>11018.883715661845</c:v>
                      </c:pt>
                      <c:pt idx="32">
                        <c:v>10866.002322960443</c:v>
                      </c:pt>
                      <c:pt idx="33">
                        <c:v>10713.120930259038</c:v>
                      </c:pt>
                      <c:pt idx="34">
                        <c:v>10560.23953755764</c:v>
                      </c:pt>
                      <c:pt idx="35">
                        <c:v>10407.358144856249</c:v>
                      </c:pt>
                      <c:pt idx="36">
                        <c:v>10254.476752154826</c:v>
                      </c:pt>
                      <c:pt idx="37">
                        <c:v>10101.595359453429</c:v>
                      </c:pt>
                      <c:pt idx="38">
                        <c:v>9948.7139667520096</c:v>
                      </c:pt>
                      <c:pt idx="39">
                        <c:v>9795.8325740506061</c:v>
                      </c:pt>
                      <c:pt idx="40">
                        <c:v>9642.9511813491918</c:v>
                      </c:pt>
                      <c:pt idx="41">
                        <c:v>9490.0697886477974</c:v>
                      </c:pt>
                      <c:pt idx="42">
                        <c:v>9337.1883959463848</c:v>
                      </c:pt>
                      <c:pt idx="43">
                        <c:v>9184.3070032449759</c:v>
                      </c:pt>
                      <c:pt idx="44">
                        <c:v>9031.4256105435743</c:v>
                      </c:pt>
                      <c:pt idx="45">
                        <c:v>8878.5442178421599</c:v>
                      </c:pt>
                      <c:pt idx="46">
                        <c:v>8725.6628251407583</c:v>
                      </c:pt>
                      <c:pt idx="47">
                        <c:v>8572.7814324393585</c:v>
                      </c:pt>
                      <c:pt idx="48">
                        <c:v>8419.9000397379568</c:v>
                      </c:pt>
                      <c:pt idx="49">
                        <c:v>8267.0186470365388</c:v>
                      </c:pt>
                      <c:pt idx="50">
                        <c:v>8114.1372543351372</c:v>
                      </c:pt>
                      <c:pt idx="51">
                        <c:v>7961.2558616337328</c:v>
                      </c:pt>
                      <c:pt idx="52">
                        <c:v>7808.3744689323321</c:v>
                      </c:pt>
                      <c:pt idx="53">
                        <c:v>7655.4930762309177</c:v>
                      </c:pt>
                      <c:pt idx="54">
                        <c:v>7502.6116835295143</c:v>
                      </c:pt>
                      <c:pt idx="55">
                        <c:v>7349.7302908281163</c:v>
                      </c:pt>
                      <c:pt idx="56">
                        <c:v>7196.8488981267101</c:v>
                      </c:pt>
                      <c:pt idx="57">
                        <c:v>7043.9675054252912</c:v>
                      </c:pt>
                      <c:pt idx="58">
                        <c:v>6891.0861127238877</c:v>
                      </c:pt>
                      <c:pt idx="59">
                        <c:v>6738.2047200224806</c:v>
                      </c:pt>
                      <c:pt idx="60">
                        <c:v>6585.3233273210772</c:v>
                      </c:pt>
                      <c:pt idx="61">
                        <c:v>6432.4419346196728</c:v>
                      </c:pt>
                      <c:pt idx="62">
                        <c:v>6279.5605419182657</c:v>
                      </c:pt>
                      <c:pt idx="63">
                        <c:v>6126.6791492168531</c:v>
                      </c:pt>
                      <c:pt idx="64">
                        <c:v>5973.7977565154551</c:v>
                      </c:pt>
                      <c:pt idx="65">
                        <c:v>5820.9163638140453</c:v>
                      </c:pt>
                      <c:pt idx="66">
                        <c:v>5668.0349711126437</c:v>
                      </c:pt>
                      <c:pt idx="67">
                        <c:v>5515.1535784112339</c:v>
                      </c:pt>
                      <c:pt idx="68">
                        <c:v>5362.2721857098231</c:v>
                      </c:pt>
                      <c:pt idx="69">
                        <c:v>5209.3907930084215</c:v>
                      </c:pt>
                      <c:pt idx="70">
                        <c:v>5056.5094003070208</c:v>
                      </c:pt>
                      <c:pt idx="71">
                        <c:v>4903.6280076056073</c:v>
                      </c:pt>
                      <c:pt idx="72">
                        <c:v>4750.7466149042048</c:v>
                      </c:pt>
                      <c:pt idx="73">
                        <c:v>4597.8652222028022</c:v>
                      </c:pt>
                      <c:pt idx="74">
                        <c:v>4444.9838295013951</c:v>
                      </c:pt>
                      <c:pt idx="75">
                        <c:v>4292.1024367999844</c:v>
                      </c:pt>
                      <c:pt idx="76">
                        <c:v>4139.2210440985782</c:v>
                      </c:pt>
                      <c:pt idx="77">
                        <c:v>3986.3396513971743</c:v>
                      </c:pt>
                      <c:pt idx="78">
                        <c:v>3833.4582586957686</c:v>
                      </c:pt>
                      <c:pt idx="79">
                        <c:v>3680.5768659943606</c:v>
                      </c:pt>
                      <c:pt idx="80">
                        <c:v>3527.6954732929571</c:v>
                      </c:pt>
                      <c:pt idx="81">
                        <c:v>3374.8140805915473</c:v>
                      </c:pt>
                      <c:pt idx="82">
                        <c:v>3221.9326878901406</c:v>
                      </c:pt>
                      <c:pt idx="83">
                        <c:v>3069.0512951887372</c:v>
                      </c:pt>
                      <c:pt idx="84">
                        <c:v>2916.1699024873301</c:v>
                      </c:pt>
                      <c:pt idx="85">
                        <c:v>2763.2885097859244</c:v>
                      </c:pt>
                      <c:pt idx="86">
                        <c:v>2610.4071170845195</c:v>
                      </c:pt>
                      <c:pt idx="87">
                        <c:v>2457.5257243831124</c:v>
                      </c:pt>
                      <c:pt idx="88">
                        <c:v>2304.6443316817058</c:v>
                      </c:pt>
                      <c:pt idx="89">
                        <c:v>2151.7629389802996</c:v>
                      </c:pt>
                      <c:pt idx="90">
                        <c:v>1998.881546278893</c:v>
                      </c:pt>
                      <c:pt idx="91">
                        <c:v>1846.0001535774877</c:v>
                      </c:pt>
                      <c:pt idx="92">
                        <c:v>1693.1187608760831</c:v>
                      </c:pt>
                      <c:pt idx="93">
                        <c:v>1540.2373681746765</c:v>
                      </c:pt>
                      <c:pt idx="94">
                        <c:v>1387.3559754732717</c:v>
                      </c:pt>
                      <c:pt idx="95">
                        <c:v>1234.4745827718618</c:v>
                      </c:pt>
                      <c:pt idx="96">
                        <c:v>1081.5931900704575</c:v>
                      </c:pt>
                      <c:pt idx="97">
                        <c:v>928.71179736905151</c:v>
                      </c:pt>
                      <c:pt idx="98">
                        <c:v>775.83040466764646</c:v>
                      </c:pt>
                      <c:pt idx="99">
                        <c:v>622.94901196624096</c:v>
                      </c:pt>
                      <c:pt idx="100">
                        <c:v>470.0676192648354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'G27 60L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94.749439849172944</c:v>
                      </c:pt>
                      <c:pt idx="1">
                        <c:v>94.868325258856544</c:v>
                      </c:pt>
                      <c:pt idx="2">
                        <c:v>94.988532490945019</c:v>
                      </c:pt>
                      <c:pt idx="3">
                        <c:v>95.11008953978623</c:v>
                      </c:pt>
                      <c:pt idx="4">
                        <c:v>95.23302527990036</c:v>
                      </c:pt>
                      <c:pt idx="5">
                        <c:v>95.35736950287054</c:v>
                      </c:pt>
                      <c:pt idx="6">
                        <c:v>95.483152956172717</c:v>
                      </c:pt>
                      <c:pt idx="7">
                        <c:v>95.610407384069575</c:v>
                      </c:pt>
                      <c:pt idx="8">
                        <c:v>95.739165570699939</c:v>
                      </c:pt>
                      <c:pt idx="9">
                        <c:v>95.869461385507421</c:v>
                      </c:pt>
                      <c:pt idx="10">
                        <c:v>96.001329831159907</c:v>
                      </c:pt>
                      <c:pt idx="11">
                        <c:v>96.134807094126089</c:v>
                      </c:pt>
                      <c:pt idx="12">
                        <c:v>96.269930598086816</c:v>
                      </c:pt>
                      <c:pt idx="13">
                        <c:v>96.406739060372658</c:v>
                      </c:pt>
                      <c:pt idx="14">
                        <c:v>96.545272551635875</c:v>
                      </c:pt>
                      <c:pt idx="15">
                        <c:v>96.685572558979374</c:v>
                      </c:pt>
                      <c:pt idx="16">
                        <c:v>96.827682052786741</c:v>
                      </c:pt>
                      <c:pt idx="17">
                        <c:v>96.971645557513114</c:v>
                      </c:pt>
                      <c:pt idx="18">
                        <c:v>97.117509226723328</c:v>
                      </c:pt>
                      <c:pt idx="19">
                        <c:v>97.265320922683131</c:v>
                      </c:pt>
                      <c:pt idx="20">
                        <c:v>97.415130300839294</c:v>
                      </c:pt>
                      <c:pt idx="21">
                        <c:v>97.566988899550836</c:v>
                      </c:pt>
                      <c:pt idx="22">
                        <c:v>97.720950235466276</c:v>
                      </c:pt>
                      <c:pt idx="23">
                        <c:v>97.87706990497756</c:v>
                      </c:pt>
                      <c:pt idx="24">
                        <c:v>98.035405692217779</c:v>
                      </c:pt>
                      <c:pt idx="25">
                        <c:v>98.196017684114892</c:v>
                      </c:pt>
                      <c:pt idx="26">
                        <c:v>98.358968393058177</c:v>
                      </c:pt>
                      <c:pt idx="27">
                        <c:v>98.524322887787861</c:v>
                      </c:pt>
                      <c:pt idx="28">
                        <c:v>98.692148933176227</c:v>
                      </c:pt>
                      <c:pt idx="29">
                        <c:v>98.862517139629176</c:v>
                      </c:pt>
                      <c:pt idx="30">
                        <c:v>99.035501122913885</c:v>
                      </c:pt>
                      <c:pt idx="31">
                        <c:v>99.211177675289846</c:v>
                      </c:pt>
                      <c:pt idx="32">
                        <c:v>99.389626948916003</c:v>
                      </c:pt>
                      <c:pt idx="33">
                        <c:v>99.570932652598245</c:v>
                      </c:pt>
                      <c:pt idx="34">
                        <c:v>99.75518226305482</c:v>
                      </c:pt>
                      <c:pt idx="35">
                        <c:v>99.942467251998593</c:v>
                      </c:pt>
                      <c:pt idx="36">
                        <c:v>100.13288333047167</c:v>
                      </c:pt>
                      <c:pt idx="37">
                        <c:v>100.3265307120223</c:v>
                      </c:pt>
                      <c:pt idx="38">
                        <c:v>100.52351439648791</c:v>
                      </c:pt>
                      <c:pt idx="39">
                        <c:v>100.72394447634045</c:v>
                      </c:pt>
                      <c:pt idx="40">
                        <c:v>100.92793646777304</c:v>
                      </c:pt>
                      <c:pt idx="41">
                        <c:v>101.13561166895387</c:v>
                      </c:pt>
                      <c:pt idx="42">
                        <c:v>101.34709754815297</c:v>
                      </c:pt>
                      <c:pt idx="43">
                        <c:v>101.56252816476925</c:v>
                      </c:pt>
                      <c:pt idx="44">
                        <c:v>101.78204462664668</c:v>
                      </c:pt>
                      <c:pt idx="45">
                        <c:v>102.00579558747991</c:v>
                      </c:pt>
                      <c:pt idx="46">
                        <c:v>102.23393778858372</c:v>
                      </c:pt>
                      <c:pt idx="47">
                        <c:v>102.46663664983669</c:v>
                      </c:pt>
                      <c:pt idx="48">
                        <c:v>102.70406691523009</c:v>
                      </c:pt>
                      <c:pt idx="49">
                        <c:v>102.94641335916248</c:v>
                      </c:pt>
                      <c:pt idx="50">
                        <c:v>103.19387156043778</c:v>
                      </c:pt>
                      <c:pt idx="51">
                        <c:v>103.44664875187028</c:v>
                      </c:pt>
                      <c:pt idx="52">
                        <c:v>103.70496475449373</c:v>
                      </c:pt>
                      <c:pt idx="53">
                        <c:v>103.96905300664267</c:v>
                      </c:pt>
                      <c:pt idx="54">
                        <c:v>104.23916169965061</c:v>
                      </c:pt>
                      <c:pt idx="55">
                        <c:v>104.51555503363878</c:v>
                      </c:pt>
                      <c:pt idx="56">
                        <c:v>104.79851460888902</c:v>
                      </c:pt>
                      <c:pt idx="57">
                        <c:v>105.08834097067064</c:v>
                      </c:pt>
                      <c:pt idx="58">
                        <c:v>105.38535532819222</c:v>
                      </c:pt>
                      <c:pt idx="59">
                        <c:v>105.68990147165681</c:v>
                      </c:pt>
                      <c:pt idx="60">
                        <c:v>106.00234791533367</c:v>
                      </c:pt>
                      <c:pt idx="61">
                        <c:v>106.32309029923881</c:v>
                      </c:pt>
                      <c:pt idx="62">
                        <c:v>106.65255408761629</c:v>
                      </c:pt>
                      <c:pt idx="63">
                        <c:v>106.99119760913345</c:v>
                      </c:pt>
                      <c:pt idx="64">
                        <c:v>107.33951549181501</c:v>
                      </c:pt>
                      <c:pt idx="65">
                        <c:v>107.69804255554982</c:v>
                      </c:pt>
                      <c:pt idx="66">
                        <c:v>108.06735823696381</c:v>
                      </c:pt>
                      <c:pt idx="67">
                        <c:v>108.44809163604603</c:v>
                      </c:pt>
                      <c:pt idx="68">
                        <c:v>108.84092729188035</c:v>
                      </c:pt>
                      <c:pt idx="69">
                        <c:v>109.24661181701391</c:v>
                      </c:pt>
                      <c:pt idx="70">
                        <c:v>109.66596154755797</c:v>
                      </c:pt>
                      <c:pt idx="71">
                        <c:v>110.09987140059411</c:v>
                      </c:pt>
                      <c:pt idx="72">
                        <c:v>110.54932517380239</c:v>
                      </c:pt>
                      <c:pt idx="73">
                        <c:v>111.01540757716718</c:v>
                      </c:pt>
                      <c:pt idx="74">
                        <c:v>111.49931835665937</c:v>
                      </c:pt>
                      <c:pt idx="75">
                        <c:v>112.00238895985314</c:v>
                      </c:pt>
                      <c:pt idx="76">
                        <c:v>112.52610231010229</c:v>
                      </c:pt>
                      <c:pt idx="77">
                        <c:v>113.07211640838621</c:v>
                      </c:pt>
                      <c:pt idx="78">
                        <c:v>113.64229268303744</c:v>
                      </c:pt>
                      <c:pt idx="79">
                        <c:v>114.23873027543871</c:v>
                      </c:pt>
                      <c:pt idx="80">
                        <c:v>114.86380781034327</c:v>
                      </c:pt>
                      <c:pt idx="81">
                        <c:v>115.52023469041008</c:v>
                      </c:pt>
                      <c:pt idx="82">
                        <c:v>116.21111463121133</c:v>
                      </c:pt>
                      <c:pt idx="83">
                        <c:v>116.94002509817804</c:v>
                      </c:pt>
                      <c:pt idx="84">
                        <c:v>117.71111764653008</c:v>
                      </c:pt>
                      <c:pt idx="85">
                        <c:v>118.52924609401947</c:v>
                      </c:pt>
                      <c:pt idx="86">
                        <c:v>119.40013228207917</c:v>
                      </c:pt>
                      <c:pt idx="87">
                        <c:v>120.33058340068497</c:v>
                      </c:pt>
                      <c:pt idx="88">
                        <c:v>121.32878128833792</c:v>
                      </c:pt>
                      <c:pt idx="89">
                        <c:v>122.40467416915912</c:v>
                      </c:pt>
                      <c:pt idx="90">
                        <c:v>123.57051740392396</c:v>
                      </c:pt>
                      <c:pt idx="91">
                        <c:v>124.84163645160963</c:v>
                      </c:pt>
                      <c:pt idx="92">
                        <c:v>126.23753072806882</c:v>
                      </c:pt>
                      <c:pt idx="93">
                        <c:v>127.78351787718852</c:v>
                      </c:pt>
                      <c:pt idx="94">
                        <c:v>129.51326825201693</c:v>
                      </c:pt>
                      <c:pt idx="95">
                        <c:v>131.47287415548496</c:v>
                      </c:pt>
                      <c:pt idx="96">
                        <c:v>133.7277147234785</c:v>
                      </c:pt>
                      <c:pt idx="97">
                        <c:v>136.37477110573002</c:v>
                      </c:pt>
                      <c:pt idx="98">
                        <c:v>139.56652443438028</c:v>
                      </c:pt>
                      <c:pt idx="99">
                        <c:v>143.56243422306133</c:v>
                      </c:pt>
                      <c:pt idx="100">
                        <c:v>148.85736298171392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1A2C-4320-B2E0-E62D01DDE8BA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v>Fit G20 120L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6703.6297361842471</c:v>
                      </c:pt>
                      <c:pt idx="1">
                        <c:v>6640.7587670907851</c:v>
                      </c:pt>
                      <c:pt idx="2">
                        <c:v>6577.8877979973076</c:v>
                      </c:pt>
                      <c:pt idx="3">
                        <c:v>6515.0168289038256</c:v>
                      </c:pt>
                      <c:pt idx="4">
                        <c:v>6452.1458598103591</c:v>
                      </c:pt>
                      <c:pt idx="5">
                        <c:v>6389.2748907168852</c:v>
                      </c:pt>
                      <c:pt idx="6">
                        <c:v>6326.4039216234114</c:v>
                      </c:pt>
                      <c:pt idx="7">
                        <c:v>6263.5329525299348</c:v>
                      </c:pt>
                      <c:pt idx="8">
                        <c:v>6200.6619834364656</c:v>
                      </c:pt>
                      <c:pt idx="9">
                        <c:v>6137.791014342989</c:v>
                      </c:pt>
                      <c:pt idx="10">
                        <c:v>6074.9200452495088</c:v>
                      </c:pt>
                      <c:pt idx="11">
                        <c:v>6012.0490761560413</c:v>
                      </c:pt>
                      <c:pt idx="12">
                        <c:v>5949.1781070625611</c:v>
                      </c:pt>
                      <c:pt idx="13">
                        <c:v>5886.30713796909</c:v>
                      </c:pt>
                      <c:pt idx="14">
                        <c:v>5823.4361688756144</c:v>
                      </c:pt>
                      <c:pt idx="15">
                        <c:v>5760.5651997821406</c:v>
                      </c:pt>
                      <c:pt idx="16">
                        <c:v>5697.6942306886731</c:v>
                      </c:pt>
                      <c:pt idx="17">
                        <c:v>5634.8232615951974</c:v>
                      </c:pt>
                      <c:pt idx="18">
                        <c:v>5571.9522925017218</c:v>
                      </c:pt>
                      <c:pt idx="19">
                        <c:v>5509.0813234082516</c:v>
                      </c:pt>
                      <c:pt idx="20">
                        <c:v>5446.2103543147796</c:v>
                      </c:pt>
                      <c:pt idx="21">
                        <c:v>5383.3393852212994</c:v>
                      </c:pt>
                      <c:pt idx="22">
                        <c:v>5320.4684161278274</c:v>
                      </c:pt>
                      <c:pt idx="23">
                        <c:v>5257.5974470343563</c:v>
                      </c:pt>
                      <c:pt idx="24">
                        <c:v>5194.7264779408779</c:v>
                      </c:pt>
                      <c:pt idx="25">
                        <c:v>5131.8555088474031</c:v>
                      </c:pt>
                      <c:pt idx="26">
                        <c:v>5068.9845397539357</c:v>
                      </c:pt>
                      <c:pt idx="27">
                        <c:v>5006.1135706604573</c:v>
                      </c:pt>
                      <c:pt idx="28">
                        <c:v>4943.2426015669835</c:v>
                      </c:pt>
                      <c:pt idx="29">
                        <c:v>4880.3716324735042</c:v>
                      </c:pt>
                      <c:pt idx="30">
                        <c:v>4817.5006633800385</c:v>
                      </c:pt>
                      <c:pt idx="31">
                        <c:v>4754.6296942865674</c:v>
                      </c:pt>
                      <c:pt idx="32">
                        <c:v>4691.75872519309</c:v>
                      </c:pt>
                      <c:pt idx="33">
                        <c:v>4628.8877560996152</c:v>
                      </c:pt>
                      <c:pt idx="34">
                        <c:v>4566.0167870061423</c:v>
                      </c:pt>
                      <c:pt idx="35">
                        <c:v>4503.1458179126694</c:v>
                      </c:pt>
                      <c:pt idx="36">
                        <c:v>4440.2748488191964</c:v>
                      </c:pt>
                      <c:pt idx="37">
                        <c:v>4377.403879725719</c:v>
                      </c:pt>
                      <c:pt idx="38">
                        <c:v>4314.5329106322433</c:v>
                      </c:pt>
                      <c:pt idx="39">
                        <c:v>4251.6619415387731</c:v>
                      </c:pt>
                      <c:pt idx="40">
                        <c:v>4188.7909724452948</c:v>
                      </c:pt>
                      <c:pt idx="41">
                        <c:v>4125.9200033518209</c:v>
                      </c:pt>
                      <c:pt idx="42">
                        <c:v>4063.0490342583453</c:v>
                      </c:pt>
                      <c:pt idx="43">
                        <c:v>4000.1780651648774</c:v>
                      </c:pt>
                      <c:pt idx="44">
                        <c:v>3937.3070960714031</c:v>
                      </c:pt>
                      <c:pt idx="45">
                        <c:v>3874.4361269779279</c:v>
                      </c:pt>
                      <c:pt idx="46">
                        <c:v>3811.5651578844513</c:v>
                      </c:pt>
                      <c:pt idx="47">
                        <c:v>3748.6941887909838</c:v>
                      </c:pt>
                      <c:pt idx="48">
                        <c:v>3685.8232196975046</c:v>
                      </c:pt>
                      <c:pt idx="49">
                        <c:v>3622.9522506040294</c:v>
                      </c:pt>
                      <c:pt idx="50">
                        <c:v>3560.0812815105596</c:v>
                      </c:pt>
                      <c:pt idx="51">
                        <c:v>3497.2103124170853</c:v>
                      </c:pt>
                      <c:pt idx="52">
                        <c:v>3434.3393433236092</c:v>
                      </c:pt>
                      <c:pt idx="53">
                        <c:v>3371.4683742301345</c:v>
                      </c:pt>
                      <c:pt idx="54">
                        <c:v>3308.5974051366625</c:v>
                      </c:pt>
                      <c:pt idx="55">
                        <c:v>3245.72643604319</c:v>
                      </c:pt>
                      <c:pt idx="56">
                        <c:v>3182.8554669497153</c:v>
                      </c:pt>
                      <c:pt idx="57">
                        <c:v>3119.9844978562392</c:v>
                      </c:pt>
                      <c:pt idx="58">
                        <c:v>3057.1135287627662</c:v>
                      </c:pt>
                      <c:pt idx="59">
                        <c:v>2994.2425596692938</c:v>
                      </c:pt>
                      <c:pt idx="60">
                        <c:v>2931.3715905758195</c:v>
                      </c:pt>
                      <c:pt idx="61">
                        <c:v>2868.500621482347</c:v>
                      </c:pt>
                      <c:pt idx="62">
                        <c:v>2805.6296523888714</c:v>
                      </c:pt>
                      <c:pt idx="63">
                        <c:v>2742.7586832954003</c:v>
                      </c:pt>
                      <c:pt idx="64">
                        <c:v>2679.8877142019232</c:v>
                      </c:pt>
                      <c:pt idx="65">
                        <c:v>2617.0167451084494</c:v>
                      </c:pt>
                      <c:pt idx="66">
                        <c:v>2554.1457760149774</c:v>
                      </c:pt>
                      <c:pt idx="67">
                        <c:v>2491.2748069215022</c:v>
                      </c:pt>
                      <c:pt idx="68">
                        <c:v>2428.4038378280288</c:v>
                      </c:pt>
                      <c:pt idx="69">
                        <c:v>2365.5328687345559</c:v>
                      </c:pt>
                      <c:pt idx="70">
                        <c:v>2302.6618996410812</c:v>
                      </c:pt>
                      <c:pt idx="71">
                        <c:v>2239.7909305476073</c:v>
                      </c:pt>
                      <c:pt idx="72">
                        <c:v>2176.9199614541335</c:v>
                      </c:pt>
                      <c:pt idx="73">
                        <c:v>2114.0489923606597</c:v>
                      </c:pt>
                      <c:pt idx="74">
                        <c:v>2051.1780232671863</c:v>
                      </c:pt>
                      <c:pt idx="75">
                        <c:v>1988.3070541737127</c:v>
                      </c:pt>
                      <c:pt idx="76">
                        <c:v>1925.4360850802384</c:v>
                      </c:pt>
                      <c:pt idx="77">
                        <c:v>1862.5651159867634</c:v>
                      </c:pt>
                      <c:pt idx="78">
                        <c:v>1799.6941468932903</c:v>
                      </c:pt>
                      <c:pt idx="79">
                        <c:v>1736.8231777998162</c:v>
                      </c:pt>
                      <c:pt idx="80">
                        <c:v>1673.9522087063433</c:v>
                      </c:pt>
                      <c:pt idx="81">
                        <c:v>1611.0812396128676</c:v>
                      </c:pt>
                      <c:pt idx="82">
                        <c:v>1548.2102705193956</c:v>
                      </c:pt>
                      <c:pt idx="83">
                        <c:v>1485.3393014259209</c:v>
                      </c:pt>
                      <c:pt idx="84">
                        <c:v>1422.468332332448</c:v>
                      </c:pt>
                      <c:pt idx="85">
                        <c:v>1359.5973632389737</c:v>
                      </c:pt>
                      <c:pt idx="86">
                        <c:v>1296.7263941454983</c:v>
                      </c:pt>
                      <c:pt idx="87">
                        <c:v>1233.8554250520265</c:v>
                      </c:pt>
                      <c:pt idx="88">
                        <c:v>1170.9844559585513</c:v>
                      </c:pt>
                      <c:pt idx="89">
                        <c:v>1108.113486865077</c:v>
                      </c:pt>
                      <c:pt idx="90">
                        <c:v>1045.2425177716043</c:v>
                      </c:pt>
                      <c:pt idx="91">
                        <c:v>982.37154867812978</c:v>
                      </c:pt>
                      <c:pt idx="92">
                        <c:v>919.50057958465607</c:v>
                      </c:pt>
                      <c:pt idx="93">
                        <c:v>856.62961049118292</c:v>
                      </c:pt>
                      <c:pt idx="94">
                        <c:v>793.75864139770715</c:v>
                      </c:pt>
                      <c:pt idx="95">
                        <c:v>730.88767230423389</c:v>
                      </c:pt>
                      <c:pt idx="96">
                        <c:v>668.01670321076028</c:v>
                      </c:pt>
                      <c:pt idx="97">
                        <c:v>605.14573411728588</c:v>
                      </c:pt>
                      <c:pt idx="98">
                        <c:v>542.27476502381307</c:v>
                      </c:pt>
                      <c:pt idx="99">
                        <c:v>479.40379593033896</c:v>
                      </c:pt>
                      <c:pt idx="100">
                        <c:v>416.53282683686507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97.087688831232569</c:v>
                      </c:pt>
                      <c:pt idx="1">
                        <c:v>97.214232167439448</c:v>
                      </c:pt>
                      <c:pt idx="2">
                        <c:v>97.342146558217522</c:v>
                      </c:pt>
                      <c:pt idx="3">
                        <c:v>97.471460177725959</c:v>
                      </c:pt>
                      <c:pt idx="4">
                        <c:v>97.60220205809803</c:v>
                      </c:pt>
                      <c:pt idx="5">
                        <c:v>97.734402124232474</c:v>
                      </c:pt>
                      <c:pt idx="6">
                        <c:v>97.868091230353102</c:v>
                      </c:pt>
                      <c:pt idx="7">
                        <c:v>98.003301198446138</c:v>
                      </c:pt>
                      <c:pt idx="8">
                        <c:v>98.140064858691744</c:v>
                      </c:pt>
                      <c:pt idx="9">
                        <c:v>98.278416092014268</c:v>
                      </c:pt>
                      <c:pt idx="10">
                        <c:v>98.418389874884753</c:v>
                      </c:pt>
                      <c:pt idx="11">
                        <c:v>98.560022326520837</c:v>
                      </c:pt>
                      <c:pt idx="12">
                        <c:v>98.703350758637384</c:v>
                      </c:pt>
                      <c:pt idx="13">
                        <c:v>98.848413727916025</c:v>
                      </c:pt>
                      <c:pt idx="14">
                        <c:v>98.995251091371003</c:v>
                      </c:pt>
                      <c:pt idx="15">
                        <c:v>99.143904064806321</c:v>
                      </c:pt>
                      <c:pt idx="16">
                        <c:v>99.294415284571457</c:v>
                      </c:pt>
                      <c:pt idx="17">
                        <c:v>99.446828872840399</c:v>
                      </c:pt>
                      <c:pt idx="18">
                        <c:v>99.601190506658071</c:v>
                      </c:pt>
                      <c:pt idx="19">
                        <c:v>99.75754749101543</c:v>
                      </c:pt>
                      <c:pt idx="20">
                        <c:v>99.915948836237632</c:v>
                      </c:pt>
                      <c:pt idx="21">
                        <c:v>100.07644533999395</c:v>
                      </c:pt>
                      <c:pt idx="22">
                        <c:v>100.23908967426115</c:v>
                      </c:pt>
                      <c:pt idx="23">
                        <c:v>100.40393647760443</c:v>
                      </c:pt>
                      <c:pt idx="24">
                        <c:v>100.5710424531664</c:v>
                      </c:pt>
                      <c:pt idx="25">
                        <c:v>100.74046647279258</c:v>
                      </c:pt>
                      <c:pt idx="26">
                        <c:v>100.91226968775929</c:v>
                      </c:pt>
                      <c:pt idx="27">
                        <c:v>101.08651564660687</c:v>
                      </c:pt>
                      <c:pt idx="28">
                        <c:v>101.26327042063363</c:v>
                      </c:pt>
                      <c:pt idx="29">
                        <c:v>101.44260273764974</c:v>
                      </c:pt>
                      <c:pt idx="30">
                        <c:v>101.6245841246526</c:v>
                      </c:pt>
                      <c:pt idx="31">
                        <c:v>101.8092890601399</c:v>
                      </c:pt>
                      <c:pt idx="32">
                        <c:v>101.99679513685243</c:v>
                      </c:pt>
                      <c:pt idx="33">
                        <c:v>102.18718323580761</c:v>
                      </c:pt>
                      <c:pt idx="34">
                        <c:v>102.38053771257538</c:v>
                      </c:pt>
                      <c:pt idx="35">
                        <c:v>102.57694659683841</c:v>
                      </c:pt>
                      <c:pt idx="36">
                        <c:v>102.77650180638308</c:v>
                      </c:pt>
                      <c:pt idx="37">
                        <c:v>102.97929937678816</c:v>
                      </c:pt>
                      <c:pt idx="38">
                        <c:v>103.18543970820427</c:v>
                      </c:pt>
                      <c:pt idx="39">
                        <c:v>103.39502783076777</c:v>
                      </c:pt>
                      <c:pt idx="40">
                        <c:v>103.60817369035372</c:v>
                      </c:pt>
                      <c:pt idx="41">
                        <c:v>103.82499245655877</c:v>
                      </c:pt>
                      <c:pt idx="42">
                        <c:v>104.04560485501085</c:v>
                      </c:pt>
                      <c:pt idx="43">
                        <c:v>104.27013752633862</c:v>
                      </c:pt>
                      <c:pt idx="44">
                        <c:v>104.49872341439455</c:v>
                      </c:pt>
                      <c:pt idx="45">
                        <c:v>104.73150218662704</c:v>
                      </c:pt>
                      <c:pt idx="46">
                        <c:v>104.96862068983222</c:v>
                      </c:pt>
                      <c:pt idx="47">
                        <c:v>105.21023344490415</c:v>
                      </c:pt>
                      <c:pt idx="48">
                        <c:v>105.45650318463655</c:v>
                      </c:pt>
                      <c:pt idx="49">
                        <c:v>105.70760143912764</c:v>
                      </c:pt>
                      <c:pt idx="50">
                        <c:v>105.96370917391121</c:v>
                      </c:pt>
                      <c:pt idx="51">
                        <c:v>106.22501748658915</c:v>
                      </c:pt>
                      <c:pt idx="52">
                        <c:v>106.49172836848574</c:v>
                      </c:pt>
                      <c:pt idx="53">
                        <c:v>106.76405553871226</c:v>
                      </c:pt>
                      <c:pt idx="54">
                        <c:v>107.04222535901842</c:v>
                      </c:pt>
                      <c:pt idx="55">
                        <c:v>107.32647783895811</c:v>
                      </c:pt>
                      <c:pt idx="56">
                        <c:v>107.61706774223154</c:v>
                      </c:pt>
                      <c:pt idx="57">
                        <c:v>107.91426580661035</c:v>
                      </c:pt>
                      <c:pt idx="58">
                        <c:v>108.21836009166429</c:v>
                      </c:pt>
                      <c:pt idx="59">
                        <c:v>108.52965747061289</c:v>
                      </c:pt>
                      <c:pt idx="60">
                        <c:v>108.84848528511078</c:v>
                      </c:pt>
                      <c:pt idx="61">
                        <c:v>109.17519318468364</c:v>
                      </c:pt>
                      <c:pt idx="62">
                        <c:v>109.51015517597854</c:v>
                      </c:pt>
                      <c:pt idx="63">
                        <c:v>109.85377191106869</c:v>
                      </c:pt>
                      <c:pt idx="64">
                        <c:v>110.20647324890082</c:v>
                      </c:pt>
                      <c:pt idx="65">
                        <c:v>110.56872112976326</c:v>
                      </c:pt>
                      <c:pt idx="66">
                        <c:v>110.94101280958608</c:v>
                      </c:pt>
                      <c:pt idx="67">
                        <c:v>111.32388450923304</c:v>
                      </c:pt>
                      <c:pt idx="68">
                        <c:v>111.71791554402391</c:v>
                      </c:pt>
                      <c:pt idx="69">
                        <c:v>112.12373301097443</c:v>
                      </c:pt>
                      <c:pt idx="70">
                        <c:v>112.5420171261691</c:v>
                      </c:pt>
                      <c:pt idx="71">
                        <c:v>112.97350732298511</c:v>
                      </c:pt>
                      <c:pt idx="72">
                        <c:v>113.41900924444451</c:v>
                      </c:pt>
                      <c:pt idx="73">
                        <c:v>113.87940279091363</c:v>
                      </c:pt>
                      <c:pt idx="74">
                        <c:v>114.35565141920637</c:v>
                      </c:pt>
                      <c:pt idx="75">
                        <c:v>114.84881293282162</c:v>
                      </c:pt>
                      <c:pt idx="76">
                        <c:v>115.36005205818341</c:v>
                      </c:pt>
                      <c:pt idx="77">
                        <c:v>115.89065517181744</c:v>
                      </c:pt>
                      <c:pt idx="78">
                        <c:v>116.44204763311193</c:v>
                      </c:pt>
                      <c:pt idx="79">
                        <c:v>117.01581429305935</c:v>
                      </c:pt>
                      <c:pt idx="80">
                        <c:v>117.61372389996976</c:v>
                      </c:pt>
                      <c:pt idx="81">
                        <c:v>118.23775832082032</c:v>
                      </c:pt>
                      <c:pt idx="82">
                        <c:v>118.8901477588351</c:v>
                      </c:pt>
                      <c:pt idx="83">
                        <c:v>119.57341349852298</c:v>
                      </c:pt>
                      <c:pt idx="84">
                        <c:v>120.29042018392796</c:v>
                      </c:pt>
                      <c:pt idx="85">
                        <c:v>121.04444028566435</c:v>
                      </c:pt>
                      <c:pt idx="86">
                        <c:v>121.83923431360178</c:v>
                      </c:pt>
                      <c:pt idx="87">
                        <c:v>122.67915159957518</c:v>
                      </c:pt>
                      <c:pt idx="88">
                        <c:v>123.56925828413698</c:v>
                      </c:pt>
                      <c:pt idx="89">
                        <c:v>124.51550176800993</c:v>
                      </c:pt>
                      <c:pt idx="90">
                        <c:v>125.52492477114548</c:v>
                      </c:pt>
                      <c:pt idx="91">
                        <c:v>126.60594799636613</c:v>
                      </c:pt>
                      <c:pt idx="92">
                        <c:v>127.76874942028434</c:v>
                      </c:pt>
                      <c:pt idx="93">
                        <c:v>129.02578249937002</c:v>
                      </c:pt>
                      <c:pt idx="94">
                        <c:v>130.3924987628252</c:v>
                      </c:pt>
                      <c:pt idx="95">
                        <c:v>131.88837915171709</c:v>
                      </c:pt>
                      <c:pt idx="96">
                        <c:v>133.53844609213445</c:v>
                      </c:pt>
                      <c:pt idx="97">
                        <c:v>135.37555091076749</c:v>
                      </c:pt>
                      <c:pt idx="98">
                        <c:v>137.44396464837521</c:v>
                      </c:pt>
                      <c:pt idx="99">
                        <c:v>139.80527126397001</c:v>
                      </c:pt>
                      <c:pt idx="100">
                        <c:v>142.54858113635476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A2C-4320-B2E0-E62D01DDE8BA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v>Fit G27 105L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79270.378709181925</c:v>
                      </c:pt>
                      <c:pt idx="1">
                        <c:v>78489.041455960294</c:v>
                      </c:pt>
                      <c:pt idx="2">
                        <c:v>77707.704202738794</c:v>
                      </c:pt>
                      <c:pt idx="3">
                        <c:v>76926.366949517076</c:v>
                      </c:pt>
                      <c:pt idx="4">
                        <c:v>76145.029696295489</c:v>
                      </c:pt>
                      <c:pt idx="5">
                        <c:v>75363.692443073902</c:v>
                      </c:pt>
                      <c:pt idx="6">
                        <c:v>74582.355189852184</c:v>
                      </c:pt>
                      <c:pt idx="7">
                        <c:v>73801.017936630684</c:v>
                      </c:pt>
                      <c:pt idx="8">
                        <c:v>73019.680683409009</c:v>
                      </c:pt>
                      <c:pt idx="9">
                        <c:v>72238.343430187349</c:v>
                      </c:pt>
                      <c:pt idx="10">
                        <c:v>71457.006176965777</c:v>
                      </c:pt>
                      <c:pt idx="11">
                        <c:v>70675.668923744146</c:v>
                      </c:pt>
                      <c:pt idx="12">
                        <c:v>69894.331670522515</c:v>
                      </c:pt>
                      <c:pt idx="13">
                        <c:v>69112.994417300928</c:v>
                      </c:pt>
                      <c:pt idx="14">
                        <c:v>68331.65716407921</c:v>
                      </c:pt>
                      <c:pt idx="15">
                        <c:v>67550.31991085771</c:v>
                      </c:pt>
                      <c:pt idx="16">
                        <c:v>66768.982657636108</c:v>
                      </c:pt>
                      <c:pt idx="17">
                        <c:v>65987.645404414448</c:v>
                      </c:pt>
                      <c:pt idx="18">
                        <c:v>65206.308151192832</c:v>
                      </c:pt>
                      <c:pt idx="19">
                        <c:v>64424.970897971209</c:v>
                      </c:pt>
                      <c:pt idx="20">
                        <c:v>63643.633644749643</c:v>
                      </c:pt>
                      <c:pt idx="21">
                        <c:v>62862.296391527881</c:v>
                      </c:pt>
                      <c:pt idx="22">
                        <c:v>62080.959138306425</c:v>
                      </c:pt>
                      <c:pt idx="23">
                        <c:v>61299.621885084773</c:v>
                      </c:pt>
                      <c:pt idx="24">
                        <c:v>60518.284631863025</c:v>
                      </c:pt>
                      <c:pt idx="25">
                        <c:v>59736.947378641482</c:v>
                      </c:pt>
                      <c:pt idx="26">
                        <c:v>58955.610125419822</c:v>
                      </c:pt>
                      <c:pt idx="27">
                        <c:v>58174.272872198148</c:v>
                      </c:pt>
                      <c:pt idx="28">
                        <c:v>57392.935618976691</c:v>
                      </c:pt>
                      <c:pt idx="29">
                        <c:v>56611.598365755024</c:v>
                      </c:pt>
                      <c:pt idx="30">
                        <c:v>55830.261112533357</c:v>
                      </c:pt>
                      <c:pt idx="31">
                        <c:v>55048.923859311733</c:v>
                      </c:pt>
                      <c:pt idx="32">
                        <c:v>54267.586606090117</c:v>
                      </c:pt>
                      <c:pt idx="33">
                        <c:v>53486.249352868486</c:v>
                      </c:pt>
                      <c:pt idx="34">
                        <c:v>52704.912099646855</c:v>
                      </c:pt>
                      <c:pt idx="35">
                        <c:v>51923.574846425247</c:v>
                      </c:pt>
                      <c:pt idx="36">
                        <c:v>51142.237593203652</c:v>
                      </c:pt>
                      <c:pt idx="37">
                        <c:v>50360.900339982087</c:v>
                      </c:pt>
                      <c:pt idx="38">
                        <c:v>49579.563086760369</c:v>
                      </c:pt>
                      <c:pt idx="39">
                        <c:v>48798.225833538832</c:v>
                      </c:pt>
                      <c:pt idx="40">
                        <c:v>48016.888580317107</c:v>
                      </c:pt>
                      <c:pt idx="41">
                        <c:v>47235.551327095469</c:v>
                      </c:pt>
                      <c:pt idx="42">
                        <c:v>46454.214073873882</c:v>
                      </c:pt>
                      <c:pt idx="43">
                        <c:v>45672.87682065228</c:v>
                      </c:pt>
                      <c:pt idx="44">
                        <c:v>44891.539567430664</c:v>
                      </c:pt>
                      <c:pt idx="45">
                        <c:v>44110.202314209026</c:v>
                      </c:pt>
                      <c:pt idx="46">
                        <c:v>43328.865060987438</c:v>
                      </c:pt>
                      <c:pt idx="47">
                        <c:v>42547.527807765808</c:v>
                      </c:pt>
                      <c:pt idx="48">
                        <c:v>41766.190554544213</c:v>
                      </c:pt>
                      <c:pt idx="49">
                        <c:v>40984.853301322597</c:v>
                      </c:pt>
                      <c:pt idx="50">
                        <c:v>40203.516048100952</c:v>
                      </c:pt>
                      <c:pt idx="51">
                        <c:v>39422.178794879328</c:v>
                      </c:pt>
                      <c:pt idx="52">
                        <c:v>38640.841541657661</c:v>
                      </c:pt>
                      <c:pt idx="53">
                        <c:v>37859.504288436052</c:v>
                      </c:pt>
                      <c:pt idx="54">
                        <c:v>37078.167035214501</c:v>
                      </c:pt>
                      <c:pt idx="55">
                        <c:v>36296.829781992856</c:v>
                      </c:pt>
                      <c:pt idx="56">
                        <c:v>35515.492528771189</c:v>
                      </c:pt>
                      <c:pt idx="57">
                        <c:v>34734.155275549594</c:v>
                      </c:pt>
                      <c:pt idx="58">
                        <c:v>33952.818022327985</c:v>
                      </c:pt>
                      <c:pt idx="59">
                        <c:v>33171.480769106311</c:v>
                      </c:pt>
                      <c:pt idx="60">
                        <c:v>32390.143515884745</c:v>
                      </c:pt>
                      <c:pt idx="61">
                        <c:v>31608.806262663107</c:v>
                      </c:pt>
                      <c:pt idx="62">
                        <c:v>30827.469009441487</c:v>
                      </c:pt>
                      <c:pt idx="63">
                        <c:v>30046.131756219853</c:v>
                      </c:pt>
                      <c:pt idx="64">
                        <c:v>29264.794502998258</c:v>
                      </c:pt>
                      <c:pt idx="65">
                        <c:v>28483.457249776628</c:v>
                      </c:pt>
                      <c:pt idx="66">
                        <c:v>27702.119996555</c:v>
                      </c:pt>
                      <c:pt idx="67">
                        <c:v>26920.782743333402</c:v>
                      </c:pt>
                      <c:pt idx="68">
                        <c:v>26139.445490111717</c:v>
                      </c:pt>
                      <c:pt idx="69">
                        <c:v>25358.108236890144</c:v>
                      </c:pt>
                      <c:pt idx="70">
                        <c:v>24576.770983668524</c:v>
                      </c:pt>
                      <c:pt idx="71">
                        <c:v>23795.433730446934</c:v>
                      </c:pt>
                      <c:pt idx="72">
                        <c:v>23014.096477225241</c:v>
                      </c:pt>
                      <c:pt idx="73">
                        <c:v>22232.759224003679</c:v>
                      </c:pt>
                      <c:pt idx="74">
                        <c:v>21451.421970782041</c:v>
                      </c:pt>
                      <c:pt idx="75">
                        <c:v>20670.084717560425</c:v>
                      </c:pt>
                      <c:pt idx="76">
                        <c:v>19888.747464338801</c:v>
                      </c:pt>
                      <c:pt idx="77">
                        <c:v>19107.410211117196</c:v>
                      </c:pt>
                      <c:pt idx="78">
                        <c:v>18326.072957895525</c:v>
                      </c:pt>
                      <c:pt idx="79">
                        <c:v>17544.73570467392</c:v>
                      </c:pt>
                      <c:pt idx="80">
                        <c:v>16763.398451452318</c:v>
                      </c:pt>
                      <c:pt idx="81">
                        <c:v>15982.061198230678</c:v>
                      </c:pt>
                      <c:pt idx="82">
                        <c:v>15200.723945009056</c:v>
                      </c:pt>
                      <c:pt idx="83">
                        <c:v>14419.386691787418</c:v>
                      </c:pt>
                      <c:pt idx="84">
                        <c:v>13638.04943856584</c:v>
                      </c:pt>
                      <c:pt idx="85">
                        <c:v>12856.712185344195</c:v>
                      </c:pt>
                      <c:pt idx="86">
                        <c:v>12075.374932122573</c:v>
                      </c:pt>
                      <c:pt idx="87">
                        <c:v>11294.037678900952</c:v>
                      </c:pt>
                      <c:pt idx="88">
                        <c:v>10512.700425679348</c:v>
                      </c:pt>
                      <c:pt idx="89">
                        <c:v>9731.3631724577081</c:v>
                      </c:pt>
                      <c:pt idx="90">
                        <c:v>8950.0259192361009</c:v>
                      </c:pt>
                      <c:pt idx="91">
                        <c:v>8168.6886660144773</c:v>
                      </c:pt>
                      <c:pt idx="92">
                        <c:v>7387.3514127928529</c:v>
                      </c:pt>
                      <c:pt idx="93">
                        <c:v>6606.0141595712248</c:v>
                      </c:pt>
                      <c:pt idx="94">
                        <c:v>5824.6769063496131</c:v>
                      </c:pt>
                      <c:pt idx="95">
                        <c:v>5043.3396531279886</c:v>
                      </c:pt>
                      <c:pt idx="96">
                        <c:v>4262.0023999063642</c:v>
                      </c:pt>
                      <c:pt idx="97">
                        <c:v>3480.6651466847434</c:v>
                      </c:pt>
                      <c:pt idx="98">
                        <c:v>2699.3278934631276</c:v>
                      </c:pt>
                      <c:pt idx="99">
                        <c:v>1917.9906402414949</c:v>
                      </c:pt>
                      <c:pt idx="100">
                        <c:v>1136.6533870198773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96.683356682692278</c:v>
                      </c:pt>
                      <c:pt idx="1">
                        <c:v>96.773426862331959</c:v>
                      </c:pt>
                      <c:pt idx="2">
                        <c:v>96.864483339484352</c:v>
                      </c:pt>
                      <c:pt idx="3">
                        <c:v>96.956546995835353</c:v>
                      </c:pt>
                      <c:pt idx="4">
                        <c:v>97.049639372978632</c:v>
                      </c:pt>
                      <c:pt idx="5">
                        <c:v>97.143782700295219</c:v>
                      </c:pt>
                      <c:pt idx="6">
                        <c:v>97.238999924315095</c:v>
                      </c:pt>
                      <c:pt idx="7">
                        <c:v>97.335314739652759</c:v>
                      </c:pt>
                      <c:pt idx="8">
                        <c:v>97.432751621623055</c:v>
                      </c:pt>
                      <c:pt idx="9">
                        <c:v>97.531335860643836</c:v>
                      </c:pt>
                      <c:pt idx="10">
                        <c:v>97.631093598546698</c:v>
                      </c:pt>
                      <c:pt idx="11">
                        <c:v>97.732051866921182</c:v>
                      </c:pt>
                      <c:pt idx="12">
                        <c:v>97.834238627633042</c:v>
                      </c:pt>
                      <c:pt idx="13">
                        <c:v>97.937682815662853</c:v>
                      </c:pt>
                      <c:pt idx="14">
                        <c:v>98.042414384428298</c:v>
                      </c:pt>
                      <c:pt idx="15">
                        <c:v>98.148464353762037</c:v>
                      </c:pt>
                      <c:pt idx="16">
                        <c:v>98.255864860735372</c:v>
                      </c:pt>
                      <c:pt idx="17">
                        <c:v>98.36464921353128</c:v>
                      </c:pt>
                      <c:pt idx="18">
                        <c:v>98.474851948587698</c:v>
                      </c:pt>
                      <c:pt idx="19">
                        <c:v>98.58650889125262</c:v>
                      </c:pt>
                      <c:pt idx="20">
                        <c:v>98.699657220211122</c:v>
                      </c:pt>
                      <c:pt idx="21">
                        <c:v>98.814335535969761</c:v>
                      </c:pt>
                      <c:pt idx="22">
                        <c:v>98.930583933706401</c:v>
                      </c:pt>
                      <c:pt idx="23">
                        <c:v>99.048444080823614</c:v>
                      </c:pt>
                      <c:pt idx="24">
                        <c:v>99.167959299573084</c:v>
                      </c:pt>
                      <c:pt idx="25">
                        <c:v>99.289174655153758</c:v>
                      </c:pt>
                      <c:pt idx="26">
                        <c:v>99.412137049721167</c:v>
                      </c:pt>
                      <c:pt idx="27">
                        <c:v>99.536895322791793</c:v>
                      </c:pt>
                      <c:pt idx="28">
                        <c:v>99.663500358567177</c:v>
                      </c:pt>
                      <c:pt idx="29">
                        <c:v>99.7920052007576</c:v>
                      </c:pt>
                      <c:pt idx="30">
                        <c:v>99.92246517554085</c:v>
                      </c:pt>
                      <c:pt idx="31">
                        <c:v>100.05493802335511</c:v>
                      </c:pt>
                      <c:pt idx="32">
                        <c:v>100.1894840402958</c:v>
                      </c:pt>
                      <c:pt idx="33">
                        <c:v>100.32616622996605</c:v>
                      </c:pt>
                      <c:pt idx="34">
                        <c:v>100.46505046672027</c:v>
                      </c:pt>
                      <c:pt idx="35">
                        <c:v>100.60620567133621</c:v>
                      </c:pt>
                      <c:pt idx="36">
                        <c:v>100.74970400026601</c:v>
                      </c:pt>
                      <c:pt idx="37">
                        <c:v>100.89562104974243</c:v>
                      </c:pt>
                      <c:pt idx="38">
                        <c:v>101.04403607615536</c:v>
                      </c:pt>
                      <c:pt idx="39">
                        <c:v>101.19503223427533</c:v>
                      </c:pt>
                      <c:pt idx="40">
                        <c:v>101.34869683508096</c:v>
                      </c:pt>
                      <c:pt idx="41">
                        <c:v>101.50512162515301</c:v>
                      </c:pt>
                      <c:pt idx="42">
                        <c:v>101.66440308982847</c:v>
                      </c:pt>
                      <c:pt idx="43">
                        <c:v>101.82664278257195</c:v>
                      </c:pt>
                      <c:pt idx="44">
                        <c:v>101.99194768332616</c:v>
                      </c:pt>
                      <c:pt idx="45">
                        <c:v>102.16043058894283</c:v>
                      </c:pt>
                      <c:pt idx="46">
                        <c:v>102.33221053919409</c:v>
                      </c:pt>
                      <c:pt idx="47">
                        <c:v>102.50741328230988</c:v>
                      </c:pt>
                      <c:pt idx="48">
                        <c:v>102.68617178451586</c:v>
                      </c:pt>
                      <c:pt idx="49">
                        <c:v>102.8686267886351</c:v>
                      </c:pt>
                      <c:pt idx="50">
                        <c:v>103.0549274275195</c:v>
                      </c:pt>
                      <c:pt idx="51">
                        <c:v>103.24523189887223</c:v>
                      </c:pt>
                      <c:pt idx="52">
                        <c:v>103.43970820896112</c:v>
                      </c:pt>
                      <c:pt idx="53">
                        <c:v>103.63853499380821</c:v>
                      </c:pt>
                      <c:pt idx="54">
                        <c:v>103.84190242771167</c:v>
                      </c:pt>
                      <c:pt idx="55">
                        <c:v>104.05001323044962</c:v>
                      </c:pt>
                      <c:pt idx="56">
                        <c:v>104.26308378626912</c:v>
                      </c:pt>
                      <c:pt idx="57">
                        <c:v>104.48134538983169</c:v>
                      </c:pt>
                      <c:pt idx="58">
                        <c:v>104.70504563674058</c:v>
                      </c:pt>
                      <c:pt idx="59">
                        <c:v>104.93444997919177</c:v>
                      </c:pt>
                      <c:pt idx="60">
                        <c:v>105.16984347076452</c:v>
                      </c:pt>
                      <c:pt idx="61">
                        <c:v>105.41153272853722</c:v>
                      </c:pt>
                      <c:pt idx="62">
                        <c:v>105.65984814572396</c:v>
                      </c:pt>
                      <c:pt idx="63">
                        <c:v>105.91514639408562</c:v>
                      </c:pt>
                      <c:pt idx="64">
                        <c:v>106.17781326271087</c:v>
                      </c:pt>
                      <c:pt idx="65">
                        <c:v>106.44826688873162</c:v>
                      </c:pt>
                      <c:pt idx="66">
                        <c:v>106.72696144651196</c:v>
                      </c:pt>
                      <c:pt idx="67">
                        <c:v>107.01439137538108</c:v>
                      </c:pt>
                      <c:pt idx="68">
                        <c:v>107.31109624274104</c:v>
                      </c:pt>
                      <c:pt idx="69">
                        <c:v>107.61766636026516</c:v>
                      </c:pt>
                      <c:pt idx="70">
                        <c:v>107.93474929708493</c:v>
                      </c:pt>
                      <c:pt idx="71">
                        <c:v>108.26305746691712</c:v>
                      </c:pt>
                      <c:pt idx="72">
                        <c:v>108.60337700807239</c:v>
                      </c:pt>
                      <c:pt idx="73">
                        <c:v>108.9565782290579</c:v>
                      </c:pt>
                      <c:pt idx="74">
                        <c:v>109.32362796185222</c:v>
                      </c:pt>
                      <c:pt idx="75">
                        <c:v>109.70560425518609</c:v>
                      </c:pt>
                      <c:pt idx="76">
                        <c:v>110.10371395863929</c:v>
                      </c:pt>
                      <c:pt idx="77">
                        <c:v>110.51931390537574</c:v>
                      </c:pt>
                      <c:pt idx="78">
                        <c:v>110.95393661156426</c:v>
                      </c:pt>
                      <c:pt idx="79">
                        <c:v>111.40932169512</c:v>
                      </c:pt>
                      <c:pt idx="80">
                        <c:v>111.88745460625944</c:v>
                      </c:pt>
                      <c:pt idx="81">
                        <c:v>112.3906148033447</c:v>
                      </c:pt>
                      <c:pt idx="82">
                        <c:v>112.92143626875506</c:v>
                      </c:pt>
                      <c:pt idx="83">
                        <c:v>113.48298434717152</c:v>
                      </c:pt>
                      <c:pt idx="84">
                        <c:v>114.07885446879506</c:v>
                      </c:pt>
                      <c:pt idx="85">
                        <c:v>114.71330065806717</c:v>
                      </c:pt>
                      <c:pt idx="86">
                        <c:v>115.3914052587447</c:v>
                      </c:pt>
                      <c:pt idx="87">
                        <c:v>116.11930675794822</c:v>
                      </c:pt>
                      <c:pt idx="88">
                        <c:v>116.90451122527833</c:v>
                      </c:pt>
                      <c:pt idx="89">
                        <c:v>117.75632694771868</c:v>
                      </c:pt>
                      <c:pt idx="90">
                        <c:v>118.68648550124738</c:v>
                      </c:pt>
                      <c:pt idx="91">
                        <c:v>119.71005379334629</c:v>
                      </c:pt>
                      <c:pt idx="92">
                        <c:v>120.84681681146876</c:v>
                      </c:pt>
                      <c:pt idx="93">
                        <c:v>122.12345476846372</c:v>
                      </c:pt>
                      <c:pt idx="94">
                        <c:v>123.57713076356129</c:v>
                      </c:pt>
                      <c:pt idx="95">
                        <c:v>125.26174345451926</c:v>
                      </c:pt>
                      <c:pt idx="96">
                        <c:v>127.25962324456084</c:v>
                      </c:pt>
                      <c:pt idx="97">
                        <c:v>129.705531199208</c:v>
                      </c:pt>
                      <c:pt idx="98">
                        <c:v>132.84256543810494</c:v>
                      </c:pt>
                      <c:pt idx="99">
                        <c:v>137.17925393295002</c:v>
                      </c:pt>
                      <c:pt idx="100">
                        <c:v>144.09472218192386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A2C-4320-B2E0-E62D01DDE8B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Fir G30 85L</c:v>
                </c:tx>
                <c:spPr>
                  <a:ln w="254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23928.635238265408</c:v>
                      </c:pt>
                      <c:pt idx="1">
                        <c:v>23693.065925184783</c:v>
                      </c:pt>
                      <c:pt idx="2">
                        <c:v>23457.496612104103</c:v>
                      </c:pt>
                      <c:pt idx="3">
                        <c:v>23221.927299023453</c:v>
                      </c:pt>
                      <c:pt idx="4">
                        <c:v>22986.35798594277</c:v>
                      </c:pt>
                      <c:pt idx="5">
                        <c:v>22750.788672862094</c:v>
                      </c:pt>
                      <c:pt idx="6">
                        <c:v>22515.219359781422</c:v>
                      </c:pt>
                      <c:pt idx="7">
                        <c:v>22279.650046700754</c:v>
                      </c:pt>
                      <c:pt idx="8">
                        <c:v>22044.080733620063</c:v>
                      </c:pt>
                      <c:pt idx="9">
                        <c:v>21808.511420539424</c:v>
                      </c:pt>
                      <c:pt idx="10">
                        <c:v>21572.942107458723</c:v>
                      </c:pt>
                      <c:pt idx="11">
                        <c:v>21337.372794378094</c:v>
                      </c:pt>
                      <c:pt idx="12">
                        <c:v>21101.803481297382</c:v>
                      </c:pt>
                      <c:pt idx="13">
                        <c:v>20866.23416821675</c:v>
                      </c:pt>
                      <c:pt idx="14">
                        <c:v>20630.6648551361</c:v>
                      </c:pt>
                      <c:pt idx="15">
                        <c:v>20395.095542055413</c:v>
                      </c:pt>
                      <c:pt idx="16">
                        <c:v>20159.526228974719</c:v>
                      </c:pt>
                      <c:pt idx="17">
                        <c:v>19923.956915894047</c:v>
                      </c:pt>
                      <c:pt idx="18">
                        <c:v>19688.3876028134</c:v>
                      </c:pt>
                      <c:pt idx="19">
                        <c:v>19452.818289732753</c:v>
                      </c:pt>
                      <c:pt idx="20">
                        <c:v>19217.248976652048</c:v>
                      </c:pt>
                      <c:pt idx="21">
                        <c:v>18981.679663571394</c:v>
                      </c:pt>
                      <c:pt idx="22">
                        <c:v>18746.110350490737</c:v>
                      </c:pt>
                      <c:pt idx="23">
                        <c:v>18510.541037410054</c:v>
                      </c:pt>
                      <c:pt idx="24">
                        <c:v>18274.971724329374</c:v>
                      </c:pt>
                      <c:pt idx="25">
                        <c:v>18039.402411248688</c:v>
                      </c:pt>
                      <c:pt idx="26">
                        <c:v>17803.833098168048</c:v>
                      </c:pt>
                      <c:pt idx="27">
                        <c:v>17568.26378508738</c:v>
                      </c:pt>
                      <c:pt idx="28">
                        <c:v>17332.694472006689</c:v>
                      </c:pt>
                      <c:pt idx="29">
                        <c:v>17097.125158926043</c:v>
                      </c:pt>
                      <c:pt idx="30">
                        <c:v>16861.555845845374</c:v>
                      </c:pt>
                      <c:pt idx="31">
                        <c:v>16625.98653276468</c:v>
                      </c:pt>
                      <c:pt idx="32">
                        <c:v>16390.41721968403</c:v>
                      </c:pt>
                      <c:pt idx="33">
                        <c:v>16154.847906603394</c:v>
                      </c:pt>
                      <c:pt idx="34">
                        <c:v>15919.278593522678</c:v>
                      </c:pt>
                      <c:pt idx="35">
                        <c:v>15683.709280442014</c:v>
                      </c:pt>
                      <c:pt idx="36">
                        <c:v>15448.139967361372</c:v>
                      </c:pt>
                      <c:pt idx="37">
                        <c:v>15212.570654280709</c:v>
                      </c:pt>
                      <c:pt idx="38">
                        <c:v>14977.001341200026</c:v>
                      </c:pt>
                      <c:pt idx="39">
                        <c:v>14741.432028119356</c:v>
                      </c:pt>
                      <c:pt idx="40">
                        <c:v>14505.862715038682</c:v>
                      </c:pt>
                      <c:pt idx="41">
                        <c:v>14270.293401958019</c:v>
                      </c:pt>
                      <c:pt idx="42">
                        <c:v>14034.724088877365</c:v>
                      </c:pt>
                      <c:pt idx="43">
                        <c:v>13799.154775796691</c:v>
                      </c:pt>
                      <c:pt idx="44">
                        <c:v>13563.585462716017</c:v>
                      </c:pt>
                      <c:pt idx="45">
                        <c:v>13328.016149635347</c:v>
                      </c:pt>
                      <c:pt idx="46">
                        <c:v>13092.446836554667</c:v>
                      </c:pt>
                      <c:pt idx="47">
                        <c:v>12856.877523474001</c:v>
                      </c:pt>
                      <c:pt idx="48">
                        <c:v>12621.308210393358</c:v>
                      </c:pt>
                      <c:pt idx="49">
                        <c:v>12385.738897312665</c:v>
                      </c:pt>
                      <c:pt idx="50">
                        <c:v>12150.169584232019</c:v>
                      </c:pt>
                      <c:pt idx="51">
                        <c:v>11914.600271151332</c:v>
                      </c:pt>
                      <c:pt idx="52">
                        <c:v>11679.030958070676</c:v>
                      </c:pt>
                      <c:pt idx="53">
                        <c:v>11443.461644989984</c:v>
                      </c:pt>
                      <c:pt idx="54">
                        <c:v>11207.89233190933</c:v>
                      </c:pt>
                      <c:pt idx="55">
                        <c:v>10972.323018828656</c:v>
                      </c:pt>
                      <c:pt idx="56">
                        <c:v>10736.753705747984</c:v>
                      </c:pt>
                      <c:pt idx="57">
                        <c:v>10501.184392667319</c:v>
                      </c:pt>
                      <c:pt idx="58">
                        <c:v>10265.615079586654</c:v>
                      </c:pt>
                      <c:pt idx="59">
                        <c:v>10030.045766505989</c:v>
                      </c:pt>
                      <c:pt idx="60">
                        <c:v>9794.4764534253045</c:v>
                      </c:pt>
                      <c:pt idx="61">
                        <c:v>9558.9071403446469</c:v>
                      </c:pt>
                      <c:pt idx="62">
                        <c:v>9323.3378272639766</c:v>
                      </c:pt>
                      <c:pt idx="63">
                        <c:v>9087.7685141833081</c:v>
                      </c:pt>
                      <c:pt idx="64">
                        <c:v>8852.1992011026359</c:v>
                      </c:pt>
                      <c:pt idx="65">
                        <c:v>8616.6298880219692</c:v>
                      </c:pt>
                      <c:pt idx="66">
                        <c:v>8381.0605749413116</c:v>
                      </c:pt>
                      <c:pt idx="67">
                        <c:v>8145.4912618606386</c:v>
                      </c:pt>
                      <c:pt idx="68">
                        <c:v>7909.9219487799719</c:v>
                      </c:pt>
                      <c:pt idx="69">
                        <c:v>7674.3526356992952</c:v>
                      </c:pt>
                      <c:pt idx="70">
                        <c:v>7438.7833226186294</c:v>
                      </c:pt>
                      <c:pt idx="71">
                        <c:v>7203.2140095379655</c:v>
                      </c:pt>
                      <c:pt idx="72">
                        <c:v>6967.644696457297</c:v>
                      </c:pt>
                      <c:pt idx="73">
                        <c:v>6732.0753833766266</c:v>
                      </c:pt>
                      <c:pt idx="74">
                        <c:v>6496.5060702959609</c:v>
                      </c:pt>
                      <c:pt idx="75">
                        <c:v>6260.9367572152951</c:v>
                      </c:pt>
                      <c:pt idx="76">
                        <c:v>6025.3674441346184</c:v>
                      </c:pt>
                      <c:pt idx="77">
                        <c:v>5789.7981310539508</c:v>
                      </c:pt>
                      <c:pt idx="78">
                        <c:v>5554.2288179732832</c:v>
                      </c:pt>
                      <c:pt idx="79">
                        <c:v>5318.6595048926183</c:v>
                      </c:pt>
                      <c:pt idx="80">
                        <c:v>5083.0901918119507</c:v>
                      </c:pt>
                      <c:pt idx="81">
                        <c:v>4847.5208787312758</c:v>
                      </c:pt>
                      <c:pt idx="82">
                        <c:v>4611.9515656506037</c:v>
                      </c:pt>
                      <c:pt idx="83">
                        <c:v>4376.382252569937</c:v>
                      </c:pt>
                      <c:pt idx="84">
                        <c:v>4140.8129394892721</c:v>
                      </c:pt>
                      <c:pt idx="85">
                        <c:v>3905.2436264086027</c:v>
                      </c:pt>
                      <c:pt idx="86">
                        <c:v>3669.6743133279315</c:v>
                      </c:pt>
                      <c:pt idx="87">
                        <c:v>3434.1050002472684</c:v>
                      </c:pt>
                      <c:pt idx="88">
                        <c:v>3198.5356871665931</c:v>
                      </c:pt>
                      <c:pt idx="89">
                        <c:v>2962.9663740859287</c:v>
                      </c:pt>
                      <c:pt idx="90">
                        <c:v>2727.397061005257</c:v>
                      </c:pt>
                      <c:pt idx="91">
                        <c:v>2491.827747924594</c:v>
                      </c:pt>
                      <c:pt idx="92">
                        <c:v>2256.258434843925</c:v>
                      </c:pt>
                      <c:pt idx="93">
                        <c:v>2020.6891217632553</c:v>
                      </c:pt>
                      <c:pt idx="94">
                        <c:v>1785.1198086825843</c:v>
                      </c:pt>
                      <c:pt idx="95">
                        <c:v>1549.5504956019188</c:v>
                      </c:pt>
                      <c:pt idx="96">
                        <c:v>1313.98118252125</c:v>
                      </c:pt>
                      <c:pt idx="97">
                        <c:v>1078.4118694405811</c:v>
                      </c:pt>
                      <c:pt idx="98">
                        <c:v>842.84255635991258</c:v>
                      </c:pt>
                      <c:pt idx="99">
                        <c:v>607.27324327924021</c:v>
                      </c:pt>
                      <c:pt idx="100">
                        <c:v>371.70393019857528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101.13008200050113</c:v>
                      </c:pt>
                      <c:pt idx="1">
                        <c:v>101.22788850277664</c:v>
                      </c:pt>
                      <c:pt idx="2">
                        <c:v>101.32676833995794</c:v>
                      </c:pt>
                      <c:pt idx="3">
                        <c:v>101.42674424877059</c:v>
                      </c:pt>
                      <c:pt idx="4">
                        <c:v>101.52783968444082</c:v>
                      </c:pt>
                      <c:pt idx="5">
                        <c:v>101.63007885104058</c:v>
                      </c:pt>
                      <c:pt idx="6">
                        <c:v>101.73348673344327</c:v>
                      </c:pt>
                      <c:pt idx="7">
                        <c:v>101.83808913099359</c:v>
                      </c:pt>
                      <c:pt idx="8">
                        <c:v>101.94391269300361</c:v>
                      </c:pt>
                      <c:pt idx="9">
                        <c:v>102.05098495619251</c:v>
                      </c:pt>
                      <c:pt idx="10">
                        <c:v>102.15933438420198</c:v>
                      </c:pt>
                      <c:pt idx="11">
                        <c:v>102.26899040932364</c:v>
                      </c:pt>
                      <c:pt idx="12">
                        <c:v>102.37998347658933</c:v>
                      </c:pt>
                      <c:pt idx="13">
                        <c:v>102.49234509038681</c:v>
                      </c:pt>
                      <c:pt idx="14">
                        <c:v>102.60610786377448</c:v>
                      </c:pt>
                      <c:pt idx="15">
                        <c:v>102.72130557068465</c:v>
                      </c:pt>
                      <c:pt idx="16">
                        <c:v>102.83797320122117</c:v>
                      </c:pt>
                      <c:pt idx="17">
                        <c:v>102.95614702027194</c:v>
                      </c:pt>
                      <c:pt idx="18">
                        <c:v>103.07586462967743</c:v>
                      </c:pt>
                      <c:pt idx="19">
                        <c:v>103.19716503421627</c:v>
                      </c:pt>
                      <c:pt idx="20">
                        <c:v>103.32008871169282</c:v>
                      </c:pt>
                      <c:pt idx="21">
                        <c:v>103.44467768743264</c:v>
                      </c:pt>
                      <c:pt idx="22">
                        <c:v>103.57097561352506</c:v>
                      </c:pt>
                      <c:pt idx="23">
                        <c:v>103.69902785317656</c:v>
                      </c:pt>
                      <c:pt idx="24">
                        <c:v>103.82888157057653</c:v>
                      </c:pt>
                      <c:pt idx="25">
                        <c:v>103.96058582670928</c:v>
                      </c:pt>
                      <c:pt idx="26">
                        <c:v>104.09419168159215</c:v>
                      </c:pt>
                      <c:pt idx="27">
                        <c:v>104.22975230345948</c:v>
                      </c:pt>
                      <c:pt idx="28">
                        <c:v>104.36732308546603</c:v>
                      </c:pt>
                      <c:pt idx="29">
                        <c:v>104.50696177053771</c:v>
                      </c:pt>
                      <c:pt idx="30">
                        <c:v>104.64872858505875</c:v>
                      </c:pt>
                      <c:pt idx="31">
                        <c:v>104.79268638215456</c:v>
                      </c:pt>
                      <c:pt idx="32">
                        <c:v>104.93890079540526</c:v>
                      </c:pt>
                      <c:pt idx="33">
                        <c:v>105.08744040391279</c:v>
                      </c:pt>
                      <c:pt idx="34">
                        <c:v>105.23837690973744</c:v>
                      </c:pt>
                      <c:pt idx="35">
                        <c:v>105.39178532883014</c:v>
                      </c:pt>
                      <c:pt idx="36">
                        <c:v>105.54774419670794</c:v>
                      </c:pt>
                      <c:pt idx="37">
                        <c:v>105.70633579025325</c:v>
                      </c:pt>
                      <c:pt idx="38">
                        <c:v>105.86764636717473</c:v>
                      </c:pt>
                      <c:pt idx="39">
                        <c:v>106.03176642483595</c:v>
                      </c:pt>
                      <c:pt idx="40">
                        <c:v>106.19879098035982</c:v>
                      </c:pt>
                      <c:pt idx="41">
                        <c:v>106.36881987413111</c:v>
                      </c:pt>
                      <c:pt idx="42">
                        <c:v>106.54195809907631</c:v>
                      </c:pt>
                      <c:pt idx="43">
                        <c:v>106.71831615838329</c:v>
                      </c:pt>
                      <c:pt idx="44">
                        <c:v>106.89801045465057</c:v>
                      </c:pt>
                      <c:pt idx="45">
                        <c:v>107.08116371382536</c:v>
                      </c:pt>
                      <c:pt idx="46">
                        <c:v>107.2679054477191</c:v>
                      </c:pt>
                      <c:pt idx="47">
                        <c:v>107.45837245937487</c:v>
                      </c:pt>
                      <c:pt idx="48">
                        <c:v>107.65270939612405</c:v>
                      </c:pt>
                      <c:pt idx="49">
                        <c:v>107.85106935581692</c:v>
                      </c:pt>
                      <c:pt idx="50">
                        <c:v>108.05361455245998</c:v>
                      </c:pt>
                      <c:pt idx="51">
                        <c:v>108.26051704836053</c:v>
                      </c:pt>
                      <c:pt idx="52">
                        <c:v>108.47195956088643</c:v>
                      </c:pt>
                      <c:pt idx="53">
                        <c:v>108.68813635312181</c:v>
                      </c:pt>
                      <c:pt idx="54">
                        <c:v>108.9092542190734</c:v>
                      </c:pt>
                      <c:pt idx="55">
                        <c:v>109.13553357568999</c:v>
                      </c:pt>
                      <c:pt idx="56">
                        <c:v>109.36720967584628</c:v>
                      </c:pt>
                      <c:pt idx="57">
                        <c:v>109.60453395867793</c:v>
                      </c:pt>
                      <c:pt idx="58">
                        <c:v>109.84777555629506</c:v>
                      </c:pt>
                      <c:pt idx="59">
                        <c:v>110.09722297903791</c:v>
                      </c:pt>
                      <c:pt idx="60">
                        <c:v>110.35318600518974</c:v>
                      </c:pt>
                      <c:pt idx="61">
                        <c:v>110.61599780553753</c:v>
                      </c:pt>
                      <c:pt idx="62">
                        <c:v>110.88601733857153</c:v>
                      </c:pt>
                      <c:pt idx="63">
                        <c:v>111.16363205861603</c:v>
                      </c:pt>
                      <c:pt idx="64">
                        <c:v>111.44926098708733</c:v>
                      </c:pt>
                      <c:pt idx="65">
                        <c:v>111.74335820669866</c:v>
                      </c:pt>
                      <c:pt idx="66">
                        <c:v>112.04641685021907</c:v>
                      </c:pt>
                      <c:pt idx="67">
                        <c:v>112.35897366991043</c:v>
                      </c:pt>
                      <c:pt idx="68">
                        <c:v>112.68161429174107</c:v>
                      </c:pt>
                      <c:pt idx="69">
                        <c:v>113.01497928085323</c:v>
                      </c:pt>
                      <c:pt idx="70">
                        <c:v>113.3597711728019</c:v>
                      </c:pt>
                      <c:pt idx="71">
                        <c:v>113.71676266045695</c:v>
                      </c:pt>
                      <c:pt idx="72">
                        <c:v>114.08680617135865</c:v>
                      </c:pt>
                      <c:pt idx="73">
                        <c:v>114.47084512777002</c:v>
                      </c:pt>
                      <c:pt idx="74">
                        <c:v>114.86992725572118</c:v>
                      </c:pt>
                      <c:pt idx="75">
                        <c:v>115.28522040559744</c:v>
                      </c:pt>
                      <c:pt idx="76">
                        <c:v>115.71803147306068</c:v>
                      </c:pt>
                      <c:pt idx="77">
                        <c:v>116.16982917619518</c:v>
                      </c:pt>
                      <c:pt idx="78">
                        <c:v>116.64227166826049</c:v>
                      </c:pt>
                      <c:pt idx="79">
                        <c:v>117.13724026758088</c:v>
                      </c:pt>
                      <c:pt idx="80">
                        <c:v>117.6568809994646</c:v>
                      </c:pt>
                      <c:pt idx="81">
                        <c:v>118.20365621777806</c:v>
                      </c:pt>
                      <c:pt idx="82">
                        <c:v>118.78040937842837</c:v>
                      </c:pt>
                      <c:pt idx="83">
                        <c:v>119.39044718458432</c:v>
                      </c:pt>
                      <c:pt idx="84">
                        <c:v>120.03764498735782</c:v>
                      </c:pt>
                      <c:pt idx="85">
                        <c:v>120.72658378232676</c:v>
                      </c:pt>
                      <c:pt idx="86">
                        <c:v>121.46273084268782</c:v>
                      </c:pt>
                      <c:pt idx="87">
                        <c:v>122.25268172888632</c:v>
                      </c:pt>
                      <c:pt idx="88">
                        <c:v>123.10449041222533</c:v>
                      </c:pt>
                      <c:pt idx="89">
                        <c:v>124.02812885738679</c:v>
                      </c:pt>
                      <c:pt idx="90">
                        <c:v>125.03614188533508</c:v>
                      </c:pt>
                      <c:pt idx="91">
                        <c:v>126.1446056619284</c:v>
                      </c:pt>
                      <c:pt idx="92">
                        <c:v>127.37457518854832</c:v>
                      </c:pt>
                      <c:pt idx="93">
                        <c:v>128.75435270442364</c:v>
                      </c:pt>
                      <c:pt idx="94">
                        <c:v>130.32320432501675</c:v>
                      </c:pt>
                      <c:pt idx="95">
                        <c:v>132.13779115623512</c:v>
                      </c:pt>
                      <c:pt idx="96">
                        <c:v>134.28408857555871</c:v>
                      </c:pt>
                      <c:pt idx="97">
                        <c:v>136.90154205156372</c:v>
                      </c:pt>
                      <c:pt idx="98">
                        <c:v>140.2383612285152</c:v>
                      </c:pt>
                      <c:pt idx="99">
                        <c:v>144.80273463377193</c:v>
                      </c:pt>
                      <c:pt idx="100">
                        <c:v>151.91716142811671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A2C-4320-B2E0-E62D01DDE8BA}"/>
                  </c:ext>
                </c:extLst>
              </c15:ser>
            </c15:filteredScatterSeries>
          </c:ext>
        </c:extLst>
      </c:scatterChart>
      <c:valAx>
        <c:axId val="53071734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[s]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At val="1.0000000000000003E-4"/>
        <c:crossBetween val="midCat"/>
      </c:valAx>
      <c:valAx>
        <c:axId val="53071636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velocity [ms</a:t>
                </a:r>
                <a:r>
                  <a:rPr lang="en-US" baseline="30000"/>
                  <a:t>-1</a:t>
                </a:r>
                <a:r>
                  <a:rPr lang="en-US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aseline="0"/>
      </a:pPr>
      <a:endParaRPr lang="da-DK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G27 60L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 Vestas G27 60L'!$U$7:$U$49</c:f>
              <c:numCache>
                <c:formatCode>General</c:formatCode>
                <c:ptCount val="43"/>
                <c:pt idx="0">
                  <c:v>1499.7475933724986</c:v>
                </c:pt>
                <c:pt idx="1">
                  <c:v>1295.9964281346231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 formatCode="0.0">
                  <c:v>40</c:v>
                </c:pt>
                <c:pt idx="12" formatCode="0.0">
                  <c:v>50</c:v>
                </c:pt>
                <c:pt idx="13" formatCode="0.0">
                  <c:v>60</c:v>
                </c:pt>
                <c:pt idx="14" formatCode="0.0">
                  <c:v>70</c:v>
                </c:pt>
                <c:pt idx="15" formatCode="0.0">
                  <c:v>80</c:v>
                </c:pt>
                <c:pt idx="16" formatCode="0.0">
                  <c:v>90</c:v>
                </c:pt>
                <c:pt idx="17">
                  <c:v>110</c:v>
                </c:pt>
                <c:pt idx="18">
                  <c:v>120</c:v>
                </c:pt>
                <c:pt idx="19">
                  <c:v>50</c:v>
                </c:pt>
                <c:pt idx="20">
                  <c:v>60</c:v>
                </c:pt>
                <c:pt idx="21">
                  <c:v>70</c:v>
                </c:pt>
                <c:pt idx="22">
                  <c:v>80</c:v>
                </c:pt>
                <c:pt idx="23">
                  <c:v>90</c:v>
                </c:pt>
                <c:pt idx="24">
                  <c:v>100</c:v>
                </c:pt>
                <c:pt idx="25">
                  <c:v>195</c:v>
                </c:pt>
                <c:pt idx="26">
                  <c:v>225</c:v>
                </c:pt>
                <c:pt idx="27">
                  <c:v>240</c:v>
                </c:pt>
                <c:pt idx="28">
                  <c:v>345</c:v>
                </c:pt>
                <c:pt idx="29">
                  <c:v>165</c:v>
                </c:pt>
                <c:pt idx="30">
                  <c:v>180</c:v>
                </c:pt>
                <c:pt idx="31">
                  <c:v>195</c:v>
                </c:pt>
                <c:pt idx="32">
                  <c:v>210</c:v>
                </c:pt>
                <c:pt idx="33">
                  <c:v>225</c:v>
                </c:pt>
                <c:pt idx="34">
                  <c:v>300</c:v>
                </c:pt>
                <c:pt idx="35">
                  <c:v>345</c:v>
                </c:pt>
                <c:pt idx="36">
                  <c:v>150</c:v>
                </c:pt>
                <c:pt idx="37">
                  <c:v>165</c:v>
                </c:pt>
                <c:pt idx="38">
                  <c:v>180</c:v>
                </c:pt>
                <c:pt idx="39">
                  <c:v>195</c:v>
                </c:pt>
                <c:pt idx="40">
                  <c:v>210</c:v>
                </c:pt>
                <c:pt idx="41">
                  <c:v>255</c:v>
                </c:pt>
                <c:pt idx="42">
                  <c:v>345</c:v>
                </c:pt>
              </c:numCache>
            </c:numRef>
          </c:xVal>
          <c:yVal>
            <c:numRef>
              <c:f>'New Vestas G27 60L'!$T$7:$T$49</c:f>
              <c:numCache>
                <c:formatCode>0.0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03-4135-B77E-A5DD7E262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550576"/>
        <c:axId val="765548280"/>
      </c:scatterChart>
      <c:valAx>
        <c:axId val="76555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5548280"/>
        <c:crosses val="autoZero"/>
        <c:crossBetween val="midCat"/>
      </c:valAx>
      <c:valAx>
        <c:axId val="7655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555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0739232"/>
        <c:axId val="1000739560"/>
      </c:scatterChart>
      <c:valAx>
        <c:axId val="100073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0739560"/>
        <c:crosses val="autoZero"/>
        <c:crossBetween val="midCat"/>
      </c:valAx>
      <c:valAx>
        <c:axId val="10007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07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000739232"/>
        <c:axId val="1000739560"/>
      </c:scatterChart>
      <c:valAx>
        <c:axId val="100073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0739560"/>
        <c:crosses val="autoZero"/>
        <c:crossBetween val="midCat"/>
      </c:valAx>
      <c:valAx>
        <c:axId val="100073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0073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0.76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'G27 105L (impacts;velo)'!$A$2:$A$52</c:f>
              <c:numCache>
                <c:formatCode>0.00E+00</c:formatCode>
                <c:ptCount val="51"/>
                <c:pt idx="0">
                  <c:v>60977.214391678397</c:v>
                </c:pt>
                <c:pt idx="1">
                  <c:v>67074.935830846225</c:v>
                </c:pt>
                <c:pt idx="2">
                  <c:v>67074.935830846225</c:v>
                </c:pt>
                <c:pt idx="3">
                  <c:v>76221.517989597996</c:v>
                </c:pt>
                <c:pt idx="4">
                  <c:v>79270.37870918191</c:v>
                </c:pt>
                <c:pt idx="5">
                  <c:v>54879.492952510554</c:v>
                </c:pt>
                <c:pt idx="6">
                  <c:v>57928.353672094476</c:v>
                </c:pt>
                <c:pt idx="7">
                  <c:v>76221.517989597996</c:v>
                </c:pt>
                <c:pt idx="8">
                  <c:v>7591.6631917639588</c:v>
                </c:pt>
                <c:pt idx="9">
                  <c:v>9489.578989704949</c:v>
                </c:pt>
                <c:pt idx="10">
                  <c:v>13285.410585586927</c:v>
                </c:pt>
                <c:pt idx="11">
                  <c:v>18979.157979409898</c:v>
                </c:pt>
                <c:pt idx="12">
                  <c:v>20877.073777350884</c:v>
                </c:pt>
                <c:pt idx="13">
                  <c:v>30366.652767055835</c:v>
                </c:pt>
                <c:pt idx="14">
                  <c:v>34162.484362937816</c:v>
                </c:pt>
                <c:pt idx="15">
                  <c:v>36060.400160878802</c:v>
                </c:pt>
                <c:pt idx="16">
                  <c:v>37958.315958819796</c:v>
                </c:pt>
                <c:pt idx="17">
                  <c:v>5693.7473938229687</c:v>
                </c:pt>
                <c:pt idx="18">
                  <c:v>7591.6631917639588</c:v>
                </c:pt>
                <c:pt idx="19">
                  <c:v>9489.578989704949</c:v>
                </c:pt>
                <c:pt idx="20">
                  <c:v>18979.157979409898</c:v>
                </c:pt>
                <c:pt idx="21">
                  <c:v>20877.073777350884</c:v>
                </c:pt>
                <c:pt idx="22">
                  <c:v>22774.989575291875</c:v>
                </c:pt>
                <c:pt idx="23">
                  <c:v>28468.736969114845</c:v>
                </c:pt>
                <c:pt idx="24">
                  <c:v>37958.315958819796</c:v>
                </c:pt>
                <c:pt idx="25">
                  <c:v>7591.6631917639588</c:v>
                </c:pt>
                <c:pt idx="26">
                  <c:v>11387.494787645937</c:v>
                </c:pt>
                <c:pt idx="27">
                  <c:v>13285.410585586927</c:v>
                </c:pt>
                <c:pt idx="28">
                  <c:v>18979.157979409898</c:v>
                </c:pt>
                <c:pt idx="29">
                  <c:v>28468.736969114845</c:v>
                </c:pt>
                <c:pt idx="30">
                  <c:v>36060.400160878802</c:v>
                </c:pt>
                <c:pt idx="31">
                  <c:v>1136.65338701988</c:v>
                </c:pt>
                <c:pt idx="32">
                  <c:v>2273.3067740397601</c:v>
                </c:pt>
                <c:pt idx="33">
                  <c:v>3409.9601610596401</c:v>
                </c:pt>
                <c:pt idx="34">
                  <c:v>4546.6135480795201</c:v>
                </c:pt>
                <c:pt idx="35">
                  <c:v>5683.2669350994001</c:v>
                </c:pt>
                <c:pt idx="36">
                  <c:v>6819.9203221192802</c:v>
                </c:pt>
                <c:pt idx="37">
                  <c:v>7956.5737091391593</c:v>
                </c:pt>
                <c:pt idx="38">
                  <c:v>10229.880483178918</c:v>
                </c:pt>
                <c:pt idx="39">
                  <c:v>1136.65338701988</c:v>
                </c:pt>
                <c:pt idx="40">
                  <c:v>2273.3067740397601</c:v>
                </c:pt>
                <c:pt idx="41">
                  <c:v>3409.9601610596401</c:v>
                </c:pt>
                <c:pt idx="42">
                  <c:v>4546.6135480795201</c:v>
                </c:pt>
              </c:numCache>
            </c:numRef>
          </c:xVal>
          <c:yVal>
            <c:numRef>
              <c:f>'G27 105L (impacts;velo)'!$B$2:$B$52</c:f>
              <c:numCache>
                <c:formatCode>#,##0.000</c:formatCode>
                <c:ptCount val="51"/>
                <c:pt idx="0">
                  <c:v>96.398686048416309</c:v>
                </c:pt>
                <c:pt idx="1">
                  <c:v>93.377574558440898</c:v>
                </c:pt>
                <c:pt idx="2">
                  <c:v>98.202523299837239</c:v>
                </c:pt>
                <c:pt idx="3">
                  <c:v>96.892645099435484</c:v>
                </c:pt>
                <c:pt idx="4">
                  <c:v>91.075244856474768</c:v>
                </c:pt>
                <c:pt idx="5">
                  <c:v>98.226747141076572</c:v>
                </c:pt>
                <c:pt idx="6">
                  <c:v>96.129287571603214</c:v>
                </c:pt>
                <c:pt idx="7">
                  <c:v>95.109421909382206</c:v>
                </c:pt>
                <c:pt idx="8">
                  <c:v>119.13563169228982</c:v>
                </c:pt>
                <c:pt idx="9">
                  <c:v>114.99363409754525</c:v>
                </c:pt>
                <c:pt idx="10">
                  <c:v>113.98806242714483</c:v>
                </c:pt>
                <c:pt idx="11">
                  <c:v>111.52201761640093</c:v>
                </c:pt>
                <c:pt idx="12">
                  <c:v>109.94183356291457</c:v>
                </c:pt>
                <c:pt idx="13">
                  <c:v>109.0080884403999</c:v>
                </c:pt>
                <c:pt idx="14">
                  <c:v>108.07434331788519</c:v>
                </c:pt>
                <c:pt idx="15">
                  <c:v>105.75195160291281</c:v>
                </c:pt>
                <c:pt idx="16">
                  <c:v>105.56041414188415</c:v>
                </c:pt>
                <c:pt idx="17">
                  <c:v>126.17252703498713</c:v>
                </c:pt>
                <c:pt idx="18">
                  <c:v>122.38570023480405</c:v>
                </c:pt>
                <c:pt idx="19">
                  <c:v>116.53768922634551</c:v>
                </c:pt>
                <c:pt idx="20">
                  <c:v>114.28476694963702</c:v>
                </c:pt>
                <c:pt idx="21">
                  <c:v>111.64836854649269</c:v>
                </c:pt>
                <c:pt idx="22">
                  <c:v>108.77229755650337</c:v>
                </c:pt>
                <c:pt idx="23">
                  <c:v>107.07062222328031</c:v>
                </c:pt>
                <c:pt idx="24">
                  <c:v>106.04003012696514</c:v>
                </c:pt>
                <c:pt idx="25">
                  <c:v>122.25432118368342</c:v>
                </c:pt>
                <c:pt idx="26">
                  <c:v>120.29311410924292</c:v>
                </c:pt>
                <c:pt idx="27">
                  <c:v>116.89687746813868</c:v>
                </c:pt>
                <c:pt idx="28">
                  <c:v>111.82643966592674</c:v>
                </c:pt>
                <c:pt idx="29">
                  <c:v>111.41984795537198</c:v>
                </c:pt>
                <c:pt idx="30">
                  <c:v>110.00873554815261</c:v>
                </c:pt>
                <c:pt idx="31">
                  <c:v>140.09555954729694</c:v>
                </c:pt>
                <c:pt idx="32">
                  <c:v>125.70535893441595</c:v>
                </c:pt>
                <c:pt idx="33">
                  <c:v>123.2687711812389</c:v>
                </c:pt>
                <c:pt idx="34">
                  <c:v>121.06150933424321</c:v>
                </c:pt>
                <c:pt idx="35">
                  <c:v>120.63152326015314</c:v>
                </c:pt>
                <c:pt idx="36">
                  <c:v>120.05820849469971</c:v>
                </c:pt>
                <c:pt idx="37">
                  <c:v>118.13760403043072</c:v>
                </c:pt>
                <c:pt idx="38">
                  <c:v>116.90497728470585</c:v>
                </c:pt>
                <c:pt idx="39">
                  <c:v>151.18427342926574</c:v>
                </c:pt>
                <c:pt idx="40">
                  <c:v>140.46954198969809</c:v>
                </c:pt>
                <c:pt idx="41">
                  <c:v>133.86260302177348</c:v>
                </c:pt>
                <c:pt idx="42">
                  <c:v>126.30771195903883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C2-46F4-B111-EC2F8327850F}"/>
            </c:ext>
          </c:extLst>
        </c:ser>
        <c:ser>
          <c:idx val="5"/>
          <c:order val="1"/>
          <c:tx>
            <c:v>Fit 0.76 mm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'G27 105L (impacts;velo)'!$N$2:$N$102</c:f>
              <c:numCache>
                <c:formatCode>0.000</c:formatCode>
                <c:ptCount val="101"/>
                <c:pt idx="0">
                  <c:v>79270.378709181925</c:v>
                </c:pt>
                <c:pt idx="1">
                  <c:v>78489.041455960294</c:v>
                </c:pt>
                <c:pt idx="2">
                  <c:v>77707.704202738794</c:v>
                </c:pt>
                <c:pt idx="3">
                  <c:v>76926.366949517076</c:v>
                </c:pt>
                <c:pt idx="4">
                  <c:v>76145.029696295489</c:v>
                </c:pt>
                <c:pt idx="5">
                  <c:v>75363.692443073902</c:v>
                </c:pt>
                <c:pt idx="6">
                  <c:v>74582.355189852184</c:v>
                </c:pt>
                <c:pt idx="7">
                  <c:v>73801.017936630684</c:v>
                </c:pt>
                <c:pt idx="8">
                  <c:v>73019.680683409009</c:v>
                </c:pt>
                <c:pt idx="9">
                  <c:v>72238.343430187349</c:v>
                </c:pt>
                <c:pt idx="10">
                  <c:v>71457.006176965777</c:v>
                </c:pt>
                <c:pt idx="11">
                  <c:v>70675.668923744146</c:v>
                </c:pt>
                <c:pt idx="12">
                  <c:v>69894.331670522515</c:v>
                </c:pt>
                <c:pt idx="13">
                  <c:v>69112.994417300928</c:v>
                </c:pt>
                <c:pt idx="14">
                  <c:v>68331.65716407921</c:v>
                </c:pt>
                <c:pt idx="15">
                  <c:v>67550.31991085771</c:v>
                </c:pt>
                <c:pt idx="16">
                  <c:v>66768.982657636108</c:v>
                </c:pt>
                <c:pt idx="17">
                  <c:v>65987.645404414448</c:v>
                </c:pt>
                <c:pt idx="18">
                  <c:v>65206.308151192832</c:v>
                </c:pt>
                <c:pt idx="19">
                  <c:v>64424.970897971209</c:v>
                </c:pt>
                <c:pt idx="20">
                  <c:v>63643.633644749643</c:v>
                </c:pt>
                <c:pt idx="21">
                  <c:v>62862.296391527881</c:v>
                </c:pt>
                <c:pt idx="22">
                  <c:v>62080.959138306425</c:v>
                </c:pt>
                <c:pt idx="23">
                  <c:v>61299.621885084773</c:v>
                </c:pt>
                <c:pt idx="24">
                  <c:v>60518.284631863025</c:v>
                </c:pt>
                <c:pt idx="25">
                  <c:v>59736.947378641482</c:v>
                </c:pt>
                <c:pt idx="26">
                  <c:v>58955.610125419822</c:v>
                </c:pt>
                <c:pt idx="27">
                  <c:v>58174.272872198148</c:v>
                </c:pt>
                <c:pt idx="28">
                  <c:v>57392.935618976691</c:v>
                </c:pt>
                <c:pt idx="29">
                  <c:v>56611.598365755024</c:v>
                </c:pt>
                <c:pt idx="30">
                  <c:v>55830.261112533357</c:v>
                </c:pt>
                <c:pt idx="31">
                  <c:v>55048.923859311733</c:v>
                </c:pt>
                <c:pt idx="32">
                  <c:v>54267.586606090117</c:v>
                </c:pt>
                <c:pt idx="33">
                  <c:v>53486.249352868486</c:v>
                </c:pt>
                <c:pt idx="34">
                  <c:v>52704.912099646855</c:v>
                </c:pt>
                <c:pt idx="35">
                  <c:v>51923.574846425247</c:v>
                </c:pt>
                <c:pt idx="36">
                  <c:v>51142.237593203652</c:v>
                </c:pt>
                <c:pt idx="37">
                  <c:v>50360.900339982087</c:v>
                </c:pt>
                <c:pt idx="38">
                  <c:v>49579.563086760369</c:v>
                </c:pt>
                <c:pt idx="39">
                  <c:v>48798.225833538832</c:v>
                </c:pt>
                <c:pt idx="40">
                  <c:v>48016.888580317107</c:v>
                </c:pt>
                <c:pt idx="41">
                  <c:v>47235.551327095469</c:v>
                </c:pt>
                <c:pt idx="42">
                  <c:v>46454.214073873882</c:v>
                </c:pt>
                <c:pt idx="43">
                  <c:v>45672.87682065228</c:v>
                </c:pt>
                <c:pt idx="44">
                  <c:v>44891.539567430664</c:v>
                </c:pt>
                <c:pt idx="45">
                  <c:v>44110.202314209026</c:v>
                </c:pt>
                <c:pt idx="46">
                  <c:v>43328.865060987438</c:v>
                </c:pt>
                <c:pt idx="47">
                  <c:v>42547.527807765808</c:v>
                </c:pt>
                <c:pt idx="48">
                  <c:v>41766.190554544213</c:v>
                </c:pt>
                <c:pt idx="49">
                  <c:v>40984.853301322597</c:v>
                </c:pt>
                <c:pt idx="50">
                  <c:v>40203.516048100952</c:v>
                </c:pt>
                <c:pt idx="51">
                  <c:v>39422.178794879328</c:v>
                </c:pt>
                <c:pt idx="52">
                  <c:v>38640.841541657661</c:v>
                </c:pt>
                <c:pt idx="53">
                  <c:v>37859.504288436052</c:v>
                </c:pt>
                <c:pt idx="54">
                  <c:v>37078.167035214501</c:v>
                </c:pt>
                <c:pt idx="55">
                  <c:v>36296.829781992856</c:v>
                </c:pt>
                <c:pt idx="56">
                  <c:v>35515.492528771189</c:v>
                </c:pt>
                <c:pt idx="57">
                  <c:v>34734.155275549594</c:v>
                </c:pt>
                <c:pt idx="58">
                  <c:v>33952.818022327985</c:v>
                </c:pt>
                <c:pt idx="59">
                  <c:v>33171.480769106311</c:v>
                </c:pt>
                <c:pt idx="60">
                  <c:v>32390.143515884745</c:v>
                </c:pt>
                <c:pt idx="61">
                  <c:v>31608.806262663107</c:v>
                </c:pt>
                <c:pt idx="62">
                  <c:v>30827.469009441487</c:v>
                </c:pt>
                <c:pt idx="63">
                  <c:v>30046.131756219853</c:v>
                </c:pt>
                <c:pt idx="64">
                  <c:v>29264.794502998258</c:v>
                </c:pt>
                <c:pt idx="65">
                  <c:v>28483.457249776628</c:v>
                </c:pt>
                <c:pt idx="66">
                  <c:v>27702.119996555</c:v>
                </c:pt>
                <c:pt idx="67">
                  <c:v>26920.782743333402</c:v>
                </c:pt>
                <c:pt idx="68">
                  <c:v>26139.445490111717</c:v>
                </c:pt>
                <c:pt idx="69">
                  <c:v>25358.108236890144</c:v>
                </c:pt>
                <c:pt idx="70">
                  <c:v>24576.770983668524</c:v>
                </c:pt>
                <c:pt idx="71">
                  <c:v>23795.433730446934</c:v>
                </c:pt>
                <c:pt idx="72">
                  <c:v>23014.096477225241</c:v>
                </c:pt>
                <c:pt idx="73">
                  <c:v>22232.759224003679</c:v>
                </c:pt>
                <c:pt idx="74">
                  <c:v>21451.421970782041</c:v>
                </c:pt>
                <c:pt idx="75">
                  <c:v>20670.084717560425</c:v>
                </c:pt>
                <c:pt idx="76">
                  <c:v>19888.747464338801</c:v>
                </c:pt>
                <c:pt idx="77">
                  <c:v>19107.410211117196</c:v>
                </c:pt>
                <c:pt idx="78">
                  <c:v>18326.072957895525</c:v>
                </c:pt>
                <c:pt idx="79">
                  <c:v>17544.73570467392</c:v>
                </c:pt>
                <c:pt idx="80">
                  <c:v>16763.398451452318</c:v>
                </c:pt>
                <c:pt idx="81">
                  <c:v>15982.061198230678</c:v>
                </c:pt>
                <c:pt idx="82">
                  <c:v>15200.723945009056</c:v>
                </c:pt>
                <c:pt idx="83">
                  <c:v>14419.386691787418</c:v>
                </c:pt>
                <c:pt idx="84">
                  <c:v>13638.04943856584</c:v>
                </c:pt>
                <c:pt idx="85">
                  <c:v>12856.712185344195</c:v>
                </c:pt>
                <c:pt idx="86">
                  <c:v>12075.374932122573</c:v>
                </c:pt>
                <c:pt idx="87">
                  <c:v>11294.037678900952</c:v>
                </c:pt>
                <c:pt idx="88">
                  <c:v>10512.700425679348</c:v>
                </c:pt>
                <c:pt idx="89">
                  <c:v>9731.3631724577081</c:v>
                </c:pt>
                <c:pt idx="90">
                  <c:v>8950.0259192361009</c:v>
                </c:pt>
                <c:pt idx="91">
                  <c:v>8168.6886660144773</c:v>
                </c:pt>
                <c:pt idx="92">
                  <c:v>7387.3514127928529</c:v>
                </c:pt>
                <c:pt idx="93">
                  <c:v>6606.0141595712248</c:v>
                </c:pt>
                <c:pt idx="94">
                  <c:v>5824.6769063496131</c:v>
                </c:pt>
                <c:pt idx="95">
                  <c:v>5043.3396531279886</c:v>
                </c:pt>
                <c:pt idx="96">
                  <c:v>4262.0023999063642</c:v>
                </c:pt>
                <c:pt idx="97">
                  <c:v>3480.6651466847434</c:v>
                </c:pt>
                <c:pt idx="98">
                  <c:v>2699.3278934631276</c:v>
                </c:pt>
                <c:pt idx="99">
                  <c:v>1917.9906402414949</c:v>
                </c:pt>
                <c:pt idx="100">
                  <c:v>1136.6533870198773</c:v>
                </c:pt>
              </c:numCache>
            </c:numRef>
          </c:xVal>
          <c:yVal>
            <c:numRef>
              <c:f>'G27 105L (impacts;velo)'!$O$2:$O$102</c:f>
              <c:numCache>
                <c:formatCode>0</c:formatCode>
                <c:ptCount val="101"/>
                <c:pt idx="0">
                  <c:v>96.683356682692278</c:v>
                </c:pt>
                <c:pt idx="1">
                  <c:v>96.773426862331959</c:v>
                </c:pt>
                <c:pt idx="2">
                  <c:v>96.864483339484352</c:v>
                </c:pt>
                <c:pt idx="3">
                  <c:v>96.956546995835353</c:v>
                </c:pt>
                <c:pt idx="4">
                  <c:v>97.049639372978632</c:v>
                </c:pt>
                <c:pt idx="5">
                  <c:v>97.143782700295219</c:v>
                </c:pt>
                <c:pt idx="6">
                  <c:v>97.238999924315095</c:v>
                </c:pt>
                <c:pt idx="7">
                  <c:v>97.335314739652759</c:v>
                </c:pt>
                <c:pt idx="8">
                  <c:v>97.432751621623055</c:v>
                </c:pt>
                <c:pt idx="9">
                  <c:v>97.531335860643836</c:v>
                </c:pt>
                <c:pt idx="10">
                  <c:v>97.631093598546698</c:v>
                </c:pt>
                <c:pt idx="11">
                  <c:v>97.732051866921182</c:v>
                </c:pt>
                <c:pt idx="12">
                  <c:v>97.834238627633042</c:v>
                </c:pt>
                <c:pt idx="13">
                  <c:v>97.937682815662853</c:v>
                </c:pt>
                <c:pt idx="14">
                  <c:v>98.042414384428298</c:v>
                </c:pt>
                <c:pt idx="15">
                  <c:v>98.148464353762037</c:v>
                </c:pt>
                <c:pt idx="16">
                  <c:v>98.255864860735372</c:v>
                </c:pt>
                <c:pt idx="17">
                  <c:v>98.36464921353128</c:v>
                </c:pt>
                <c:pt idx="18">
                  <c:v>98.474851948587698</c:v>
                </c:pt>
                <c:pt idx="19">
                  <c:v>98.58650889125262</c:v>
                </c:pt>
                <c:pt idx="20">
                  <c:v>98.699657220211122</c:v>
                </c:pt>
                <c:pt idx="21">
                  <c:v>98.814335535969761</c:v>
                </c:pt>
                <c:pt idx="22">
                  <c:v>98.930583933706401</c:v>
                </c:pt>
                <c:pt idx="23">
                  <c:v>99.048444080823614</c:v>
                </c:pt>
                <c:pt idx="24">
                  <c:v>99.167959299573084</c:v>
                </c:pt>
                <c:pt idx="25">
                  <c:v>99.289174655153758</c:v>
                </c:pt>
                <c:pt idx="26">
                  <c:v>99.412137049721167</c:v>
                </c:pt>
                <c:pt idx="27">
                  <c:v>99.536895322791793</c:v>
                </c:pt>
                <c:pt idx="28">
                  <c:v>99.663500358567177</c:v>
                </c:pt>
                <c:pt idx="29">
                  <c:v>99.7920052007576</c:v>
                </c:pt>
                <c:pt idx="30">
                  <c:v>99.92246517554085</c:v>
                </c:pt>
                <c:pt idx="31">
                  <c:v>100.05493802335511</c:v>
                </c:pt>
                <c:pt idx="32">
                  <c:v>100.1894840402958</c:v>
                </c:pt>
                <c:pt idx="33">
                  <c:v>100.32616622996605</c:v>
                </c:pt>
                <c:pt idx="34">
                  <c:v>100.46505046672027</c:v>
                </c:pt>
                <c:pt idx="35">
                  <c:v>100.60620567133621</c:v>
                </c:pt>
                <c:pt idx="36">
                  <c:v>100.74970400026601</c:v>
                </c:pt>
                <c:pt idx="37">
                  <c:v>100.89562104974243</c:v>
                </c:pt>
                <c:pt idx="38">
                  <c:v>101.04403607615536</c:v>
                </c:pt>
                <c:pt idx="39">
                  <c:v>101.19503223427533</c:v>
                </c:pt>
                <c:pt idx="40">
                  <c:v>101.34869683508096</c:v>
                </c:pt>
                <c:pt idx="41">
                  <c:v>101.50512162515301</c:v>
                </c:pt>
                <c:pt idx="42">
                  <c:v>101.66440308982847</c:v>
                </c:pt>
                <c:pt idx="43">
                  <c:v>101.82664278257195</c:v>
                </c:pt>
                <c:pt idx="44">
                  <c:v>101.99194768332616</c:v>
                </c:pt>
                <c:pt idx="45">
                  <c:v>102.16043058894283</c:v>
                </c:pt>
                <c:pt idx="46">
                  <c:v>102.33221053919409</c:v>
                </c:pt>
                <c:pt idx="47">
                  <c:v>102.50741328230988</c:v>
                </c:pt>
                <c:pt idx="48">
                  <c:v>102.68617178451586</c:v>
                </c:pt>
                <c:pt idx="49">
                  <c:v>102.8686267886351</c:v>
                </c:pt>
                <c:pt idx="50">
                  <c:v>103.0549274275195</c:v>
                </c:pt>
                <c:pt idx="51">
                  <c:v>103.24523189887223</c:v>
                </c:pt>
                <c:pt idx="52">
                  <c:v>103.43970820896112</c:v>
                </c:pt>
                <c:pt idx="53">
                  <c:v>103.63853499380821</c:v>
                </c:pt>
                <c:pt idx="54">
                  <c:v>103.84190242771167</c:v>
                </c:pt>
                <c:pt idx="55">
                  <c:v>104.05001323044962</c:v>
                </c:pt>
                <c:pt idx="56">
                  <c:v>104.26308378626912</c:v>
                </c:pt>
                <c:pt idx="57">
                  <c:v>104.48134538983169</c:v>
                </c:pt>
                <c:pt idx="58">
                  <c:v>104.70504563674058</c:v>
                </c:pt>
                <c:pt idx="59">
                  <c:v>104.93444997919177</c:v>
                </c:pt>
                <c:pt idx="60">
                  <c:v>105.16984347076452</c:v>
                </c:pt>
                <c:pt idx="61">
                  <c:v>105.41153272853722</c:v>
                </c:pt>
                <c:pt idx="62">
                  <c:v>105.65984814572396</c:v>
                </c:pt>
                <c:pt idx="63">
                  <c:v>105.91514639408562</c:v>
                </c:pt>
                <c:pt idx="64">
                  <c:v>106.17781326271087</c:v>
                </c:pt>
                <c:pt idx="65">
                  <c:v>106.44826688873162</c:v>
                </c:pt>
                <c:pt idx="66">
                  <c:v>106.72696144651196</c:v>
                </c:pt>
                <c:pt idx="67">
                  <c:v>107.01439137538108</c:v>
                </c:pt>
                <c:pt idx="68">
                  <c:v>107.31109624274104</c:v>
                </c:pt>
                <c:pt idx="69">
                  <c:v>107.61766636026516</c:v>
                </c:pt>
                <c:pt idx="70">
                  <c:v>107.93474929708493</c:v>
                </c:pt>
                <c:pt idx="71">
                  <c:v>108.26305746691712</c:v>
                </c:pt>
                <c:pt idx="72">
                  <c:v>108.60337700807239</c:v>
                </c:pt>
                <c:pt idx="73">
                  <c:v>108.9565782290579</c:v>
                </c:pt>
                <c:pt idx="74">
                  <c:v>109.32362796185222</c:v>
                </c:pt>
                <c:pt idx="75">
                  <c:v>109.70560425518609</c:v>
                </c:pt>
                <c:pt idx="76">
                  <c:v>110.10371395863929</c:v>
                </c:pt>
                <c:pt idx="77">
                  <c:v>110.51931390537574</c:v>
                </c:pt>
                <c:pt idx="78">
                  <c:v>110.95393661156426</c:v>
                </c:pt>
                <c:pt idx="79">
                  <c:v>111.40932169512</c:v>
                </c:pt>
                <c:pt idx="80">
                  <c:v>111.88745460625944</c:v>
                </c:pt>
                <c:pt idx="81">
                  <c:v>112.3906148033447</c:v>
                </c:pt>
                <c:pt idx="82">
                  <c:v>112.92143626875506</c:v>
                </c:pt>
                <c:pt idx="83">
                  <c:v>113.48298434717152</c:v>
                </c:pt>
                <c:pt idx="84">
                  <c:v>114.07885446879506</c:v>
                </c:pt>
                <c:pt idx="85">
                  <c:v>114.71330065806717</c:v>
                </c:pt>
                <c:pt idx="86">
                  <c:v>115.3914052587447</c:v>
                </c:pt>
                <c:pt idx="87">
                  <c:v>116.11930675794822</c:v>
                </c:pt>
                <c:pt idx="88">
                  <c:v>116.90451122527833</c:v>
                </c:pt>
                <c:pt idx="89">
                  <c:v>117.75632694771868</c:v>
                </c:pt>
                <c:pt idx="90">
                  <c:v>118.68648550124738</c:v>
                </c:pt>
                <c:pt idx="91">
                  <c:v>119.71005379334629</c:v>
                </c:pt>
                <c:pt idx="92">
                  <c:v>120.84681681146876</c:v>
                </c:pt>
                <c:pt idx="93">
                  <c:v>122.12345476846372</c:v>
                </c:pt>
                <c:pt idx="94">
                  <c:v>123.57713076356129</c:v>
                </c:pt>
                <c:pt idx="95">
                  <c:v>125.26174345451926</c:v>
                </c:pt>
                <c:pt idx="96">
                  <c:v>127.25962324456084</c:v>
                </c:pt>
                <c:pt idx="97">
                  <c:v>129.705531199208</c:v>
                </c:pt>
                <c:pt idx="98">
                  <c:v>132.84256543810494</c:v>
                </c:pt>
                <c:pt idx="99">
                  <c:v>137.17925393295002</c:v>
                </c:pt>
                <c:pt idx="100">
                  <c:v>144.09472218192386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C2-46F4-B111-EC2F8327850F}"/>
            </c:ext>
          </c:extLst>
        </c:ser>
        <c:ser>
          <c:idx val="6"/>
          <c:order val="2"/>
          <c:tx>
            <c:v>1.90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'G30 85L (impacts;velo)'!$A$2:$A$42</c:f>
              <c:numCache>
                <c:formatCode>0.00E+00</c:formatCode>
                <c:ptCount val="41"/>
                <c:pt idx="0">
                  <c:v>23928.635238265408</c:v>
                </c:pt>
                <c:pt idx="1">
                  <c:v>3103.2448824625453</c:v>
                </c:pt>
                <c:pt idx="2">
                  <c:v>4965.1918119400734</c:v>
                </c:pt>
                <c:pt idx="3">
                  <c:v>5585.8407884325825</c:v>
                </c:pt>
                <c:pt idx="4">
                  <c:v>7447.7877179101079</c:v>
                </c:pt>
                <c:pt idx="5">
                  <c:v>8068.4366944026187</c:v>
                </c:pt>
                <c:pt idx="6">
                  <c:v>8689.0856708951269</c:v>
                </c:pt>
                <c:pt idx="7">
                  <c:v>11792.330553357673</c:v>
                </c:pt>
                <c:pt idx="8">
                  <c:v>2482.5959059700367</c:v>
                </c:pt>
                <c:pt idx="9">
                  <c:v>3103.2448824625453</c:v>
                </c:pt>
                <c:pt idx="10">
                  <c:v>4965.1918119400734</c:v>
                </c:pt>
                <c:pt idx="11">
                  <c:v>6827.1387414175997</c:v>
                </c:pt>
                <c:pt idx="12">
                  <c:v>7447.7877179101079</c:v>
                </c:pt>
                <c:pt idx="13">
                  <c:v>11792.330553357673</c:v>
                </c:pt>
                <c:pt idx="14">
                  <c:v>2482.5959059700367</c:v>
                </c:pt>
                <c:pt idx="15">
                  <c:v>3103.2448824625453</c:v>
                </c:pt>
                <c:pt idx="16">
                  <c:v>3723.8938589550539</c:v>
                </c:pt>
                <c:pt idx="17">
                  <c:v>4965.1918119400734</c:v>
                </c:pt>
                <c:pt idx="18">
                  <c:v>6206.4897649250906</c:v>
                </c:pt>
                <c:pt idx="19">
                  <c:v>6827.1387414175997</c:v>
                </c:pt>
                <c:pt idx="20">
                  <c:v>7447.7877179101079</c:v>
                </c:pt>
                <c:pt idx="21">
                  <c:v>8068.4366944026187</c:v>
                </c:pt>
                <c:pt idx="22">
                  <c:v>10551.032600372655</c:v>
                </c:pt>
                <c:pt idx="23">
                  <c:v>11792.330553357673</c:v>
                </c:pt>
                <c:pt idx="24">
                  <c:v>743.40786039715169</c:v>
                </c:pt>
                <c:pt idx="25">
                  <c:v>1115.1117905957276</c:v>
                </c:pt>
                <c:pt idx="26">
                  <c:v>1486.8157207943034</c:v>
                </c:pt>
                <c:pt idx="27">
                  <c:v>2230.2235811914552</c:v>
                </c:pt>
                <c:pt idx="28">
                  <c:v>2973.6314415886068</c:v>
                </c:pt>
                <c:pt idx="29">
                  <c:v>743.40786039715169</c:v>
                </c:pt>
                <c:pt idx="30">
                  <c:v>1115.1117905957276</c:v>
                </c:pt>
                <c:pt idx="31">
                  <c:v>1486.8157207943034</c:v>
                </c:pt>
                <c:pt idx="32">
                  <c:v>1858.5196509928794</c:v>
                </c:pt>
                <c:pt idx="33">
                  <c:v>2601.9275113900312</c:v>
                </c:pt>
                <c:pt idx="34">
                  <c:v>2973.6314415886068</c:v>
                </c:pt>
                <c:pt idx="35">
                  <c:v>371.70393019857585</c:v>
                </c:pt>
                <c:pt idx="36">
                  <c:v>743.40786039715169</c:v>
                </c:pt>
                <c:pt idx="37">
                  <c:v>1115.1117905957276</c:v>
                </c:pt>
                <c:pt idx="38">
                  <c:v>1486.8157207943034</c:v>
                </c:pt>
                <c:pt idx="39">
                  <c:v>2230.2235811914552</c:v>
                </c:pt>
                <c:pt idx="40">
                  <c:v>2973.6314415886068</c:v>
                </c:pt>
              </c:numCache>
            </c:numRef>
          </c:xVal>
          <c:yVal>
            <c:numRef>
              <c:f>'G30 85L (impacts;velo)'!$B$2:$B$42</c:f>
              <c:numCache>
                <c:formatCode>#,##0.000</c:formatCode>
                <c:ptCount val="41"/>
                <c:pt idx="0">
                  <c:v>100.92286507311093</c:v>
                </c:pt>
                <c:pt idx="1">
                  <c:v>117.92779020417348</c:v>
                </c:pt>
                <c:pt idx="2">
                  <c:v>117.59224858897701</c:v>
                </c:pt>
                <c:pt idx="3">
                  <c:v>115.98644228767971</c:v>
                </c:pt>
                <c:pt idx="4">
                  <c:v>113.70955275598949</c:v>
                </c:pt>
                <c:pt idx="5">
                  <c:v>110.78554725213468</c:v>
                </c:pt>
                <c:pt idx="6">
                  <c:v>110.45000563693822</c:v>
                </c:pt>
                <c:pt idx="7">
                  <c:v>107.11855674320198</c:v>
                </c:pt>
                <c:pt idx="8">
                  <c:v>123.83285370717226</c:v>
                </c:pt>
                <c:pt idx="9">
                  <c:v>121.48897208098484</c:v>
                </c:pt>
                <c:pt idx="10">
                  <c:v>115.31834494014291</c:v>
                </c:pt>
                <c:pt idx="11">
                  <c:v>111.80252250868433</c:v>
                </c:pt>
                <c:pt idx="12">
                  <c:v>106.66033323073361</c:v>
                </c:pt>
                <c:pt idx="13">
                  <c:v>107.66485392543608</c:v>
                </c:pt>
                <c:pt idx="14">
                  <c:v>126.05358399617073</c:v>
                </c:pt>
                <c:pt idx="15">
                  <c:v>122.3402146342103</c:v>
                </c:pt>
                <c:pt idx="16">
                  <c:v>121.42984020955707</c:v>
                </c:pt>
                <c:pt idx="17">
                  <c:v>120.2080219034444</c:v>
                </c:pt>
                <c:pt idx="18">
                  <c:v>119.65700580491604</c:v>
                </c:pt>
                <c:pt idx="19">
                  <c:v>119.15390415001005</c:v>
                </c:pt>
                <c:pt idx="20">
                  <c:v>117.02171141820115</c:v>
                </c:pt>
                <c:pt idx="21">
                  <c:v>115.46449200568877</c:v>
                </c:pt>
                <c:pt idx="22">
                  <c:v>114.19475925699673</c:v>
                </c:pt>
                <c:pt idx="23">
                  <c:v>113.21251317212499</c:v>
                </c:pt>
                <c:pt idx="24">
                  <c:v>142.93996264007947</c:v>
                </c:pt>
                <c:pt idx="25">
                  <c:v>134.83928095904344</c:v>
                </c:pt>
                <c:pt idx="26">
                  <c:v>129.61118143440314</c:v>
                </c:pt>
                <c:pt idx="27">
                  <c:v>123.86601712161163</c:v>
                </c:pt>
                <c:pt idx="28">
                  <c:v>116.62711008749434</c:v>
                </c:pt>
                <c:pt idx="29">
                  <c:v>146.77930375930265</c:v>
                </c:pt>
                <c:pt idx="30">
                  <c:v>138.46534309984125</c:v>
                </c:pt>
                <c:pt idx="31">
                  <c:v>136.13513267246216</c:v>
                </c:pt>
                <c:pt idx="32">
                  <c:v>127.64856384573423</c:v>
                </c:pt>
                <c:pt idx="33">
                  <c:v>125.692337807626</c:v>
                </c:pt>
                <c:pt idx="34">
                  <c:v>124.16763221579347</c:v>
                </c:pt>
                <c:pt idx="35">
                  <c:v>149.57811851645184</c:v>
                </c:pt>
                <c:pt idx="36">
                  <c:v>146.47767934153356</c:v>
                </c:pt>
                <c:pt idx="37">
                  <c:v>140.53517091794299</c:v>
                </c:pt>
                <c:pt idx="38">
                  <c:v>133.81755271061729</c:v>
                </c:pt>
                <c:pt idx="39">
                  <c:v>130.7171135332004</c:v>
                </c:pt>
                <c:pt idx="40">
                  <c:v>122.36315241384239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C2-46F4-B111-EC2F8327850F}"/>
            </c:ext>
          </c:extLst>
        </c:ser>
        <c:ser>
          <c:idx val="7"/>
          <c:order val="3"/>
          <c:tx>
            <c:v>Fit 1.90 mm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'G30 85L (impacts;velo)'!$N$2:$N$102</c:f>
              <c:numCache>
                <c:formatCode>0.000</c:formatCode>
                <c:ptCount val="101"/>
                <c:pt idx="0">
                  <c:v>23928.635238265408</c:v>
                </c:pt>
                <c:pt idx="1">
                  <c:v>23693.065925184783</c:v>
                </c:pt>
                <c:pt idx="2">
                  <c:v>23457.496612104103</c:v>
                </c:pt>
                <c:pt idx="3">
                  <c:v>23221.927299023453</c:v>
                </c:pt>
                <c:pt idx="4">
                  <c:v>22986.35798594277</c:v>
                </c:pt>
                <c:pt idx="5">
                  <c:v>22750.788672862094</c:v>
                </c:pt>
                <c:pt idx="6">
                  <c:v>22515.219359781422</c:v>
                </c:pt>
                <c:pt idx="7">
                  <c:v>22279.650046700754</c:v>
                </c:pt>
                <c:pt idx="8">
                  <c:v>22044.080733620063</c:v>
                </c:pt>
                <c:pt idx="9">
                  <c:v>21808.511420539424</c:v>
                </c:pt>
                <c:pt idx="10">
                  <c:v>21572.942107458723</c:v>
                </c:pt>
                <c:pt idx="11">
                  <c:v>21337.372794378094</c:v>
                </c:pt>
                <c:pt idx="12">
                  <c:v>21101.803481297382</c:v>
                </c:pt>
                <c:pt idx="13">
                  <c:v>20866.23416821675</c:v>
                </c:pt>
                <c:pt idx="14">
                  <c:v>20630.6648551361</c:v>
                </c:pt>
                <c:pt idx="15">
                  <c:v>20395.095542055413</c:v>
                </c:pt>
                <c:pt idx="16">
                  <c:v>20159.526228974719</c:v>
                </c:pt>
                <c:pt idx="17">
                  <c:v>19923.956915894047</c:v>
                </c:pt>
                <c:pt idx="18">
                  <c:v>19688.3876028134</c:v>
                </c:pt>
                <c:pt idx="19">
                  <c:v>19452.818289732753</c:v>
                </c:pt>
                <c:pt idx="20">
                  <c:v>19217.248976652048</c:v>
                </c:pt>
                <c:pt idx="21">
                  <c:v>18981.679663571394</c:v>
                </c:pt>
                <c:pt idx="22">
                  <c:v>18746.110350490737</c:v>
                </c:pt>
                <c:pt idx="23">
                  <c:v>18510.541037410054</c:v>
                </c:pt>
                <c:pt idx="24">
                  <c:v>18274.971724329374</c:v>
                </c:pt>
                <c:pt idx="25">
                  <c:v>18039.402411248688</c:v>
                </c:pt>
                <c:pt idx="26">
                  <c:v>17803.833098168048</c:v>
                </c:pt>
                <c:pt idx="27">
                  <c:v>17568.26378508738</c:v>
                </c:pt>
                <c:pt idx="28">
                  <c:v>17332.694472006689</c:v>
                </c:pt>
                <c:pt idx="29">
                  <c:v>17097.125158926043</c:v>
                </c:pt>
                <c:pt idx="30">
                  <c:v>16861.555845845374</c:v>
                </c:pt>
                <c:pt idx="31">
                  <c:v>16625.98653276468</c:v>
                </c:pt>
                <c:pt idx="32">
                  <c:v>16390.41721968403</c:v>
                </c:pt>
                <c:pt idx="33">
                  <c:v>16154.847906603394</c:v>
                </c:pt>
                <c:pt idx="34">
                  <c:v>15919.278593522678</c:v>
                </c:pt>
                <c:pt idx="35">
                  <c:v>15683.709280442014</c:v>
                </c:pt>
                <c:pt idx="36">
                  <c:v>15448.139967361372</c:v>
                </c:pt>
                <c:pt idx="37">
                  <c:v>15212.570654280709</c:v>
                </c:pt>
                <c:pt idx="38">
                  <c:v>14977.001341200026</c:v>
                </c:pt>
                <c:pt idx="39">
                  <c:v>14741.432028119356</c:v>
                </c:pt>
                <c:pt idx="40">
                  <c:v>14505.862715038682</c:v>
                </c:pt>
                <c:pt idx="41">
                  <c:v>14270.293401958019</c:v>
                </c:pt>
                <c:pt idx="42">
                  <c:v>14034.724088877365</c:v>
                </c:pt>
                <c:pt idx="43">
                  <c:v>13799.154775796691</c:v>
                </c:pt>
                <c:pt idx="44">
                  <c:v>13563.585462716017</c:v>
                </c:pt>
                <c:pt idx="45">
                  <c:v>13328.016149635347</c:v>
                </c:pt>
                <c:pt idx="46">
                  <c:v>13092.446836554667</c:v>
                </c:pt>
                <c:pt idx="47">
                  <c:v>12856.877523474001</c:v>
                </c:pt>
                <c:pt idx="48">
                  <c:v>12621.308210393358</c:v>
                </c:pt>
                <c:pt idx="49">
                  <c:v>12385.738897312665</c:v>
                </c:pt>
                <c:pt idx="50">
                  <c:v>12150.169584232019</c:v>
                </c:pt>
                <c:pt idx="51">
                  <c:v>11914.600271151332</c:v>
                </c:pt>
                <c:pt idx="52">
                  <c:v>11679.030958070676</c:v>
                </c:pt>
                <c:pt idx="53">
                  <c:v>11443.461644989984</c:v>
                </c:pt>
                <c:pt idx="54">
                  <c:v>11207.89233190933</c:v>
                </c:pt>
                <c:pt idx="55">
                  <c:v>10972.323018828656</c:v>
                </c:pt>
                <c:pt idx="56">
                  <c:v>10736.753705747984</c:v>
                </c:pt>
                <c:pt idx="57">
                  <c:v>10501.184392667319</c:v>
                </c:pt>
                <c:pt idx="58">
                  <c:v>10265.615079586654</c:v>
                </c:pt>
                <c:pt idx="59">
                  <c:v>10030.045766505989</c:v>
                </c:pt>
                <c:pt idx="60">
                  <c:v>9794.4764534253045</c:v>
                </c:pt>
                <c:pt idx="61">
                  <c:v>9558.9071403446469</c:v>
                </c:pt>
                <c:pt idx="62">
                  <c:v>9323.3378272639766</c:v>
                </c:pt>
                <c:pt idx="63">
                  <c:v>9087.7685141833081</c:v>
                </c:pt>
                <c:pt idx="64">
                  <c:v>8852.1992011026359</c:v>
                </c:pt>
                <c:pt idx="65">
                  <c:v>8616.6298880219692</c:v>
                </c:pt>
                <c:pt idx="66">
                  <c:v>8381.0605749413116</c:v>
                </c:pt>
                <c:pt idx="67">
                  <c:v>8145.4912618606386</c:v>
                </c:pt>
                <c:pt idx="68">
                  <c:v>7909.9219487799719</c:v>
                </c:pt>
                <c:pt idx="69">
                  <c:v>7674.3526356992952</c:v>
                </c:pt>
                <c:pt idx="70">
                  <c:v>7438.7833226186294</c:v>
                </c:pt>
                <c:pt idx="71">
                  <c:v>7203.2140095379655</c:v>
                </c:pt>
                <c:pt idx="72">
                  <c:v>6967.644696457297</c:v>
                </c:pt>
                <c:pt idx="73">
                  <c:v>6732.0753833766266</c:v>
                </c:pt>
                <c:pt idx="74">
                  <c:v>6496.5060702959609</c:v>
                </c:pt>
                <c:pt idx="75">
                  <c:v>6260.9367572152951</c:v>
                </c:pt>
                <c:pt idx="76">
                  <c:v>6025.3674441346184</c:v>
                </c:pt>
                <c:pt idx="77">
                  <c:v>5789.7981310539508</c:v>
                </c:pt>
                <c:pt idx="78">
                  <c:v>5554.2288179732832</c:v>
                </c:pt>
                <c:pt idx="79">
                  <c:v>5318.6595048926183</c:v>
                </c:pt>
                <c:pt idx="80">
                  <c:v>5083.0901918119507</c:v>
                </c:pt>
                <c:pt idx="81">
                  <c:v>4847.5208787312758</c:v>
                </c:pt>
                <c:pt idx="82">
                  <c:v>4611.9515656506037</c:v>
                </c:pt>
                <c:pt idx="83">
                  <c:v>4376.382252569937</c:v>
                </c:pt>
                <c:pt idx="84">
                  <c:v>4140.8129394892721</c:v>
                </c:pt>
                <c:pt idx="85">
                  <c:v>3905.2436264086027</c:v>
                </c:pt>
                <c:pt idx="86">
                  <c:v>3669.6743133279315</c:v>
                </c:pt>
                <c:pt idx="87">
                  <c:v>3434.1050002472684</c:v>
                </c:pt>
                <c:pt idx="88">
                  <c:v>3198.5356871665931</c:v>
                </c:pt>
                <c:pt idx="89">
                  <c:v>2962.9663740859287</c:v>
                </c:pt>
                <c:pt idx="90">
                  <c:v>2727.397061005257</c:v>
                </c:pt>
                <c:pt idx="91">
                  <c:v>2491.827747924594</c:v>
                </c:pt>
                <c:pt idx="92">
                  <c:v>2256.258434843925</c:v>
                </c:pt>
                <c:pt idx="93">
                  <c:v>2020.6891217632553</c:v>
                </c:pt>
                <c:pt idx="94">
                  <c:v>1785.1198086825843</c:v>
                </c:pt>
                <c:pt idx="95">
                  <c:v>1549.5504956019188</c:v>
                </c:pt>
                <c:pt idx="96">
                  <c:v>1313.98118252125</c:v>
                </c:pt>
                <c:pt idx="97">
                  <c:v>1078.4118694405811</c:v>
                </c:pt>
                <c:pt idx="98">
                  <c:v>842.84255635991258</c:v>
                </c:pt>
                <c:pt idx="99">
                  <c:v>607.27324327924021</c:v>
                </c:pt>
                <c:pt idx="100">
                  <c:v>371.70393019857528</c:v>
                </c:pt>
              </c:numCache>
            </c:numRef>
          </c:xVal>
          <c:yVal>
            <c:numRef>
              <c:f>'G30 85L (impacts;velo)'!$O$2:$O$102</c:f>
              <c:numCache>
                <c:formatCode>0</c:formatCode>
                <c:ptCount val="101"/>
                <c:pt idx="0">
                  <c:v>101.13008200050113</c:v>
                </c:pt>
                <c:pt idx="1">
                  <c:v>101.22788850277664</c:v>
                </c:pt>
                <c:pt idx="2">
                  <c:v>101.32676833995794</c:v>
                </c:pt>
                <c:pt idx="3">
                  <c:v>101.42674424877059</c:v>
                </c:pt>
                <c:pt idx="4">
                  <c:v>101.52783968444082</c:v>
                </c:pt>
                <c:pt idx="5">
                  <c:v>101.63007885104058</c:v>
                </c:pt>
                <c:pt idx="6">
                  <c:v>101.73348673344327</c:v>
                </c:pt>
                <c:pt idx="7">
                  <c:v>101.83808913099359</c:v>
                </c:pt>
                <c:pt idx="8">
                  <c:v>101.94391269300361</c:v>
                </c:pt>
                <c:pt idx="9">
                  <c:v>102.05098495619251</c:v>
                </c:pt>
                <c:pt idx="10">
                  <c:v>102.15933438420198</c:v>
                </c:pt>
                <c:pt idx="11">
                  <c:v>102.26899040932364</c:v>
                </c:pt>
                <c:pt idx="12">
                  <c:v>102.37998347658933</c:v>
                </c:pt>
                <c:pt idx="13">
                  <c:v>102.49234509038681</c:v>
                </c:pt>
                <c:pt idx="14">
                  <c:v>102.60610786377448</c:v>
                </c:pt>
                <c:pt idx="15">
                  <c:v>102.72130557068465</c:v>
                </c:pt>
                <c:pt idx="16">
                  <c:v>102.83797320122117</c:v>
                </c:pt>
                <c:pt idx="17">
                  <c:v>102.95614702027194</c:v>
                </c:pt>
                <c:pt idx="18">
                  <c:v>103.07586462967743</c:v>
                </c:pt>
                <c:pt idx="19">
                  <c:v>103.19716503421627</c:v>
                </c:pt>
                <c:pt idx="20">
                  <c:v>103.32008871169282</c:v>
                </c:pt>
                <c:pt idx="21">
                  <c:v>103.44467768743264</c:v>
                </c:pt>
                <c:pt idx="22">
                  <c:v>103.57097561352506</c:v>
                </c:pt>
                <c:pt idx="23">
                  <c:v>103.69902785317656</c:v>
                </c:pt>
                <c:pt idx="24">
                  <c:v>103.82888157057653</c:v>
                </c:pt>
                <c:pt idx="25">
                  <c:v>103.96058582670928</c:v>
                </c:pt>
                <c:pt idx="26">
                  <c:v>104.09419168159215</c:v>
                </c:pt>
                <c:pt idx="27">
                  <c:v>104.22975230345948</c:v>
                </c:pt>
                <c:pt idx="28">
                  <c:v>104.36732308546603</c:v>
                </c:pt>
                <c:pt idx="29">
                  <c:v>104.50696177053771</c:v>
                </c:pt>
                <c:pt idx="30">
                  <c:v>104.64872858505875</c:v>
                </c:pt>
                <c:pt idx="31">
                  <c:v>104.79268638215456</c:v>
                </c:pt>
                <c:pt idx="32">
                  <c:v>104.93890079540526</c:v>
                </c:pt>
                <c:pt idx="33">
                  <c:v>105.08744040391279</c:v>
                </c:pt>
                <c:pt idx="34">
                  <c:v>105.23837690973744</c:v>
                </c:pt>
                <c:pt idx="35">
                  <c:v>105.39178532883014</c:v>
                </c:pt>
                <c:pt idx="36">
                  <c:v>105.54774419670794</c:v>
                </c:pt>
                <c:pt idx="37">
                  <c:v>105.70633579025325</c:v>
                </c:pt>
                <c:pt idx="38">
                  <c:v>105.86764636717473</c:v>
                </c:pt>
                <c:pt idx="39">
                  <c:v>106.03176642483595</c:v>
                </c:pt>
                <c:pt idx="40">
                  <c:v>106.19879098035982</c:v>
                </c:pt>
                <c:pt idx="41">
                  <c:v>106.36881987413111</c:v>
                </c:pt>
                <c:pt idx="42">
                  <c:v>106.54195809907631</c:v>
                </c:pt>
                <c:pt idx="43">
                  <c:v>106.71831615838329</c:v>
                </c:pt>
                <c:pt idx="44">
                  <c:v>106.89801045465057</c:v>
                </c:pt>
                <c:pt idx="45">
                  <c:v>107.08116371382536</c:v>
                </c:pt>
                <c:pt idx="46">
                  <c:v>107.2679054477191</c:v>
                </c:pt>
                <c:pt idx="47">
                  <c:v>107.45837245937487</c:v>
                </c:pt>
                <c:pt idx="48">
                  <c:v>107.65270939612405</c:v>
                </c:pt>
                <c:pt idx="49">
                  <c:v>107.85106935581692</c:v>
                </c:pt>
                <c:pt idx="50">
                  <c:v>108.05361455245998</c:v>
                </c:pt>
                <c:pt idx="51">
                  <c:v>108.26051704836053</c:v>
                </c:pt>
                <c:pt idx="52">
                  <c:v>108.47195956088643</c:v>
                </c:pt>
                <c:pt idx="53">
                  <c:v>108.68813635312181</c:v>
                </c:pt>
                <c:pt idx="54">
                  <c:v>108.9092542190734</c:v>
                </c:pt>
                <c:pt idx="55">
                  <c:v>109.13553357568999</c:v>
                </c:pt>
                <c:pt idx="56">
                  <c:v>109.36720967584628</c:v>
                </c:pt>
                <c:pt idx="57">
                  <c:v>109.60453395867793</c:v>
                </c:pt>
                <c:pt idx="58">
                  <c:v>109.84777555629506</c:v>
                </c:pt>
                <c:pt idx="59">
                  <c:v>110.09722297903791</c:v>
                </c:pt>
                <c:pt idx="60">
                  <c:v>110.35318600518974</c:v>
                </c:pt>
                <c:pt idx="61">
                  <c:v>110.61599780553753</c:v>
                </c:pt>
                <c:pt idx="62">
                  <c:v>110.88601733857153</c:v>
                </c:pt>
                <c:pt idx="63">
                  <c:v>111.16363205861603</c:v>
                </c:pt>
                <c:pt idx="64">
                  <c:v>111.44926098708733</c:v>
                </c:pt>
                <c:pt idx="65">
                  <c:v>111.74335820669866</c:v>
                </c:pt>
                <c:pt idx="66">
                  <c:v>112.04641685021907</c:v>
                </c:pt>
                <c:pt idx="67">
                  <c:v>112.35897366991043</c:v>
                </c:pt>
                <c:pt idx="68">
                  <c:v>112.68161429174107</c:v>
                </c:pt>
                <c:pt idx="69">
                  <c:v>113.01497928085323</c:v>
                </c:pt>
                <c:pt idx="70">
                  <c:v>113.3597711728019</c:v>
                </c:pt>
                <c:pt idx="71">
                  <c:v>113.71676266045695</c:v>
                </c:pt>
                <c:pt idx="72">
                  <c:v>114.08680617135865</c:v>
                </c:pt>
                <c:pt idx="73">
                  <c:v>114.47084512777002</c:v>
                </c:pt>
                <c:pt idx="74">
                  <c:v>114.86992725572118</c:v>
                </c:pt>
                <c:pt idx="75">
                  <c:v>115.28522040559744</c:v>
                </c:pt>
                <c:pt idx="76">
                  <c:v>115.71803147306068</c:v>
                </c:pt>
                <c:pt idx="77">
                  <c:v>116.16982917619518</c:v>
                </c:pt>
                <c:pt idx="78">
                  <c:v>116.64227166826049</c:v>
                </c:pt>
                <c:pt idx="79">
                  <c:v>117.13724026758088</c:v>
                </c:pt>
                <c:pt idx="80">
                  <c:v>117.6568809994646</c:v>
                </c:pt>
                <c:pt idx="81">
                  <c:v>118.20365621777806</c:v>
                </c:pt>
                <c:pt idx="82">
                  <c:v>118.78040937842837</c:v>
                </c:pt>
                <c:pt idx="83">
                  <c:v>119.39044718458432</c:v>
                </c:pt>
                <c:pt idx="84">
                  <c:v>120.03764498735782</c:v>
                </c:pt>
                <c:pt idx="85">
                  <c:v>120.72658378232676</c:v>
                </c:pt>
                <c:pt idx="86">
                  <c:v>121.46273084268782</c:v>
                </c:pt>
                <c:pt idx="87">
                  <c:v>122.25268172888632</c:v>
                </c:pt>
                <c:pt idx="88">
                  <c:v>123.10449041222533</c:v>
                </c:pt>
                <c:pt idx="89">
                  <c:v>124.02812885738679</c:v>
                </c:pt>
                <c:pt idx="90">
                  <c:v>125.03614188533508</c:v>
                </c:pt>
                <c:pt idx="91">
                  <c:v>126.1446056619284</c:v>
                </c:pt>
                <c:pt idx="92">
                  <c:v>127.37457518854832</c:v>
                </c:pt>
                <c:pt idx="93">
                  <c:v>128.75435270442364</c:v>
                </c:pt>
                <c:pt idx="94">
                  <c:v>130.32320432501675</c:v>
                </c:pt>
                <c:pt idx="95">
                  <c:v>132.13779115623512</c:v>
                </c:pt>
                <c:pt idx="96">
                  <c:v>134.28408857555871</c:v>
                </c:pt>
                <c:pt idx="97">
                  <c:v>136.90154205156372</c:v>
                </c:pt>
                <c:pt idx="98">
                  <c:v>140.2383612285152</c:v>
                </c:pt>
                <c:pt idx="99">
                  <c:v>144.80273463377193</c:v>
                </c:pt>
                <c:pt idx="100">
                  <c:v>151.91716142811671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C2-46F4-B111-EC2F8327850F}"/>
            </c:ext>
          </c:extLst>
        </c:ser>
        <c:ser>
          <c:idx val="0"/>
          <c:order val="4"/>
          <c:tx>
            <c:v>2.38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'G27 60L (impacts;velo)'!$A$2:$A$44</c:f>
              <c:numCache>
                <c:formatCode>0.00E+00</c:formatCode>
                <c:ptCount val="43"/>
                <c:pt idx="0">
                  <c:v>15758.206889405415</c:v>
                </c:pt>
                <c:pt idx="1">
                  <c:v>13617.34463367356</c:v>
                </c:pt>
                <c:pt idx="2">
                  <c:v>470.06761926483398</c:v>
                </c:pt>
                <c:pt idx="3">
                  <c:v>626.75682568644538</c:v>
                </c:pt>
                <c:pt idx="4">
                  <c:v>783.44603210805667</c:v>
                </c:pt>
                <c:pt idx="5">
                  <c:v>940.13523852966796</c:v>
                </c:pt>
                <c:pt idx="6">
                  <c:v>1096.8244449512792</c:v>
                </c:pt>
                <c:pt idx="7">
                  <c:v>1253.5136513728908</c:v>
                </c:pt>
                <c:pt idx="8">
                  <c:v>1410.2028577945018</c:v>
                </c:pt>
                <c:pt idx="9">
                  <c:v>1566.8920642161133</c:v>
                </c:pt>
                <c:pt idx="10">
                  <c:v>1723.5812706377249</c:v>
                </c:pt>
                <c:pt idx="11">
                  <c:v>626.75682568644538</c:v>
                </c:pt>
                <c:pt idx="12">
                  <c:v>783.44603210805667</c:v>
                </c:pt>
                <c:pt idx="13">
                  <c:v>940.13523852966796</c:v>
                </c:pt>
                <c:pt idx="14">
                  <c:v>1096.8244449512792</c:v>
                </c:pt>
                <c:pt idx="15">
                  <c:v>1253.5136513728908</c:v>
                </c:pt>
                <c:pt idx="16">
                  <c:v>1410.2028577945018</c:v>
                </c:pt>
                <c:pt idx="17">
                  <c:v>1723.5812706377249</c:v>
                </c:pt>
                <c:pt idx="18">
                  <c:v>1880.2704770593359</c:v>
                </c:pt>
                <c:pt idx="19">
                  <c:v>783.44603210805667</c:v>
                </c:pt>
                <c:pt idx="20">
                  <c:v>940.13523852966796</c:v>
                </c:pt>
                <c:pt idx="21">
                  <c:v>1096.8244449512792</c:v>
                </c:pt>
                <c:pt idx="22">
                  <c:v>1253.5136513728908</c:v>
                </c:pt>
                <c:pt idx="23">
                  <c:v>1410.2028577945018</c:v>
                </c:pt>
                <c:pt idx="24">
                  <c:v>1566.8920642161133</c:v>
                </c:pt>
                <c:pt idx="25">
                  <c:v>2550.8950269241709</c:v>
                </c:pt>
                <c:pt idx="26">
                  <c:v>2943.3404156817351</c:v>
                </c:pt>
                <c:pt idx="27">
                  <c:v>3139.5631100605183</c:v>
                </c:pt>
                <c:pt idx="28">
                  <c:v>4513.1219707119944</c:v>
                </c:pt>
                <c:pt idx="29">
                  <c:v>2158.4496381666058</c:v>
                </c:pt>
                <c:pt idx="30">
                  <c:v>2354.6723325453881</c:v>
                </c:pt>
                <c:pt idx="31">
                  <c:v>2550.8950269241709</c:v>
                </c:pt>
                <c:pt idx="32">
                  <c:v>2747.1177213029532</c:v>
                </c:pt>
                <c:pt idx="33">
                  <c:v>2943.3404156817351</c:v>
                </c:pt>
                <c:pt idx="34">
                  <c:v>3924.4538875756475</c:v>
                </c:pt>
                <c:pt idx="35">
                  <c:v>4513.1219707119944</c:v>
                </c:pt>
                <c:pt idx="36">
                  <c:v>1962.2269437878238</c:v>
                </c:pt>
                <c:pt idx="37">
                  <c:v>2158.4496381666058</c:v>
                </c:pt>
                <c:pt idx="38">
                  <c:v>2354.6723325453881</c:v>
                </c:pt>
                <c:pt idx="39">
                  <c:v>2550.8950269241709</c:v>
                </c:pt>
                <c:pt idx="40">
                  <c:v>2747.1177213029532</c:v>
                </c:pt>
                <c:pt idx="41">
                  <c:v>3335.7858044393001</c:v>
                </c:pt>
                <c:pt idx="42">
                  <c:v>4513.1219707119944</c:v>
                </c:pt>
              </c:numCache>
            </c:numRef>
          </c:xVal>
          <c:yVal>
            <c:numRef>
              <c:f>'G27 60L (impacts;velo)'!$B$2:$B$44</c:f>
              <c:numCache>
                <c:formatCode>#,##0.000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C2-46F4-B111-EC2F8327850F}"/>
            </c:ext>
          </c:extLst>
        </c:ser>
        <c:ser>
          <c:idx val="1"/>
          <c:order val="5"/>
          <c:tx>
            <c:v>Fit 2.38 mm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'G27 60L (impacts;velo)'!$N$2:$N$102</c:f>
              <c:numCache>
                <c:formatCode>0.000</c:formatCode>
                <c:ptCount val="101"/>
                <c:pt idx="0">
                  <c:v>15758.206889405428</c:v>
                </c:pt>
                <c:pt idx="1">
                  <c:v>15605.325496704039</c:v>
                </c:pt>
                <c:pt idx="2">
                  <c:v>15452.444104002621</c:v>
                </c:pt>
                <c:pt idx="3">
                  <c:v>15299.562711301212</c:v>
                </c:pt>
                <c:pt idx="4">
                  <c:v>15146.681318599807</c:v>
                </c:pt>
                <c:pt idx="5">
                  <c:v>14993.799925898415</c:v>
                </c:pt>
                <c:pt idx="6">
                  <c:v>14840.918533197013</c:v>
                </c:pt>
                <c:pt idx="7">
                  <c:v>14688.037140495597</c:v>
                </c:pt>
                <c:pt idx="8">
                  <c:v>14535.155747794184</c:v>
                </c:pt>
                <c:pt idx="9">
                  <c:v>14382.274355092801</c:v>
                </c:pt>
                <c:pt idx="10">
                  <c:v>14229.392962391379</c:v>
                </c:pt>
                <c:pt idx="11">
                  <c:v>14076.511569689974</c:v>
                </c:pt>
                <c:pt idx="12">
                  <c:v>13923.630176988585</c:v>
                </c:pt>
                <c:pt idx="13">
                  <c:v>13770.748784287172</c:v>
                </c:pt>
                <c:pt idx="14">
                  <c:v>13617.867391585753</c:v>
                </c:pt>
                <c:pt idx="15">
                  <c:v>13464.985998884355</c:v>
                </c:pt>
                <c:pt idx="16">
                  <c:v>13312.104606182957</c:v>
                </c:pt>
                <c:pt idx="17">
                  <c:v>13159.223213481517</c:v>
                </c:pt>
                <c:pt idx="18">
                  <c:v>13006.341820780128</c:v>
                </c:pt>
                <c:pt idx="19">
                  <c:v>12853.46042807873</c:v>
                </c:pt>
                <c:pt idx="20">
                  <c:v>12700.579035377321</c:v>
                </c:pt>
                <c:pt idx="21">
                  <c:v>12547.697642675912</c:v>
                </c:pt>
                <c:pt idx="22">
                  <c:v>12394.816249974496</c:v>
                </c:pt>
                <c:pt idx="23">
                  <c:v>12241.934857273114</c:v>
                </c:pt>
                <c:pt idx="24">
                  <c:v>12089.053464571711</c:v>
                </c:pt>
                <c:pt idx="25">
                  <c:v>11936.172071870295</c:v>
                </c:pt>
                <c:pt idx="26">
                  <c:v>11783.290679168871</c:v>
                </c:pt>
                <c:pt idx="27">
                  <c:v>11630.409286467477</c:v>
                </c:pt>
                <c:pt idx="28">
                  <c:v>11477.527893766059</c:v>
                </c:pt>
                <c:pt idx="29">
                  <c:v>11324.646501064668</c:v>
                </c:pt>
                <c:pt idx="30">
                  <c:v>11171.765108363259</c:v>
                </c:pt>
                <c:pt idx="31">
                  <c:v>11018.883715661845</c:v>
                </c:pt>
                <c:pt idx="32">
                  <c:v>10866.002322960443</c:v>
                </c:pt>
                <c:pt idx="33">
                  <c:v>10713.120930259038</c:v>
                </c:pt>
                <c:pt idx="34">
                  <c:v>10560.23953755764</c:v>
                </c:pt>
                <c:pt idx="35">
                  <c:v>10407.358144856249</c:v>
                </c:pt>
                <c:pt idx="36">
                  <c:v>10254.476752154826</c:v>
                </c:pt>
                <c:pt idx="37">
                  <c:v>10101.595359453429</c:v>
                </c:pt>
                <c:pt idx="38">
                  <c:v>9948.7139667520096</c:v>
                </c:pt>
                <c:pt idx="39">
                  <c:v>9795.8325740506061</c:v>
                </c:pt>
                <c:pt idx="40">
                  <c:v>9642.9511813491918</c:v>
                </c:pt>
                <c:pt idx="41">
                  <c:v>9490.0697886477974</c:v>
                </c:pt>
                <c:pt idx="42">
                  <c:v>9337.1883959463848</c:v>
                </c:pt>
                <c:pt idx="43">
                  <c:v>9184.3070032449759</c:v>
                </c:pt>
                <c:pt idx="44">
                  <c:v>9031.4256105435743</c:v>
                </c:pt>
                <c:pt idx="45">
                  <c:v>8878.5442178421599</c:v>
                </c:pt>
                <c:pt idx="46">
                  <c:v>8725.6628251407583</c:v>
                </c:pt>
                <c:pt idx="47">
                  <c:v>8572.7814324393585</c:v>
                </c:pt>
                <c:pt idx="48">
                  <c:v>8419.9000397379568</c:v>
                </c:pt>
                <c:pt idx="49">
                  <c:v>8267.0186470365388</c:v>
                </c:pt>
                <c:pt idx="50">
                  <c:v>8114.1372543351372</c:v>
                </c:pt>
                <c:pt idx="51">
                  <c:v>7961.2558616337328</c:v>
                </c:pt>
                <c:pt idx="52">
                  <c:v>7808.3744689323321</c:v>
                </c:pt>
                <c:pt idx="53">
                  <c:v>7655.4930762309177</c:v>
                </c:pt>
                <c:pt idx="54">
                  <c:v>7502.6116835295143</c:v>
                </c:pt>
                <c:pt idx="55">
                  <c:v>7349.7302908281163</c:v>
                </c:pt>
                <c:pt idx="56">
                  <c:v>7196.8488981267101</c:v>
                </c:pt>
                <c:pt idx="57">
                  <c:v>7043.9675054252912</c:v>
                </c:pt>
                <c:pt idx="58">
                  <c:v>6891.0861127238877</c:v>
                </c:pt>
                <c:pt idx="59">
                  <c:v>6738.2047200224806</c:v>
                </c:pt>
                <c:pt idx="60">
                  <c:v>6585.3233273210772</c:v>
                </c:pt>
                <c:pt idx="61">
                  <c:v>6432.4419346196728</c:v>
                </c:pt>
                <c:pt idx="62">
                  <c:v>6279.5605419182657</c:v>
                </c:pt>
                <c:pt idx="63">
                  <c:v>6126.6791492168531</c:v>
                </c:pt>
                <c:pt idx="64">
                  <c:v>5973.7977565154551</c:v>
                </c:pt>
                <c:pt idx="65">
                  <c:v>5820.9163638140453</c:v>
                </c:pt>
                <c:pt idx="66">
                  <c:v>5668.0349711126437</c:v>
                </c:pt>
                <c:pt idx="67">
                  <c:v>5515.1535784112339</c:v>
                </c:pt>
                <c:pt idx="68">
                  <c:v>5362.2721857098231</c:v>
                </c:pt>
                <c:pt idx="69">
                  <c:v>5209.3907930084215</c:v>
                </c:pt>
                <c:pt idx="70">
                  <c:v>5056.5094003070208</c:v>
                </c:pt>
                <c:pt idx="71">
                  <c:v>4903.6280076056073</c:v>
                </c:pt>
                <c:pt idx="72">
                  <c:v>4750.7466149042048</c:v>
                </c:pt>
                <c:pt idx="73">
                  <c:v>4597.8652222028022</c:v>
                </c:pt>
                <c:pt idx="74">
                  <c:v>4444.9838295013951</c:v>
                </c:pt>
                <c:pt idx="75">
                  <c:v>4292.1024367999844</c:v>
                </c:pt>
                <c:pt idx="76">
                  <c:v>4139.2210440985782</c:v>
                </c:pt>
                <c:pt idx="77">
                  <c:v>3986.3396513971743</c:v>
                </c:pt>
                <c:pt idx="78">
                  <c:v>3833.4582586957686</c:v>
                </c:pt>
                <c:pt idx="79">
                  <c:v>3680.5768659943606</c:v>
                </c:pt>
                <c:pt idx="80">
                  <c:v>3527.6954732929571</c:v>
                </c:pt>
                <c:pt idx="81">
                  <c:v>3374.8140805915473</c:v>
                </c:pt>
                <c:pt idx="82">
                  <c:v>3221.9326878901406</c:v>
                </c:pt>
                <c:pt idx="83">
                  <c:v>3069.0512951887372</c:v>
                </c:pt>
                <c:pt idx="84">
                  <c:v>2916.1699024873301</c:v>
                </c:pt>
                <c:pt idx="85">
                  <c:v>2763.2885097859244</c:v>
                </c:pt>
                <c:pt idx="86">
                  <c:v>2610.4071170845195</c:v>
                </c:pt>
                <c:pt idx="87">
                  <c:v>2457.5257243831124</c:v>
                </c:pt>
                <c:pt idx="88">
                  <c:v>2304.6443316817058</c:v>
                </c:pt>
                <c:pt idx="89">
                  <c:v>2151.7629389802996</c:v>
                </c:pt>
                <c:pt idx="90">
                  <c:v>1998.881546278893</c:v>
                </c:pt>
                <c:pt idx="91">
                  <c:v>1846.0001535774877</c:v>
                </c:pt>
                <c:pt idx="92">
                  <c:v>1693.1187608760831</c:v>
                </c:pt>
                <c:pt idx="93">
                  <c:v>1540.2373681746765</c:v>
                </c:pt>
                <c:pt idx="94">
                  <c:v>1387.3559754732717</c:v>
                </c:pt>
                <c:pt idx="95">
                  <c:v>1234.4745827718618</c:v>
                </c:pt>
                <c:pt idx="96">
                  <c:v>1081.5931900704575</c:v>
                </c:pt>
                <c:pt idx="97">
                  <c:v>928.71179736905151</c:v>
                </c:pt>
                <c:pt idx="98">
                  <c:v>775.83040466764646</c:v>
                </c:pt>
                <c:pt idx="99">
                  <c:v>622.94901196624096</c:v>
                </c:pt>
                <c:pt idx="100">
                  <c:v>470.0676192648354</c:v>
                </c:pt>
              </c:numCache>
            </c:numRef>
          </c:xVal>
          <c:yVal>
            <c:numRef>
              <c:f>'G27 60L (impacts;velo)'!$O$2:$O$102</c:f>
              <c:numCache>
                <c:formatCode>0</c:formatCode>
                <c:ptCount val="101"/>
                <c:pt idx="0">
                  <c:v>94.749439849172944</c:v>
                </c:pt>
                <c:pt idx="1">
                  <c:v>94.868325258856544</c:v>
                </c:pt>
                <c:pt idx="2">
                  <c:v>94.988532490945019</c:v>
                </c:pt>
                <c:pt idx="3">
                  <c:v>95.11008953978623</c:v>
                </c:pt>
                <c:pt idx="4">
                  <c:v>95.23302527990036</c:v>
                </c:pt>
                <c:pt idx="5">
                  <c:v>95.35736950287054</c:v>
                </c:pt>
                <c:pt idx="6">
                  <c:v>95.483152956172717</c:v>
                </c:pt>
                <c:pt idx="7">
                  <c:v>95.610407384069575</c:v>
                </c:pt>
                <c:pt idx="8">
                  <c:v>95.739165570699939</c:v>
                </c:pt>
                <c:pt idx="9">
                  <c:v>95.869461385507421</c:v>
                </c:pt>
                <c:pt idx="10">
                  <c:v>96.001329831159907</c:v>
                </c:pt>
                <c:pt idx="11">
                  <c:v>96.134807094126089</c:v>
                </c:pt>
                <c:pt idx="12">
                  <c:v>96.269930598086816</c:v>
                </c:pt>
                <c:pt idx="13">
                  <c:v>96.406739060372658</c:v>
                </c:pt>
                <c:pt idx="14">
                  <c:v>96.545272551635875</c:v>
                </c:pt>
                <c:pt idx="15">
                  <c:v>96.685572558979374</c:v>
                </c:pt>
                <c:pt idx="16">
                  <c:v>96.827682052786741</c:v>
                </c:pt>
                <c:pt idx="17">
                  <c:v>96.971645557513114</c:v>
                </c:pt>
                <c:pt idx="18">
                  <c:v>97.117509226723328</c:v>
                </c:pt>
                <c:pt idx="19">
                  <c:v>97.265320922683131</c:v>
                </c:pt>
                <c:pt idx="20">
                  <c:v>97.415130300839294</c:v>
                </c:pt>
                <c:pt idx="21">
                  <c:v>97.566988899550836</c:v>
                </c:pt>
                <c:pt idx="22">
                  <c:v>97.720950235466276</c:v>
                </c:pt>
                <c:pt idx="23">
                  <c:v>97.87706990497756</c:v>
                </c:pt>
                <c:pt idx="24">
                  <c:v>98.035405692217779</c:v>
                </c:pt>
                <c:pt idx="25">
                  <c:v>98.196017684114892</c:v>
                </c:pt>
                <c:pt idx="26">
                  <c:v>98.358968393058177</c:v>
                </c:pt>
                <c:pt idx="27">
                  <c:v>98.524322887787861</c:v>
                </c:pt>
                <c:pt idx="28">
                  <c:v>98.692148933176227</c:v>
                </c:pt>
                <c:pt idx="29">
                  <c:v>98.862517139629176</c:v>
                </c:pt>
                <c:pt idx="30">
                  <c:v>99.035501122913885</c:v>
                </c:pt>
                <c:pt idx="31">
                  <c:v>99.211177675289846</c:v>
                </c:pt>
                <c:pt idx="32">
                  <c:v>99.389626948916003</c:v>
                </c:pt>
                <c:pt idx="33">
                  <c:v>99.570932652598245</c:v>
                </c:pt>
                <c:pt idx="34">
                  <c:v>99.75518226305482</c:v>
                </c:pt>
                <c:pt idx="35">
                  <c:v>99.942467251998593</c:v>
                </c:pt>
                <c:pt idx="36">
                  <c:v>100.13288333047167</c:v>
                </c:pt>
                <c:pt idx="37">
                  <c:v>100.3265307120223</c:v>
                </c:pt>
                <c:pt idx="38">
                  <c:v>100.52351439648791</c:v>
                </c:pt>
                <c:pt idx="39">
                  <c:v>100.72394447634045</c:v>
                </c:pt>
                <c:pt idx="40">
                  <c:v>100.92793646777304</c:v>
                </c:pt>
                <c:pt idx="41">
                  <c:v>101.13561166895387</c:v>
                </c:pt>
                <c:pt idx="42">
                  <c:v>101.34709754815297</c:v>
                </c:pt>
                <c:pt idx="43">
                  <c:v>101.56252816476925</c:v>
                </c:pt>
                <c:pt idx="44">
                  <c:v>101.78204462664668</c:v>
                </c:pt>
                <c:pt idx="45">
                  <c:v>102.00579558747991</c:v>
                </c:pt>
                <c:pt idx="46">
                  <c:v>102.23393778858372</c:v>
                </c:pt>
                <c:pt idx="47">
                  <c:v>102.46663664983669</c:v>
                </c:pt>
                <c:pt idx="48">
                  <c:v>102.70406691523009</c:v>
                </c:pt>
                <c:pt idx="49">
                  <c:v>102.94641335916248</c:v>
                </c:pt>
                <c:pt idx="50">
                  <c:v>103.19387156043778</c:v>
                </c:pt>
                <c:pt idx="51">
                  <c:v>103.44664875187028</c:v>
                </c:pt>
                <c:pt idx="52">
                  <c:v>103.70496475449373</c:v>
                </c:pt>
                <c:pt idx="53">
                  <c:v>103.96905300664267</c:v>
                </c:pt>
                <c:pt idx="54">
                  <c:v>104.23916169965061</c:v>
                </c:pt>
                <c:pt idx="55">
                  <c:v>104.51555503363878</c:v>
                </c:pt>
                <c:pt idx="56">
                  <c:v>104.79851460888902</c:v>
                </c:pt>
                <c:pt idx="57">
                  <c:v>105.08834097067064</c:v>
                </c:pt>
                <c:pt idx="58">
                  <c:v>105.38535532819222</c:v>
                </c:pt>
                <c:pt idx="59">
                  <c:v>105.68990147165681</c:v>
                </c:pt>
                <c:pt idx="60">
                  <c:v>106.00234791533367</c:v>
                </c:pt>
                <c:pt idx="61">
                  <c:v>106.32309029923881</c:v>
                </c:pt>
                <c:pt idx="62">
                  <c:v>106.65255408761629</c:v>
                </c:pt>
                <c:pt idx="63">
                  <c:v>106.99119760913345</c:v>
                </c:pt>
                <c:pt idx="64">
                  <c:v>107.33951549181501</c:v>
                </c:pt>
                <c:pt idx="65">
                  <c:v>107.69804255554982</c:v>
                </c:pt>
                <c:pt idx="66">
                  <c:v>108.06735823696381</c:v>
                </c:pt>
                <c:pt idx="67">
                  <c:v>108.44809163604603</c:v>
                </c:pt>
                <c:pt idx="68">
                  <c:v>108.84092729188035</c:v>
                </c:pt>
                <c:pt idx="69">
                  <c:v>109.24661181701391</c:v>
                </c:pt>
                <c:pt idx="70">
                  <c:v>109.66596154755797</c:v>
                </c:pt>
                <c:pt idx="71">
                  <c:v>110.09987140059411</c:v>
                </c:pt>
                <c:pt idx="72">
                  <c:v>110.54932517380239</c:v>
                </c:pt>
                <c:pt idx="73">
                  <c:v>111.01540757716718</c:v>
                </c:pt>
                <c:pt idx="74">
                  <c:v>111.49931835665937</c:v>
                </c:pt>
                <c:pt idx="75">
                  <c:v>112.00238895985314</c:v>
                </c:pt>
                <c:pt idx="76">
                  <c:v>112.52610231010229</c:v>
                </c:pt>
                <c:pt idx="77">
                  <c:v>113.07211640838621</c:v>
                </c:pt>
                <c:pt idx="78">
                  <c:v>113.64229268303744</c:v>
                </c:pt>
                <c:pt idx="79">
                  <c:v>114.23873027543871</c:v>
                </c:pt>
                <c:pt idx="80">
                  <c:v>114.86380781034327</c:v>
                </c:pt>
                <c:pt idx="81">
                  <c:v>115.52023469041008</c:v>
                </c:pt>
                <c:pt idx="82">
                  <c:v>116.21111463121133</c:v>
                </c:pt>
                <c:pt idx="83">
                  <c:v>116.94002509817804</c:v>
                </c:pt>
                <c:pt idx="84">
                  <c:v>117.71111764653008</c:v>
                </c:pt>
                <c:pt idx="85">
                  <c:v>118.52924609401947</c:v>
                </c:pt>
                <c:pt idx="86">
                  <c:v>119.40013228207917</c:v>
                </c:pt>
                <c:pt idx="87">
                  <c:v>120.33058340068497</c:v>
                </c:pt>
                <c:pt idx="88">
                  <c:v>121.32878128833792</c:v>
                </c:pt>
                <c:pt idx="89">
                  <c:v>122.40467416915912</c:v>
                </c:pt>
                <c:pt idx="90">
                  <c:v>123.57051740392396</c:v>
                </c:pt>
                <c:pt idx="91">
                  <c:v>124.84163645160963</c:v>
                </c:pt>
                <c:pt idx="92">
                  <c:v>126.23753072806882</c:v>
                </c:pt>
                <c:pt idx="93">
                  <c:v>127.78351787718852</c:v>
                </c:pt>
                <c:pt idx="94">
                  <c:v>129.51326825201693</c:v>
                </c:pt>
                <c:pt idx="95">
                  <c:v>131.47287415548496</c:v>
                </c:pt>
                <c:pt idx="96">
                  <c:v>133.7277147234785</c:v>
                </c:pt>
                <c:pt idx="97">
                  <c:v>136.37477110573002</c:v>
                </c:pt>
                <c:pt idx="98">
                  <c:v>139.56652443438028</c:v>
                </c:pt>
                <c:pt idx="99">
                  <c:v>143.56243422306133</c:v>
                </c:pt>
                <c:pt idx="100">
                  <c:v>148.85736298171392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C2-46F4-B111-EC2F8327850F}"/>
            </c:ext>
          </c:extLst>
        </c:ser>
        <c:ser>
          <c:idx val="2"/>
          <c:order val="6"/>
          <c:tx>
            <c:v>3.50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'G20 120L (impacts;velo)'!$A$2:$A$32</c:f>
              <c:numCache>
                <c:formatCode>0.00E+00</c:formatCode>
                <c:ptCount val="31"/>
                <c:pt idx="0">
                  <c:v>624.79924025529658</c:v>
                </c:pt>
                <c:pt idx="1">
                  <c:v>1041.332067092161</c:v>
                </c:pt>
                <c:pt idx="2">
                  <c:v>1249.5984805105932</c:v>
                </c:pt>
                <c:pt idx="3">
                  <c:v>416.53282683686444</c:v>
                </c:pt>
                <c:pt idx="4">
                  <c:v>624.79924025529658</c:v>
                </c:pt>
                <c:pt idx="5">
                  <c:v>833.06565367372889</c:v>
                </c:pt>
                <c:pt idx="6">
                  <c:v>1249.5984805105932</c:v>
                </c:pt>
                <c:pt idx="7">
                  <c:v>416.53282683686444</c:v>
                </c:pt>
                <c:pt idx="8">
                  <c:v>624.79924025529658</c:v>
                </c:pt>
                <c:pt idx="9">
                  <c:v>833.06565367372889</c:v>
                </c:pt>
                <c:pt idx="10">
                  <c:v>1249.5984805105932</c:v>
                </c:pt>
                <c:pt idx="11">
                  <c:v>1564.8785665405082</c:v>
                </c:pt>
                <c:pt idx="12">
                  <c:v>1825.6916609639266</c:v>
                </c:pt>
                <c:pt idx="13">
                  <c:v>2086.5047553873446</c:v>
                </c:pt>
                <c:pt idx="14">
                  <c:v>2347.3178498107627</c:v>
                </c:pt>
                <c:pt idx="15">
                  <c:v>2868.9440386575989</c:v>
                </c:pt>
                <c:pt idx="16">
                  <c:v>3129.7571330810165</c:v>
                </c:pt>
                <c:pt idx="17">
                  <c:v>1043.2523776936723</c:v>
                </c:pt>
                <c:pt idx="18">
                  <c:v>1304.0654721170904</c:v>
                </c:pt>
                <c:pt idx="19">
                  <c:v>1564.8785665405082</c:v>
                </c:pt>
                <c:pt idx="20">
                  <c:v>1825.6916609639266</c:v>
                </c:pt>
                <c:pt idx="21">
                  <c:v>2347.3178498107627</c:v>
                </c:pt>
                <c:pt idx="22">
                  <c:v>2608.1309442341808</c:v>
                </c:pt>
                <c:pt idx="23">
                  <c:v>2868.9440386575989</c:v>
                </c:pt>
                <c:pt idx="24">
                  <c:v>1304.0654721170904</c:v>
                </c:pt>
                <c:pt idx="25">
                  <c:v>1564.8785665405082</c:v>
                </c:pt>
                <c:pt idx="26">
                  <c:v>2086.5047553873446</c:v>
                </c:pt>
                <c:pt idx="27">
                  <c:v>2347.3178498107627</c:v>
                </c:pt>
                <c:pt idx="28">
                  <c:v>2608.1309442341808</c:v>
                </c:pt>
                <c:pt idx="29">
                  <c:v>6703.6297361842389</c:v>
                </c:pt>
                <c:pt idx="30">
                  <c:v>5586.3581134868664</c:v>
                </c:pt>
              </c:numCache>
            </c:numRef>
          </c:xVal>
          <c:yVal>
            <c:numRef>
              <c:f>'G20 120L (impacts;velo)'!$B$2:$B$32</c:f>
              <c:numCache>
                <c:formatCode>#,##0.000</c:formatCode>
                <c:ptCount val="31"/>
                <c:pt idx="0">
                  <c:v>138.47528590532582</c:v>
                </c:pt>
                <c:pt idx="1">
                  <c:v>128.9393080514532</c:v>
                </c:pt>
                <c:pt idx="2">
                  <c:v>119.78359925310309</c:v>
                </c:pt>
                <c:pt idx="3">
                  <c:v>144.23390887684323</c:v>
                </c:pt>
                <c:pt idx="4">
                  <c:v>140.89783799974145</c:v>
                </c:pt>
                <c:pt idx="5">
                  <c:v>129.45570016687481</c:v>
                </c:pt>
                <c:pt idx="6">
                  <c:v>124.10042849573773</c:v>
                </c:pt>
                <c:pt idx="7">
                  <c:v>142.5189443282251</c:v>
                </c:pt>
                <c:pt idx="8">
                  <c:v>133.45670982827062</c:v>
                </c:pt>
                <c:pt idx="9">
                  <c:v>124.71603849452865</c:v>
                </c:pt>
                <c:pt idx="10">
                  <c:v>123.89751408438963</c:v>
                </c:pt>
                <c:pt idx="11">
                  <c:v>125.0881979570498</c:v>
                </c:pt>
                <c:pt idx="12">
                  <c:v>116.38083086759765</c:v>
                </c:pt>
                <c:pt idx="13">
                  <c:v>113.91740208566142</c:v>
                </c:pt>
                <c:pt idx="14">
                  <c:v>111.6490963684362</c:v>
                </c:pt>
                <c:pt idx="15">
                  <c:v>107.64907339062384</c:v>
                </c:pt>
                <c:pt idx="16">
                  <c:v>106.60028688260051</c:v>
                </c:pt>
                <c:pt idx="17">
                  <c:v>122.60037878831164</c:v>
                </c:pt>
                <c:pt idx="18">
                  <c:v>118.35645197110961</c:v>
                </c:pt>
                <c:pt idx="19">
                  <c:v>117.42961737884711</c:v>
                </c:pt>
                <c:pt idx="20">
                  <c:v>115.47838665829444</c:v>
                </c:pt>
                <c:pt idx="21">
                  <c:v>114.47838091401121</c:v>
                </c:pt>
                <c:pt idx="22">
                  <c:v>113.47837516972798</c:v>
                </c:pt>
                <c:pt idx="23">
                  <c:v>107.47834070402855</c:v>
                </c:pt>
                <c:pt idx="24">
                  <c:v>118.64312103662732</c:v>
                </c:pt>
                <c:pt idx="25">
                  <c:v>115.05547298976759</c:v>
                </c:pt>
                <c:pt idx="26">
                  <c:v>112.3464326278531</c:v>
                </c:pt>
                <c:pt idx="27">
                  <c:v>110.88208648627773</c:v>
                </c:pt>
                <c:pt idx="28">
                  <c:v>110.63802879601515</c:v>
                </c:pt>
                <c:pt idx="29">
                  <c:v>101.0765920893912</c:v>
                </c:pt>
                <c:pt idx="30">
                  <c:v>99.463772200994654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C2-46F4-B111-EC2F8327850F}"/>
            </c:ext>
          </c:extLst>
        </c:ser>
        <c:ser>
          <c:idx val="3"/>
          <c:order val="7"/>
          <c:tx>
            <c:v>Fit 3.50 mm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'G20 120L (impacts;velo)'!$N$2:$N$102</c:f>
              <c:numCache>
                <c:formatCode>0.000</c:formatCode>
                <c:ptCount val="101"/>
                <c:pt idx="0">
                  <c:v>6703.6297361842471</c:v>
                </c:pt>
                <c:pt idx="1">
                  <c:v>6640.7587670907851</c:v>
                </c:pt>
                <c:pt idx="2">
                  <c:v>6577.8877979973076</c:v>
                </c:pt>
                <c:pt idx="3">
                  <c:v>6515.0168289038256</c:v>
                </c:pt>
                <c:pt idx="4">
                  <c:v>6452.1458598103591</c:v>
                </c:pt>
                <c:pt idx="5">
                  <c:v>6389.2748907168852</c:v>
                </c:pt>
                <c:pt idx="6">
                  <c:v>6326.4039216234114</c:v>
                </c:pt>
                <c:pt idx="7">
                  <c:v>6263.5329525299348</c:v>
                </c:pt>
                <c:pt idx="8">
                  <c:v>6200.6619834364656</c:v>
                </c:pt>
                <c:pt idx="9">
                  <c:v>6137.791014342989</c:v>
                </c:pt>
                <c:pt idx="10">
                  <c:v>6074.9200452495088</c:v>
                </c:pt>
                <c:pt idx="11">
                  <c:v>6012.0490761560413</c:v>
                </c:pt>
                <c:pt idx="12">
                  <c:v>5949.1781070625611</c:v>
                </c:pt>
                <c:pt idx="13">
                  <c:v>5886.30713796909</c:v>
                </c:pt>
                <c:pt idx="14">
                  <c:v>5823.4361688756144</c:v>
                </c:pt>
                <c:pt idx="15">
                  <c:v>5760.5651997821406</c:v>
                </c:pt>
                <c:pt idx="16">
                  <c:v>5697.6942306886731</c:v>
                </c:pt>
                <c:pt idx="17">
                  <c:v>5634.8232615951974</c:v>
                </c:pt>
                <c:pt idx="18">
                  <c:v>5571.9522925017218</c:v>
                </c:pt>
                <c:pt idx="19">
                  <c:v>5509.0813234082516</c:v>
                </c:pt>
                <c:pt idx="20">
                  <c:v>5446.2103543147796</c:v>
                </c:pt>
                <c:pt idx="21">
                  <c:v>5383.3393852212994</c:v>
                </c:pt>
                <c:pt idx="22">
                  <c:v>5320.4684161278274</c:v>
                </c:pt>
                <c:pt idx="23">
                  <c:v>5257.5974470343563</c:v>
                </c:pt>
                <c:pt idx="24">
                  <c:v>5194.7264779408779</c:v>
                </c:pt>
                <c:pt idx="25">
                  <c:v>5131.8555088474031</c:v>
                </c:pt>
                <c:pt idx="26">
                  <c:v>5068.9845397539357</c:v>
                </c:pt>
                <c:pt idx="27">
                  <c:v>5006.1135706604573</c:v>
                </c:pt>
                <c:pt idx="28">
                  <c:v>4943.2426015669835</c:v>
                </c:pt>
                <c:pt idx="29">
                  <c:v>4880.3716324735042</c:v>
                </c:pt>
                <c:pt idx="30">
                  <c:v>4817.5006633800385</c:v>
                </c:pt>
                <c:pt idx="31">
                  <c:v>4754.6296942865674</c:v>
                </c:pt>
                <c:pt idx="32">
                  <c:v>4691.75872519309</c:v>
                </c:pt>
                <c:pt idx="33">
                  <c:v>4628.8877560996152</c:v>
                </c:pt>
                <c:pt idx="34">
                  <c:v>4566.0167870061423</c:v>
                </c:pt>
                <c:pt idx="35">
                  <c:v>4503.1458179126694</c:v>
                </c:pt>
                <c:pt idx="36">
                  <c:v>4440.2748488191964</c:v>
                </c:pt>
                <c:pt idx="37">
                  <c:v>4377.403879725719</c:v>
                </c:pt>
                <c:pt idx="38">
                  <c:v>4314.5329106322433</c:v>
                </c:pt>
                <c:pt idx="39">
                  <c:v>4251.6619415387731</c:v>
                </c:pt>
                <c:pt idx="40">
                  <c:v>4188.7909724452948</c:v>
                </c:pt>
                <c:pt idx="41">
                  <c:v>4125.9200033518209</c:v>
                </c:pt>
                <c:pt idx="42">
                  <c:v>4063.0490342583453</c:v>
                </c:pt>
                <c:pt idx="43">
                  <c:v>4000.1780651648774</c:v>
                </c:pt>
                <c:pt idx="44">
                  <c:v>3937.3070960714031</c:v>
                </c:pt>
                <c:pt idx="45">
                  <c:v>3874.4361269779279</c:v>
                </c:pt>
                <c:pt idx="46">
                  <c:v>3811.5651578844513</c:v>
                </c:pt>
                <c:pt idx="47">
                  <c:v>3748.6941887909838</c:v>
                </c:pt>
                <c:pt idx="48">
                  <c:v>3685.8232196975046</c:v>
                </c:pt>
                <c:pt idx="49">
                  <c:v>3622.9522506040294</c:v>
                </c:pt>
                <c:pt idx="50">
                  <c:v>3560.0812815105596</c:v>
                </c:pt>
                <c:pt idx="51">
                  <c:v>3497.2103124170853</c:v>
                </c:pt>
                <c:pt idx="52">
                  <c:v>3434.3393433236092</c:v>
                </c:pt>
                <c:pt idx="53">
                  <c:v>3371.4683742301345</c:v>
                </c:pt>
                <c:pt idx="54">
                  <c:v>3308.5974051366625</c:v>
                </c:pt>
                <c:pt idx="55">
                  <c:v>3245.72643604319</c:v>
                </c:pt>
                <c:pt idx="56">
                  <c:v>3182.8554669497153</c:v>
                </c:pt>
                <c:pt idx="57">
                  <c:v>3119.9844978562392</c:v>
                </c:pt>
                <c:pt idx="58">
                  <c:v>3057.1135287627662</c:v>
                </c:pt>
                <c:pt idx="59">
                  <c:v>2994.2425596692938</c:v>
                </c:pt>
                <c:pt idx="60">
                  <c:v>2931.3715905758195</c:v>
                </c:pt>
                <c:pt idx="61">
                  <c:v>2868.500621482347</c:v>
                </c:pt>
                <c:pt idx="62">
                  <c:v>2805.6296523888714</c:v>
                </c:pt>
                <c:pt idx="63">
                  <c:v>2742.7586832954003</c:v>
                </c:pt>
                <c:pt idx="64">
                  <c:v>2679.8877142019232</c:v>
                </c:pt>
                <c:pt idx="65">
                  <c:v>2617.0167451084494</c:v>
                </c:pt>
                <c:pt idx="66">
                  <c:v>2554.1457760149774</c:v>
                </c:pt>
                <c:pt idx="67">
                  <c:v>2491.2748069215022</c:v>
                </c:pt>
                <c:pt idx="68">
                  <c:v>2428.4038378280288</c:v>
                </c:pt>
                <c:pt idx="69">
                  <c:v>2365.5328687345559</c:v>
                </c:pt>
                <c:pt idx="70">
                  <c:v>2302.6618996410812</c:v>
                </c:pt>
                <c:pt idx="71">
                  <c:v>2239.7909305476073</c:v>
                </c:pt>
                <c:pt idx="72">
                  <c:v>2176.9199614541335</c:v>
                </c:pt>
                <c:pt idx="73">
                  <c:v>2114.0489923606597</c:v>
                </c:pt>
                <c:pt idx="74">
                  <c:v>2051.1780232671863</c:v>
                </c:pt>
                <c:pt idx="75">
                  <c:v>1988.3070541737127</c:v>
                </c:pt>
                <c:pt idx="76">
                  <c:v>1925.4360850802384</c:v>
                </c:pt>
                <c:pt idx="77">
                  <c:v>1862.5651159867634</c:v>
                </c:pt>
                <c:pt idx="78">
                  <c:v>1799.6941468932903</c:v>
                </c:pt>
                <c:pt idx="79">
                  <c:v>1736.8231777998162</c:v>
                </c:pt>
                <c:pt idx="80">
                  <c:v>1673.9522087063433</c:v>
                </c:pt>
                <c:pt idx="81">
                  <c:v>1611.0812396128676</c:v>
                </c:pt>
                <c:pt idx="82">
                  <c:v>1548.2102705193956</c:v>
                </c:pt>
                <c:pt idx="83">
                  <c:v>1485.3393014259209</c:v>
                </c:pt>
                <c:pt idx="84">
                  <c:v>1422.468332332448</c:v>
                </c:pt>
                <c:pt idx="85">
                  <c:v>1359.5973632389737</c:v>
                </c:pt>
                <c:pt idx="86">
                  <c:v>1296.7263941454983</c:v>
                </c:pt>
                <c:pt idx="87">
                  <c:v>1233.8554250520265</c:v>
                </c:pt>
                <c:pt idx="88">
                  <c:v>1170.9844559585513</c:v>
                </c:pt>
                <c:pt idx="89">
                  <c:v>1108.113486865077</c:v>
                </c:pt>
                <c:pt idx="90">
                  <c:v>1045.2425177716043</c:v>
                </c:pt>
                <c:pt idx="91">
                  <c:v>982.37154867812978</c:v>
                </c:pt>
                <c:pt idx="92">
                  <c:v>919.50057958465607</c:v>
                </c:pt>
                <c:pt idx="93">
                  <c:v>856.62961049118292</c:v>
                </c:pt>
                <c:pt idx="94">
                  <c:v>793.75864139770715</c:v>
                </c:pt>
                <c:pt idx="95">
                  <c:v>730.88767230423389</c:v>
                </c:pt>
                <c:pt idx="96">
                  <c:v>668.01670321076028</c:v>
                </c:pt>
                <c:pt idx="97">
                  <c:v>605.14573411728588</c:v>
                </c:pt>
                <c:pt idx="98">
                  <c:v>542.27476502381307</c:v>
                </c:pt>
                <c:pt idx="99">
                  <c:v>479.40379593033896</c:v>
                </c:pt>
                <c:pt idx="100">
                  <c:v>416.53282683686507</c:v>
                </c:pt>
              </c:numCache>
            </c:numRef>
          </c:xVal>
          <c:yVal>
            <c:numRef>
              <c:f>'G20 120L (impacts;velo)'!$O$2:$O$102</c:f>
              <c:numCache>
                <c:formatCode>0</c:formatCode>
                <c:ptCount val="101"/>
                <c:pt idx="0">
                  <c:v>97.087688831232569</c:v>
                </c:pt>
                <c:pt idx="1">
                  <c:v>97.214232167439448</c:v>
                </c:pt>
                <c:pt idx="2">
                  <c:v>97.342146558217522</c:v>
                </c:pt>
                <c:pt idx="3">
                  <c:v>97.471460177725959</c:v>
                </c:pt>
                <c:pt idx="4">
                  <c:v>97.60220205809803</c:v>
                </c:pt>
                <c:pt idx="5">
                  <c:v>97.734402124232474</c:v>
                </c:pt>
                <c:pt idx="6">
                  <c:v>97.868091230353102</c:v>
                </c:pt>
                <c:pt idx="7">
                  <c:v>98.003301198446138</c:v>
                </c:pt>
                <c:pt idx="8">
                  <c:v>98.140064858691744</c:v>
                </c:pt>
                <c:pt idx="9">
                  <c:v>98.278416092014268</c:v>
                </c:pt>
                <c:pt idx="10">
                  <c:v>98.418389874884753</c:v>
                </c:pt>
                <c:pt idx="11">
                  <c:v>98.560022326520837</c:v>
                </c:pt>
                <c:pt idx="12">
                  <c:v>98.703350758637384</c:v>
                </c:pt>
                <c:pt idx="13">
                  <c:v>98.848413727916025</c:v>
                </c:pt>
                <c:pt idx="14">
                  <c:v>98.995251091371003</c:v>
                </c:pt>
                <c:pt idx="15">
                  <c:v>99.143904064806321</c:v>
                </c:pt>
                <c:pt idx="16">
                  <c:v>99.294415284571457</c:v>
                </c:pt>
                <c:pt idx="17">
                  <c:v>99.446828872840399</c:v>
                </c:pt>
                <c:pt idx="18">
                  <c:v>99.601190506658071</c:v>
                </c:pt>
                <c:pt idx="19">
                  <c:v>99.75754749101543</c:v>
                </c:pt>
                <c:pt idx="20">
                  <c:v>99.915948836237632</c:v>
                </c:pt>
                <c:pt idx="21">
                  <c:v>100.07644533999395</c:v>
                </c:pt>
                <c:pt idx="22">
                  <c:v>100.23908967426115</c:v>
                </c:pt>
                <c:pt idx="23">
                  <c:v>100.40393647760443</c:v>
                </c:pt>
                <c:pt idx="24">
                  <c:v>100.5710424531664</c:v>
                </c:pt>
                <c:pt idx="25">
                  <c:v>100.74046647279258</c:v>
                </c:pt>
                <c:pt idx="26">
                  <c:v>100.91226968775929</c:v>
                </c:pt>
                <c:pt idx="27">
                  <c:v>101.08651564660687</c:v>
                </c:pt>
                <c:pt idx="28">
                  <c:v>101.26327042063363</c:v>
                </c:pt>
                <c:pt idx="29">
                  <c:v>101.44260273764974</c:v>
                </c:pt>
                <c:pt idx="30">
                  <c:v>101.6245841246526</c:v>
                </c:pt>
                <c:pt idx="31">
                  <c:v>101.8092890601399</c:v>
                </c:pt>
                <c:pt idx="32">
                  <c:v>101.99679513685243</c:v>
                </c:pt>
                <c:pt idx="33">
                  <c:v>102.18718323580761</c:v>
                </c:pt>
                <c:pt idx="34">
                  <c:v>102.38053771257538</c:v>
                </c:pt>
                <c:pt idx="35">
                  <c:v>102.57694659683841</c:v>
                </c:pt>
                <c:pt idx="36">
                  <c:v>102.77650180638308</c:v>
                </c:pt>
                <c:pt idx="37">
                  <c:v>102.97929937678816</c:v>
                </c:pt>
                <c:pt idx="38">
                  <c:v>103.18543970820427</c:v>
                </c:pt>
                <c:pt idx="39">
                  <c:v>103.39502783076777</c:v>
                </c:pt>
                <c:pt idx="40">
                  <c:v>103.60817369035372</c:v>
                </c:pt>
                <c:pt idx="41">
                  <c:v>103.82499245655877</c:v>
                </c:pt>
                <c:pt idx="42">
                  <c:v>104.04560485501085</c:v>
                </c:pt>
                <c:pt idx="43">
                  <c:v>104.27013752633862</c:v>
                </c:pt>
                <c:pt idx="44">
                  <c:v>104.49872341439455</c:v>
                </c:pt>
                <c:pt idx="45">
                  <c:v>104.73150218662704</c:v>
                </c:pt>
                <c:pt idx="46">
                  <c:v>104.96862068983222</c:v>
                </c:pt>
                <c:pt idx="47">
                  <c:v>105.21023344490415</c:v>
                </c:pt>
                <c:pt idx="48">
                  <c:v>105.45650318463655</c:v>
                </c:pt>
                <c:pt idx="49">
                  <c:v>105.70760143912764</c:v>
                </c:pt>
                <c:pt idx="50">
                  <c:v>105.96370917391121</c:v>
                </c:pt>
                <c:pt idx="51">
                  <c:v>106.22501748658915</c:v>
                </c:pt>
                <c:pt idx="52">
                  <c:v>106.49172836848574</c:v>
                </c:pt>
                <c:pt idx="53">
                  <c:v>106.76405553871226</c:v>
                </c:pt>
                <c:pt idx="54">
                  <c:v>107.04222535901842</c:v>
                </c:pt>
                <c:pt idx="55">
                  <c:v>107.32647783895811</c:v>
                </c:pt>
                <c:pt idx="56">
                  <c:v>107.61706774223154</c:v>
                </c:pt>
                <c:pt idx="57">
                  <c:v>107.91426580661035</c:v>
                </c:pt>
                <c:pt idx="58">
                  <c:v>108.21836009166429</c:v>
                </c:pt>
                <c:pt idx="59">
                  <c:v>108.52965747061289</c:v>
                </c:pt>
                <c:pt idx="60">
                  <c:v>108.84848528511078</c:v>
                </c:pt>
                <c:pt idx="61">
                  <c:v>109.17519318468364</c:v>
                </c:pt>
                <c:pt idx="62">
                  <c:v>109.51015517597854</c:v>
                </c:pt>
                <c:pt idx="63">
                  <c:v>109.85377191106869</c:v>
                </c:pt>
                <c:pt idx="64">
                  <c:v>110.20647324890082</c:v>
                </c:pt>
                <c:pt idx="65">
                  <c:v>110.56872112976326</c:v>
                </c:pt>
                <c:pt idx="66">
                  <c:v>110.94101280958608</c:v>
                </c:pt>
                <c:pt idx="67">
                  <c:v>111.32388450923304</c:v>
                </c:pt>
                <c:pt idx="68">
                  <c:v>111.71791554402391</c:v>
                </c:pt>
                <c:pt idx="69">
                  <c:v>112.12373301097443</c:v>
                </c:pt>
                <c:pt idx="70">
                  <c:v>112.5420171261691</c:v>
                </c:pt>
                <c:pt idx="71">
                  <c:v>112.97350732298511</c:v>
                </c:pt>
                <c:pt idx="72">
                  <c:v>113.41900924444451</c:v>
                </c:pt>
                <c:pt idx="73">
                  <c:v>113.87940279091363</c:v>
                </c:pt>
                <c:pt idx="74">
                  <c:v>114.35565141920637</c:v>
                </c:pt>
                <c:pt idx="75">
                  <c:v>114.84881293282162</c:v>
                </c:pt>
                <c:pt idx="76">
                  <c:v>115.36005205818341</c:v>
                </c:pt>
                <c:pt idx="77">
                  <c:v>115.89065517181744</c:v>
                </c:pt>
                <c:pt idx="78">
                  <c:v>116.44204763311193</c:v>
                </c:pt>
                <c:pt idx="79">
                  <c:v>117.01581429305935</c:v>
                </c:pt>
                <c:pt idx="80">
                  <c:v>117.61372389996976</c:v>
                </c:pt>
                <c:pt idx="81">
                  <c:v>118.23775832082032</c:v>
                </c:pt>
                <c:pt idx="82">
                  <c:v>118.8901477588351</c:v>
                </c:pt>
                <c:pt idx="83">
                  <c:v>119.57341349852298</c:v>
                </c:pt>
                <c:pt idx="84">
                  <c:v>120.29042018392796</c:v>
                </c:pt>
                <c:pt idx="85">
                  <c:v>121.04444028566435</c:v>
                </c:pt>
                <c:pt idx="86">
                  <c:v>121.83923431360178</c:v>
                </c:pt>
                <c:pt idx="87">
                  <c:v>122.67915159957518</c:v>
                </c:pt>
                <c:pt idx="88">
                  <c:v>123.56925828413698</c:v>
                </c:pt>
                <c:pt idx="89">
                  <c:v>124.51550176800993</c:v>
                </c:pt>
                <c:pt idx="90">
                  <c:v>125.52492477114548</c:v>
                </c:pt>
                <c:pt idx="91">
                  <c:v>126.60594799636613</c:v>
                </c:pt>
                <c:pt idx="92">
                  <c:v>127.76874942028434</c:v>
                </c:pt>
                <c:pt idx="93">
                  <c:v>129.02578249937002</c:v>
                </c:pt>
                <c:pt idx="94">
                  <c:v>130.3924987628252</c:v>
                </c:pt>
                <c:pt idx="95">
                  <c:v>131.88837915171709</c:v>
                </c:pt>
                <c:pt idx="96">
                  <c:v>133.53844609213445</c:v>
                </c:pt>
                <c:pt idx="97">
                  <c:v>135.37555091076749</c:v>
                </c:pt>
                <c:pt idx="98">
                  <c:v>137.44396464837521</c:v>
                </c:pt>
                <c:pt idx="99">
                  <c:v>139.80527126397001</c:v>
                </c:pt>
                <c:pt idx="100">
                  <c:v>142.54858113635476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C2-46F4-B111-EC2F83278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</c:scatterChart>
      <c:valAx>
        <c:axId val="530717344"/>
        <c:scaling>
          <c:logBase val="10"/>
          <c:orientation val="minMax"/>
          <c:max val="10000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Specific impacts [-]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Impact velocity [ms</a:t>
                </a:r>
                <a:r>
                  <a:rPr lang="da-DK" baseline="30000"/>
                  <a:t>-1</a:t>
                </a:r>
                <a:r>
                  <a:rPr lang="da-DK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0.76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'G27 105L (impactsDNV;velo)'!$A$2:$A$52</c:f>
              <c:numCache>
                <c:formatCode>0.00E+00</c:formatCode>
                <c:ptCount val="51"/>
                <c:pt idx="0">
                  <c:v>134770285239.88643</c:v>
                </c:pt>
                <c:pt idx="1">
                  <c:v>148247313763.87506</c:v>
                </c:pt>
                <c:pt idx="2">
                  <c:v>148247313763.87506</c:v>
                </c:pt>
                <c:pt idx="3">
                  <c:v>168462856549.85803</c:v>
                </c:pt>
                <c:pt idx="4">
                  <c:v>175201370811.85236</c:v>
                </c:pt>
                <c:pt idx="5">
                  <c:v>121293256715.89778</c:v>
                </c:pt>
                <c:pt idx="6">
                  <c:v>128031770977.89211</c:v>
                </c:pt>
                <c:pt idx="7">
                  <c:v>168462856549.85803</c:v>
                </c:pt>
                <c:pt idx="8">
                  <c:v>16778900512.365856</c:v>
                </c:pt>
                <c:pt idx="9">
                  <c:v>20973625640.457321</c:v>
                </c:pt>
                <c:pt idx="10">
                  <c:v>29363075896.640247</c:v>
                </c:pt>
                <c:pt idx="11">
                  <c:v>41947251280.914642</c:v>
                </c:pt>
                <c:pt idx="12">
                  <c:v>46141976409.006104</c:v>
                </c:pt>
                <c:pt idx="13">
                  <c:v>67115602049.463425</c:v>
                </c:pt>
                <c:pt idx="14">
                  <c:v>75505052305.646362</c:v>
                </c:pt>
                <c:pt idx="15">
                  <c:v>79699777433.737823</c:v>
                </c:pt>
                <c:pt idx="16">
                  <c:v>83894502561.829285</c:v>
                </c:pt>
                <c:pt idx="17">
                  <c:v>12584175384.274391</c:v>
                </c:pt>
                <c:pt idx="18">
                  <c:v>16778900512.365856</c:v>
                </c:pt>
                <c:pt idx="19">
                  <c:v>20973625640.457321</c:v>
                </c:pt>
                <c:pt idx="20">
                  <c:v>41947251280.914642</c:v>
                </c:pt>
                <c:pt idx="21">
                  <c:v>46141976409.006104</c:v>
                </c:pt>
                <c:pt idx="22">
                  <c:v>50336701537.097565</c:v>
                </c:pt>
                <c:pt idx="23">
                  <c:v>62920876921.371964</c:v>
                </c:pt>
                <c:pt idx="24">
                  <c:v>83894502561.829285</c:v>
                </c:pt>
                <c:pt idx="25">
                  <c:v>16778900512.365856</c:v>
                </c:pt>
                <c:pt idx="26">
                  <c:v>25168350768.548782</c:v>
                </c:pt>
                <c:pt idx="27">
                  <c:v>29363075896.640247</c:v>
                </c:pt>
                <c:pt idx="28">
                  <c:v>41947251280.914642</c:v>
                </c:pt>
                <c:pt idx="29">
                  <c:v>62920876921.371964</c:v>
                </c:pt>
                <c:pt idx="30">
                  <c:v>79699777433.737823</c:v>
                </c:pt>
                <c:pt idx="31">
                  <c:v>2512202348.299758</c:v>
                </c:pt>
                <c:pt idx="32">
                  <c:v>5024404696.5995159</c:v>
                </c:pt>
                <c:pt idx="33">
                  <c:v>7536607044.8992739</c:v>
                </c:pt>
                <c:pt idx="34">
                  <c:v>10048809393.199032</c:v>
                </c:pt>
                <c:pt idx="35">
                  <c:v>12561011741.498789</c:v>
                </c:pt>
                <c:pt idx="36">
                  <c:v>15073214089.798548</c:v>
                </c:pt>
                <c:pt idx="37">
                  <c:v>17585416438.098301</c:v>
                </c:pt>
                <c:pt idx="38">
                  <c:v>22609821134.697815</c:v>
                </c:pt>
                <c:pt idx="39">
                  <c:v>2512202348.299758</c:v>
                </c:pt>
                <c:pt idx="40">
                  <c:v>5024404696.5995159</c:v>
                </c:pt>
                <c:pt idx="41">
                  <c:v>7536607044.8992739</c:v>
                </c:pt>
                <c:pt idx="42">
                  <c:v>10048809393.199032</c:v>
                </c:pt>
                <c:pt idx="43">
                  <c:v>15073214089.798548</c:v>
                </c:pt>
                <c:pt idx="44">
                  <c:v>25122023482.997578</c:v>
                </c:pt>
                <c:pt idx="45">
                  <c:v>5024404696.5995159</c:v>
                </c:pt>
                <c:pt idx="46">
                  <c:v>7536607044.8992739</c:v>
                </c:pt>
                <c:pt idx="47">
                  <c:v>10048809393.199032</c:v>
                </c:pt>
                <c:pt idx="48">
                  <c:v>15073214089.798548</c:v>
                </c:pt>
                <c:pt idx="49">
                  <c:v>20097618786.398064</c:v>
                </c:pt>
                <c:pt idx="50">
                  <c:v>22609821134.697815</c:v>
                </c:pt>
              </c:numCache>
            </c:numRef>
          </c:xVal>
          <c:yVal>
            <c:numRef>
              <c:f>'G27 105L (impactsDNV;velo)'!$B$2:$B$52</c:f>
              <c:numCache>
                <c:formatCode>#,##0.000</c:formatCode>
                <c:ptCount val="51"/>
                <c:pt idx="0">
                  <c:v>96.398686048416309</c:v>
                </c:pt>
                <c:pt idx="1">
                  <c:v>93.377574558440898</c:v>
                </c:pt>
                <c:pt idx="2">
                  <c:v>98.202523299837239</c:v>
                </c:pt>
                <c:pt idx="3">
                  <c:v>96.892645099435484</c:v>
                </c:pt>
                <c:pt idx="4">
                  <c:v>91.075244856474768</c:v>
                </c:pt>
                <c:pt idx="5">
                  <c:v>98.226747141076572</c:v>
                </c:pt>
                <c:pt idx="6">
                  <c:v>96.129287571603214</c:v>
                </c:pt>
                <c:pt idx="7">
                  <c:v>95.109421909382206</c:v>
                </c:pt>
                <c:pt idx="8">
                  <c:v>119.13563169228982</c:v>
                </c:pt>
                <c:pt idx="9">
                  <c:v>114.99363409754525</c:v>
                </c:pt>
                <c:pt idx="10">
                  <c:v>113.98806242714483</c:v>
                </c:pt>
                <c:pt idx="11">
                  <c:v>111.52201761640093</c:v>
                </c:pt>
                <c:pt idx="12">
                  <c:v>109.94183356291457</c:v>
                </c:pt>
                <c:pt idx="13">
                  <c:v>109.0080884403999</c:v>
                </c:pt>
                <c:pt idx="14">
                  <c:v>108.07434331788519</c:v>
                </c:pt>
                <c:pt idx="15">
                  <c:v>105.75195160291281</c:v>
                </c:pt>
                <c:pt idx="16">
                  <c:v>105.56041414188415</c:v>
                </c:pt>
                <c:pt idx="17">
                  <c:v>126.17252703498713</c:v>
                </c:pt>
                <c:pt idx="18">
                  <c:v>122.38570023480405</c:v>
                </c:pt>
                <c:pt idx="19">
                  <c:v>116.53768922634551</c:v>
                </c:pt>
                <c:pt idx="20">
                  <c:v>114.28476694963702</c:v>
                </c:pt>
                <c:pt idx="21">
                  <c:v>111.64836854649269</c:v>
                </c:pt>
                <c:pt idx="22">
                  <c:v>108.77229755650337</c:v>
                </c:pt>
                <c:pt idx="23">
                  <c:v>107.07062222328031</c:v>
                </c:pt>
                <c:pt idx="24">
                  <c:v>106.04003012696514</c:v>
                </c:pt>
                <c:pt idx="25">
                  <c:v>122.25432118368342</c:v>
                </c:pt>
                <c:pt idx="26">
                  <c:v>120.29311410924292</c:v>
                </c:pt>
                <c:pt idx="27">
                  <c:v>116.89687746813868</c:v>
                </c:pt>
                <c:pt idx="28">
                  <c:v>111.82643966592674</c:v>
                </c:pt>
                <c:pt idx="29">
                  <c:v>111.41984795537198</c:v>
                </c:pt>
                <c:pt idx="30">
                  <c:v>110.00873554815261</c:v>
                </c:pt>
                <c:pt idx="31">
                  <c:v>140.09555954729694</c:v>
                </c:pt>
                <c:pt idx="32">
                  <c:v>125.70535893441595</c:v>
                </c:pt>
                <c:pt idx="33">
                  <c:v>123.2687711812389</c:v>
                </c:pt>
                <c:pt idx="34">
                  <c:v>121.06150933424321</c:v>
                </c:pt>
                <c:pt idx="35">
                  <c:v>120.63152326015314</c:v>
                </c:pt>
                <c:pt idx="36">
                  <c:v>120.05820849469971</c:v>
                </c:pt>
                <c:pt idx="37">
                  <c:v>118.13760403043072</c:v>
                </c:pt>
                <c:pt idx="38">
                  <c:v>116.90497728470585</c:v>
                </c:pt>
                <c:pt idx="39">
                  <c:v>151.18427342926574</c:v>
                </c:pt>
                <c:pt idx="40">
                  <c:v>140.46954198969809</c:v>
                </c:pt>
                <c:pt idx="41">
                  <c:v>133.86260302177348</c:v>
                </c:pt>
                <c:pt idx="42">
                  <c:v>126.30771195903883</c:v>
                </c:pt>
                <c:pt idx="43">
                  <c:v>121.05088661287125</c:v>
                </c:pt>
                <c:pt idx="44">
                  <c:v>119.21243402712456</c:v>
                </c:pt>
                <c:pt idx="45">
                  <c:v>138.21626111911107</c:v>
                </c:pt>
                <c:pt idx="46">
                  <c:v>129.98058130777247</c:v>
                </c:pt>
                <c:pt idx="47">
                  <c:v>127.25448519557391</c:v>
                </c:pt>
                <c:pt idx="48">
                  <c:v>124.93012956898552</c:v>
                </c:pt>
                <c:pt idx="49">
                  <c:v>121.94577173299243</c:v>
                </c:pt>
                <c:pt idx="50">
                  <c:v>120.56837580196087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06-475B-B99A-1AB4F38EA37A}"/>
            </c:ext>
          </c:extLst>
        </c:ser>
        <c:ser>
          <c:idx val="5"/>
          <c:order val="1"/>
          <c:tx>
            <c:v>Fit 0.76 mm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'G27 105L (impactsDNV;velo)'!$N$2:$N$102</c:f>
              <c:numCache>
                <c:formatCode>0.000</c:formatCode>
                <c:ptCount val="101"/>
                <c:pt idx="0">
                  <c:v>175201370811.85229</c:v>
                </c:pt>
                <c:pt idx="1">
                  <c:v>173474479127.21735</c:v>
                </c:pt>
                <c:pt idx="2">
                  <c:v>171747587442.58179</c:v>
                </c:pt>
                <c:pt idx="3">
                  <c:v>170020695757.94635</c:v>
                </c:pt>
                <c:pt idx="4">
                  <c:v>168293804073.31088</c:v>
                </c:pt>
                <c:pt idx="5">
                  <c:v>166566912388.67511</c:v>
                </c:pt>
                <c:pt idx="6">
                  <c:v>164840020704.03937</c:v>
                </c:pt>
                <c:pt idx="7">
                  <c:v>163113129019.40356</c:v>
                </c:pt>
                <c:pt idx="8">
                  <c:v>161386237334.76877</c:v>
                </c:pt>
                <c:pt idx="9">
                  <c:v>159659345650.13315</c:v>
                </c:pt>
                <c:pt idx="10">
                  <c:v>157932453965.49744</c:v>
                </c:pt>
                <c:pt idx="11">
                  <c:v>156205562280.8616</c:v>
                </c:pt>
                <c:pt idx="12">
                  <c:v>154478670596.22659</c:v>
                </c:pt>
                <c:pt idx="13">
                  <c:v>152751778911.59088</c:v>
                </c:pt>
                <c:pt idx="14">
                  <c:v>151024887226.95514</c:v>
                </c:pt>
                <c:pt idx="15">
                  <c:v>149297995542.31961</c:v>
                </c:pt>
                <c:pt idx="16">
                  <c:v>147571103857.68439</c:v>
                </c:pt>
                <c:pt idx="17">
                  <c:v>145844212173.0488</c:v>
                </c:pt>
                <c:pt idx="18">
                  <c:v>144117320488.41299</c:v>
                </c:pt>
                <c:pt idx="19">
                  <c:v>142390428803.77774</c:v>
                </c:pt>
                <c:pt idx="20">
                  <c:v>140663537119.14206</c:v>
                </c:pt>
                <c:pt idx="21">
                  <c:v>138936645434.50671</c:v>
                </c:pt>
                <c:pt idx="22">
                  <c:v>137209753749.87106</c:v>
                </c:pt>
                <c:pt idx="23">
                  <c:v>135482862065.2357</c:v>
                </c:pt>
                <c:pt idx="24">
                  <c:v>133755970380.60014</c:v>
                </c:pt>
                <c:pt idx="25">
                  <c:v>132029078695.96454</c:v>
                </c:pt>
                <c:pt idx="26">
                  <c:v>130302187011.32869</c:v>
                </c:pt>
                <c:pt idx="27">
                  <c:v>128575295326.69328</c:v>
                </c:pt>
                <c:pt idx="28">
                  <c:v>126848403642.05811</c:v>
                </c:pt>
                <c:pt idx="29">
                  <c:v>125121511957.42249</c:v>
                </c:pt>
                <c:pt idx="30">
                  <c:v>123394620272.78706</c:v>
                </c:pt>
                <c:pt idx="31">
                  <c:v>121667728588.15132</c:v>
                </c:pt>
                <c:pt idx="32">
                  <c:v>119940836903.51579</c:v>
                </c:pt>
                <c:pt idx="33">
                  <c:v>118213945218.88004</c:v>
                </c:pt>
                <c:pt idx="34">
                  <c:v>116487053534.2449</c:v>
                </c:pt>
                <c:pt idx="35">
                  <c:v>114760161849.60899</c:v>
                </c:pt>
                <c:pt idx="36">
                  <c:v>113033270164.97372</c:v>
                </c:pt>
                <c:pt idx="37">
                  <c:v>111306378480.33832</c:v>
                </c:pt>
                <c:pt idx="38">
                  <c:v>109579486795.70238</c:v>
                </c:pt>
                <c:pt idx="39">
                  <c:v>107852595111.06685</c:v>
                </c:pt>
                <c:pt idx="40">
                  <c:v>106125703426.43127</c:v>
                </c:pt>
                <c:pt idx="41">
                  <c:v>104398811741.7959</c:v>
                </c:pt>
                <c:pt idx="42">
                  <c:v>102671920057.16043</c:v>
                </c:pt>
                <c:pt idx="43">
                  <c:v>100945028372.52495</c:v>
                </c:pt>
                <c:pt idx="44">
                  <c:v>99218136687.889435</c:v>
                </c:pt>
                <c:pt idx="45">
                  <c:v>97491245003.253876</c:v>
                </c:pt>
                <c:pt idx="46">
                  <c:v>95764353318.618408</c:v>
                </c:pt>
                <c:pt idx="47">
                  <c:v>94037461633.982697</c:v>
                </c:pt>
                <c:pt idx="48">
                  <c:v>92310569949.347382</c:v>
                </c:pt>
                <c:pt idx="49">
                  <c:v>90583678264.711868</c:v>
                </c:pt>
                <c:pt idx="50">
                  <c:v>88856786580.076294</c:v>
                </c:pt>
                <c:pt idx="51">
                  <c:v>87129894895.44075</c:v>
                </c:pt>
                <c:pt idx="52">
                  <c:v>85403003210.80513</c:v>
                </c:pt>
                <c:pt idx="53">
                  <c:v>83676111526.169617</c:v>
                </c:pt>
                <c:pt idx="54">
                  <c:v>81949219841.534241</c:v>
                </c:pt>
                <c:pt idx="55">
                  <c:v>80222328156.898529</c:v>
                </c:pt>
                <c:pt idx="56">
                  <c:v>78495436472.263153</c:v>
                </c:pt>
                <c:pt idx="57">
                  <c:v>76768544787.627411</c:v>
                </c:pt>
                <c:pt idx="58">
                  <c:v>75041653102.992065</c:v>
                </c:pt>
                <c:pt idx="59">
                  <c:v>73314761418.356277</c:v>
                </c:pt>
                <c:pt idx="60">
                  <c:v>71587869733.721008</c:v>
                </c:pt>
                <c:pt idx="61">
                  <c:v>69860978049.085312</c:v>
                </c:pt>
                <c:pt idx="62">
                  <c:v>68134086364.449661</c:v>
                </c:pt>
                <c:pt idx="63">
                  <c:v>66407194679.814224</c:v>
                </c:pt>
                <c:pt idx="64">
                  <c:v>64680302995.178879</c:v>
                </c:pt>
                <c:pt idx="65">
                  <c:v>62953411310.543442</c:v>
                </c:pt>
                <c:pt idx="66">
                  <c:v>61226519625.907677</c:v>
                </c:pt>
                <c:pt idx="67">
                  <c:v>59499627941.272408</c:v>
                </c:pt>
                <c:pt idx="68">
                  <c:v>57772736256.636627</c:v>
                </c:pt>
                <c:pt idx="69">
                  <c:v>56045844572.001205</c:v>
                </c:pt>
                <c:pt idx="70">
                  <c:v>54318952887.365585</c:v>
                </c:pt>
                <c:pt idx="71">
                  <c:v>52592061202.730034</c:v>
                </c:pt>
                <c:pt idx="72">
                  <c:v>50865169518.094528</c:v>
                </c:pt>
                <c:pt idx="73">
                  <c:v>49138277833.459129</c:v>
                </c:pt>
                <c:pt idx="74">
                  <c:v>47411386148.823479</c:v>
                </c:pt>
                <c:pt idx="75">
                  <c:v>45684494464.187965</c:v>
                </c:pt>
                <c:pt idx="76">
                  <c:v>43957602779.552589</c:v>
                </c:pt>
                <c:pt idx="77">
                  <c:v>42230711094.916939</c:v>
                </c:pt>
                <c:pt idx="78">
                  <c:v>40503819410.281525</c:v>
                </c:pt>
                <c:pt idx="79">
                  <c:v>38776927725.645813</c:v>
                </c:pt>
                <c:pt idx="80">
                  <c:v>37050036041.010391</c:v>
                </c:pt>
                <c:pt idx="81">
                  <c:v>35323144356.374825</c:v>
                </c:pt>
                <c:pt idx="82">
                  <c:v>33596252671.739349</c:v>
                </c:pt>
                <c:pt idx="83">
                  <c:v>31869360987.103779</c:v>
                </c:pt>
                <c:pt idx="84">
                  <c:v>30142469302.468231</c:v>
                </c:pt>
                <c:pt idx="85">
                  <c:v>28415577617.832703</c:v>
                </c:pt>
                <c:pt idx="86">
                  <c:v>26688685933.197128</c:v>
                </c:pt>
                <c:pt idx="87">
                  <c:v>24961794248.561642</c:v>
                </c:pt>
                <c:pt idx="88">
                  <c:v>23234902563.926151</c:v>
                </c:pt>
                <c:pt idx="89">
                  <c:v>21508010879.290581</c:v>
                </c:pt>
                <c:pt idx="90">
                  <c:v>19781119194.655083</c:v>
                </c:pt>
                <c:pt idx="91">
                  <c:v>18054227510.019547</c:v>
                </c:pt>
                <c:pt idx="92">
                  <c:v>16327335825.384008</c:v>
                </c:pt>
                <c:pt idx="93">
                  <c:v>14600444140.748463</c:v>
                </c:pt>
                <c:pt idx="94">
                  <c:v>12873552456.112953</c:v>
                </c:pt>
                <c:pt idx="95">
                  <c:v>11146660771.477396</c:v>
                </c:pt>
                <c:pt idx="96">
                  <c:v>9419769086.8418636</c:v>
                </c:pt>
                <c:pt idx="97">
                  <c:v>7692877402.2063637</c:v>
                </c:pt>
                <c:pt idx="98">
                  <c:v>5965985717.5708532</c:v>
                </c:pt>
                <c:pt idx="99">
                  <c:v>4239094032.9352994</c:v>
                </c:pt>
                <c:pt idx="100">
                  <c:v>2512202348.2997799</c:v>
                </c:pt>
              </c:numCache>
            </c:numRef>
          </c:xVal>
          <c:yVal>
            <c:numRef>
              <c:f>'G27 105L (impactsDNV;velo)'!$O$2:$O$102</c:f>
              <c:numCache>
                <c:formatCode>0</c:formatCode>
                <c:ptCount val="101"/>
                <c:pt idx="0">
                  <c:v>96.721121538081348</c:v>
                </c:pt>
                <c:pt idx="1">
                  <c:v>96.812390259444243</c:v>
                </c:pt>
                <c:pt idx="2">
                  <c:v>96.904659517053275</c:v>
                </c:pt>
                <c:pt idx="3">
                  <c:v>96.997950506455382</c:v>
                </c:pt>
                <c:pt idx="4">
                  <c:v>97.092285093290911</c:v>
                </c:pt>
                <c:pt idx="5">
                  <c:v>97.187685841611994</c:v>
                </c:pt>
                <c:pt idx="6">
                  <c:v>97.284176043706481</c:v>
                </c:pt>
                <c:pt idx="7">
                  <c:v>97.381779751521606</c:v>
                </c:pt>
                <c:pt idx="8">
                  <c:v>97.480521809794126</c:v>
                </c:pt>
                <c:pt idx="9">
                  <c:v>97.580427890996702</c:v>
                </c:pt>
                <c:pt idx="10">
                  <c:v>97.681524532222113</c:v>
                </c:pt>
                <c:pt idx="11">
                  <c:v>97.783839174134414</c:v>
                </c:pt>
                <c:pt idx="12">
                  <c:v>97.887400202128433</c:v>
                </c:pt>
                <c:pt idx="13">
                  <c:v>97.992236989847385</c:v>
                </c:pt>
                <c:pt idx="14">
                  <c:v>98.098379945223826</c:v>
                </c:pt>
                <c:pt idx="15">
                  <c:v>98.205860559219062</c:v>
                </c:pt>
                <c:pt idx="16">
                  <c:v>98.31471145745455</c:v>
                </c:pt>
                <c:pt idx="17">
                  <c:v>98.424966454941</c:v>
                </c:pt>
                <c:pt idx="18">
                  <c:v>98.536660614131776</c:v>
                </c:pt>
                <c:pt idx="19">
                  <c:v>98.64983030654362</c:v>
                </c:pt>
                <c:pt idx="20">
                  <c:v>98.764513278211695</c:v>
                </c:pt>
                <c:pt idx="21">
                  <c:v>98.880748719266165</c:v>
                </c:pt>
                <c:pt idx="22">
                  <c:v>98.998577337946116</c:v>
                </c:pt>
                <c:pt idx="23">
                  <c:v>99.118041439393153</c:v>
                </c:pt>
                <c:pt idx="24">
                  <c:v>99.23918500959789</c:v>
                </c:pt>
                <c:pt idx="25">
                  <c:v>99.362053804909493</c:v>
                </c:pt>
                <c:pt idx="26">
                  <c:v>99.486695447552876</c:v>
                </c:pt>
                <c:pt idx="27">
                  <c:v>99.613159527644228</c:v>
                </c:pt>
                <c:pt idx="28">
                  <c:v>99.741497712239976</c:v>
                </c:pt>
                <c:pt idx="29">
                  <c:v>99.87176386200764</c:v>
                </c:pt>
                <c:pt idx="30">
                  <c:v>100.00401415616354</c:v>
                </c:pt>
                <c:pt idx="31">
                  <c:v>100.1383072263902</c:v>
                </c:pt>
                <c:pt idx="32">
                  <c:v>100.27470430051532</c:v>
                </c:pt>
                <c:pt idx="33">
                  <c:v>100.41326935681411</c:v>
                </c:pt>
                <c:pt idx="34">
                  <c:v>100.55406928989274</c:v>
                </c:pt>
                <c:pt idx="35">
                  <c:v>100.69717408920388</c:v>
                </c:pt>
                <c:pt idx="36">
                  <c:v>100.84265703136522</c:v>
                </c:pt>
                <c:pt idx="37">
                  <c:v>100.99059488757656</c:v>
                </c:pt>
                <c:pt idx="38">
                  <c:v>101.14106814757572</c:v>
                </c:pt>
                <c:pt idx="39">
                  <c:v>101.29416126173589</c:v>
                </c:pt>
                <c:pt idx="40">
                  <c:v>101.44996290309106</c:v>
                </c:pt>
                <c:pt idx="41">
                  <c:v>101.60856625128352</c:v>
                </c:pt>
                <c:pt idx="42">
                  <c:v>101.77006930066541</c:v>
                </c:pt>
                <c:pt idx="43">
                  <c:v>101.93457519505213</c:v>
                </c:pt>
                <c:pt idx="44">
                  <c:v>102.10219259193539</c:v>
                </c:pt>
                <c:pt idx="45">
                  <c:v>102.27303605930965</c:v>
                </c:pt>
                <c:pt idx="46">
                  <c:v>102.44722650867052</c:v>
                </c:pt>
                <c:pt idx="47">
                  <c:v>102.62489166819896</c:v>
                </c:pt>
                <c:pt idx="48">
                  <c:v>102.80616660067733</c:v>
                </c:pt>
                <c:pt idx="49">
                  <c:v>102.99119427129064</c:v>
                </c:pt>
                <c:pt idx="50">
                  <c:v>103.18012617117384</c:v>
                </c:pt>
                <c:pt idx="51">
                  <c:v>103.37312300337742</c:v>
                </c:pt>
                <c:pt idx="52">
                  <c:v>103.5703554388794</c:v>
                </c:pt>
                <c:pt idx="53">
                  <c:v>103.77200495137478</c:v>
                </c:pt>
                <c:pt idx="54">
                  <c:v>103.97826474086543</c:v>
                </c:pt>
                <c:pt idx="55">
                  <c:v>104.18934075759471</c:v>
                </c:pt>
                <c:pt idx="56">
                  <c:v>104.40545283965068</c:v>
                </c:pt>
                <c:pt idx="57">
                  <c:v>104.62683597967238</c:v>
                </c:pt>
                <c:pt idx="58">
                  <c:v>104.85374173858214</c:v>
                </c:pt>
                <c:pt idx="59">
                  <c:v>105.08643982724159</c:v>
                </c:pt>
                <c:pt idx="60">
                  <c:v>105.32521988045505</c:v>
                </c:pt>
                <c:pt idx="61">
                  <c:v>105.57039345199478</c:v>
                </c:pt>
                <c:pt idx="62">
                  <c:v>105.82229626441175</c:v>
                </c:pt>
                <c:pt idx="63">
                  <c:v>106.08129075356538</c:v>
                </c:pt>
                <c:pt idx="64">
                  <c:v>106.34776895527041</c:v>
                </c:pt>
                <c:pt idx="65">
                  <c:v>106.62215579058881</c:v>
                </c:pt>
                <c:pt idx="66">
                  <c:v>106.90491281745796</c:v>
                </c:pt>
                <c:pt idx="67">
                  <c:v>107.19654253011902</c:v>
                </c:pt>
                <c:pt idx="68">
                  <c:v>107.49759330485894</c:v>
                </c:pt>
                <c:pt idx="69">
                  <c:v>107.80866511183555</c:v>
                </c:pt>
                <c:pt idx="70">
                  <c:v>108.13041613940011</c:v>
                </c:pt>
                <c:pt idx="71">
                  <c:v>108.46357051096331</c:v>
                </c:pt>
                <c:pt idx="72">
                  <c:v>108.80892731719217</c:v>
                </c:pt>
                <c:pt idx="73">
                  <c:v>109.16737124104428</c:v>
                </c:pt>
                <c:pt idx="74">
                  <c:v>109.53988512374445</c:v>
                </c:pt>
                <c:pt idx="75">
                  <c:v>109.92756491168048</c:v>
                </c:pt>
                <c:pt idx="76">
                  <c:v>110.33163754477664</c:v>
                </c:pt>
                <c:pt idx="77">
                  <c:v>110.75348250673611</c:v>
                </c:pt>
                <c:pt idx="78">
                  <c:v>111.19465797153806</c:v>
                </c:pt>
                <c:pt idx="79">
                  <c:v>111.65693277028473</c:v>
                </c:pt>
                <c:pt idx="80">
                  <c:v>112.14232579938873</c:v>
                </c:pt>
                <c:pt idx="81">
                  <c:v>112.65315504186339</c:v>
                </c:pt>
                <c:pt idx="82">
                  <c:v>113.19209914855529</c:v>
                </c:pt>
                <c:pt idx="83">
                  <c:v>113.76227563360736</c:v>
                </c:pt>
                <c:pt idx="84">
                  <c:v>114.36734134743466</c:v>
                </c:pt>
                <c:pt idx="85">
                  <c:v>115.01162327137307</c:v>
                </c:pt>
                <c:pt idx="86">
                  <c:v>115.70029127336244</c:v>
                </c:pt>
                <c:pt idx="87">
                  <c:v>116.4395900163931</c:v>
                </c:pt>
                <c:pt idx="88">
                  <c:v>117.2371560048494</c:v>
                </c:pt>
                <c:pt idx="89">
                  <c:v>118.10246008013389</c:v>
                </c:pt>
                <c:pt idx="90">
                  <c:v>119.04743977916795</c:v>
                </c:pt>
                <c:pt idx="91">
                  <c:v>120.08742803768753</c:v>
                </c:pt>
                <c:pt idx="92">
                  <c:v>121.2425613396767</c:v>
                </c:pt>
                <c:pt idx="93">
                  <c:v>122.53999710052076</c:v>
                </c:pt>
                <c:pt idx="94">
                  <c:v>124.01756807830188</c:v>
                </c:pt>
                <c:pt idx="95">
                  <c:v>125.73015224427245</c:v>
                </c:pt>
                <c:pt idx="96">
                  <c:v>127.76159003469455</c:v>
                </c:pt>
                <c:pt idx="97">
                  <c:v>130.24914122679903</c:v>
                </c:pt>
                <c:pt idx="98">
                  <c:v>133.44047032382352</c:v>
                </c:pt>
                <c:pt idx="99">
                  <c:v>137.85381418872288</c:v>
                </c:pt>
                <c:pt idx="100">
                  <c:v>144.89522407938932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06-475B-B99A-1AB4F38EA37A}"/>
            </c:ext>
          </c:extLst>
        </c:ser>
        <c:ser>
          <c:idx val="6"/>
          <c:order val="2"/>
          <c:tx>
            <c:v>1.90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'G30 85L (impactsDNV;velo)'!$A$2:$A$42</c:f>
              <c:numCache>
                <c:formatCode>0.00E+00</c:formatCode>
                <c:ptCount val="41"/>
                <c:pt idx="0">
                  <c:v>8404157059.0284328</c:v>
                </c:pt>
                <c:pt idx="1">
                  <c:v>1089914118.5927498</c:v>
                </c:pt>
                <c:pt idx="2">
                  <c:v>1743862589.7484002</c:v>
                </c:pt>
                <c:pt idx="3">
                  <c:v>1961845413.4669502</c:v>
                </c:pt>
                <c:pt idx="4">
                  <c:v>2615793884.6225996</c:v>
                </c:pt>
                <c:pt idx="5">
                  <c:v>2833776708.3411503</c:v>
                </c:pt>
                <c:pt idx="6">
                  <c:v>3051759532.0597</c:v>
                </c:pt>
                <c:pt idx="7">
                  <c:v>4141673650.6524501</c:v>
                </c:pt>
                <c:pt idx="8">
                  <c:v>871931294.87420011</c:v>
                </c:pt>
                <c:pt idx="9">
                  <c:v>1089914118.5927498</c:v>
                </c:pt>
                <c:pt idx="10">
                  <c:v>1743862589.7484002</c:v>
                </c:pt>
                <c:pt idx="11">
                  <c:v>2397811060.9040499</c:v>
                </c:pt>
                <c:pt idx="12">
                  <c:v>2615793884.6225996</c:v>
                </c:pt>
                <c:pt idx="13">
                  <c:v>4141673650.6524501</c:v>
                </c:pt>
                <c:pt idx="14">
                  <c:v>871931294.87420011</c:v>
                </c:pt>
                <c:pt idx="15">
                  <c:v>1089914118.5927498</c:v>
                </c:pt>
                <c:pt idx="16">
                  <c:v>1307896942.3112998</c:v>
                </c:pt>
                <c:pt idx="17">
                  <c:v>1743862589.7484002</c:v>
                </c:pt>
                <c:pt idx="18">
                  <c:v>2179828237.1854997</c:v>
                </c:pt>
                <c:pt idx="19">
                  <c:v>2397811060.9040499</c:v>
                </c:pt>
                <c:pt idx="20">
                  <c:v>2615793884.6225996</c:v>
                </c:pt>
                <c:pt idx="21">
                  <c:v>2833776708.3411503</c:v>
                </c:pt>
                <c:pt idx="22">
                  <c:v>3705708003.2153502</c:v>
                </c:pt>
                <c:pt idx="23">
                  <c:v>4141673650.6524501</c:v>
                </c:pt>
                <c:pt idx="24">
                  <c:v>261097900.29741973</c:v>
                </c:pt>
                <c:pt idx="25">
                  <c:v>391646850.44612962</c:v>
                </c:pt>
                <c:pt idx="26">
                  <c:v>522195800.59483945</c:v>
                </c:pt>
                <c:pt idx="27">
                  <c:v>783293700.89225924</c:v>
                </c:pt>
                <c:pt idx="28">
                  <c:v>1044391601.1896789</c:v>
                </c:pt>
                <c:pt idx="29">
                  <c:v>261097900.29741973</c:v>
                </c:pt>
                <c:pt idx="30">
                  <c:v>391646850.44612962</c:v>
                </c:pt>
                <c:pt idx="31">
                  <c:v>522195800.59483945</c:v>
                </c:pt>
                <c:pt idx="32">
                  <c:v>652744750.74354935</c:v>
                </c:pt>
                <c:pt idx="33">
                  <c:v>913842651.04096913</c:v>
                </c:pt>
                <c:pt idx="34">
                  <c:v>1044391601.1896789</c:v>
                </c:pt>
                <c:pt idx="35">
                  <c:v>130548950.14870986</c:v>
                </c:pt>
                <c:pt idx="36">
                  <c:v>261097900.29741973</c:v>
                </c:pt>
                <c:pt idx="37">
                  <c:v>391646850.44612962</c:v>
                </c:pt>
                <c:pt idx="38">
                  <c:v>522195800.59483945</c:v>
                </c:pt>
                <c:pt idx="39">
                  <c:v>783293700.89225924</c:v>
                </c:pt>
                <c:pt idx="40">
                  <c:v>1044391601.1896789</c:v>
                </c:pt>
              </c:numCache>
            </c:numRef>
          </c:xVal>
          <c:yVal>
            <c:numRef>
              <c:f>'G30 85L (impactsDNV;velo)'!$B$2:$B$42</c:f>
              <c:numCache>
                <c:formatCode>#,##0.000</c:formatCode>
                <c:ptCount val="41"/>
                <c:pt idx="0">
                  <c:v>100.92286507311093</c:v>
                </c:pt>
                <c:pt idx="1">
                  <c:v>117.92779020417348</c:v>
                </c:pt>
                <c:pt idx="2">
                  <c:v>117.59224858897701</c:v>
                </c:pt>
                <c:pt idx="3">
                  <c:v>115.98644228767971</c:v>
                </c:pt>
                <c:pt idx="4">
                  <c:v>113.70955275598949</c:v>
                </c:pt>
                <c:pt idx="5">
                  <c:v>110.78554725213468</c:v>
                </c:pt>
                <c:pt idx="6">
                  <c:v>110.45000563693822</c:v>
                </c:pt>
                <c:pt idx="7">
                  <c:v>107.11855674320198</c:v>
                </c:pt>
                <c:pt idx="8">
                  <c:v>123.83285370717226</c:v>
                </c:pt>
                <c:pt idx="9">
                  <c:v>121.48897208098484</c:v>
                </c:pt>
                <c:pt idx="10">
                  <c:v>115.31834494014291</c:v>
                </c:pt>
                <c:pt idx="11">
                  <c:v>111.80252250868433</c:v>
                </c:pt>
                <c:pt idx="12">
                  <c:v>106.66033323073361</c:v>
                </c:pt>
                <c:pt idx="13">
                  <c:v>107.66485392543608</c:v>
                </c:pt>
                <c:pt idx="14">
                  <c:v>126.05358399617073</c:v>
                </c:pt>
                <c:pt idx="15">
                  <c:v>122.3402146342103</c:v>
                </c:pt>
                <c:pt idx="16">
                  <c:v>121.42984020955707</c:v>
                </c:pt>
                <c:pt idx="17">
                  <c:v>120.2080219034444</c:v>
                </c:pt>
                <c:pt idx="18">
                  <c:v>119.65700580491604</c:v>
                </c:pt>
                <c:pt idx="19">
                  <c:v>119.15390415001005</c:v>
                </c:pt>
                <c:pt idx="20">
                  <c:v>117.02171141820115</c:v>
                </c:pt>
                <c:pt idx="21">
                  <c:v>115.46449200568877</c:v>
                </c:pt>
                <c:pt idx="22">
                  <c:v>114.19475925699673</c:v>
                </c:pt>
                <c:pt idx="23">
                  <c:v>113.21251317212499</c:v>
                </c:pt>
                <c:pt idx="24">
                  <c:v>142.93996264007947</c:v>
                </c:pt>
                <c:pt idx="25">
                  <c:v>134.83928095904344</c:v>
                </c:pt>
                <c:pt idx="26">
                  <c:v>129.61118143440314</c:v>
                </c:pt>
                <c:pt idx="27">
                  <c:v>123.86601712161163</c:v>
                </c:pt>
                <c:pt idx="28">
                  <c:v>116.62711008749434</c:v>
                </c:pt>
                <c:pt idx="29">
                  <c:v>146.77930375930265</c:v>
                </c:pt>
                <c:pt idx="30">
                  <c:v>138.46534309984125</c:v>
                </c:pt>
                <c:pt idx="31">
                  <c:v>136.13513267246216</c:v>
                </c:pt>
                <c:pt idx="32">
                  <c:v>127.64856384573423</c:v>
                </c:pt>
                <c:pt idx="33">
                  <c:v>125.692337807626</c:v>
                </c:pt>
                <c:pt idx="34">
                  <c:v>124.16763221579347</c:v>
                </c:pt>
                <c:pt idx="35">
                  <c:v>149.57811851645184</c:v>
                </c:pt>
                <c:pt idx="36">
                  <c:v>146.47767934153356</c:v>
                </c:pt>
                <c:pt idx="37">
                  <c:v>140.53517091794299</c:v>
                </c:pt>
                <c:pt idx="38">
                  <c:v>133.81755271061729</c:v>
                </c:pt>
                <c:pt idx="39">
                  <c:v>130.7171135332004</c:v>
                </c:pt>
                <c:pt idx="40">
                  <c:v>122.36315241384239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06-475B-B99A-1AB4F38EA37A}"/>
            </c:ext>
          </c:extLst>
        </c:ser>
        <c:ser>
          <c:idx val="7"/>
          <c:order val="3"/>
          <c:tx>
            <c:v>Fit 1.90 mm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'G30 85L (impactsDNV;velo)'!$N$2:$N$102</c:f>
              <c:numCache>
                <c:formatCode>0.000</c:formatCode>
                <c:ptCount val="101"/>
                <c:pt idx="0">
                  <c:v>8404157059.0284405</c:v>
                </c:pt>
                <c:pt idx="1">
                  <c:v>8321420977.9396591</c:v>
                </c:pt>
                <c:pt idx="2">
                  <c:v>8238684896.8508434</c:v>
                </c:pt>
                <c:pt idx="3">
                  <c:v>8155948815.7620525</c:v>
                </c:pt>
                <c:pt idx="4">
                  <c:v>8073212734.6732635</c:v>
                </c:pt>
                <c:pt idx="5">
                  <c:v>7990476653.5844641</c:v>
                </c:pt>
                <c:pt idx="6">
                  <c:v>7907740572.4956789</c:v>
                </c:pt>
                <c:pt idx="7">
                  <c:v>7825004491.406867</c:v>
                </c:pt>
                <c:pt idx="8">
                  <c:v>7742268410.3181038</c:v>
                </c:pt>
                <c:pt idx="9">
                  <c:v>7659532329.2292624</c:v>
                </c:pt>
                <c:pt idx="10">
                  <c:v>7576796248.140481</c:v>
                </c:pt>
                <c:pt idx="11">
                  <c:v>7494060167.0516834</c:v>
                </c:pt>
                <c:pt idx="12">
                  <c:v>7411324085.9628973</c:v>
                </c:pt>
                <c:pt idx="13">
                  <c:v>7328588004.8740997</c:v>
                </c:pt>
                <c:pt idx="14">
                  <c:v>7245851923.7852955</c:v>
                </c:pt>
                <c:pt idx="15">
                  <c:v>7163115842.6964922</c:v>
                </c:pt>
                <c:pt idx="16">
                  <c:v>7080379761.607686</c:v>
                </c:pt>
                <c:pt idx="17">
                  <c:v>6997643680.5188866</c:v>
                </c:pt>
                <c:pt idx="18">
                  <c:v>6914907599.4301214</c:v>
                </c:pt>
                <c:pt idx="19">
                  <c:v>6832171518.3412943</c:v>
                </c:pt>
                <c:pt idx="20">
                  <c:v>6749435437.2525091</c:v>
                </c:pt>
                <c:pt idx="21">
                  <c:v>6666699356.1637163</c:v>
                </c:pt>
                <c:pt idx="22">
                  <c:v>6583963275.0749111</c:v>
                </c:pt>
                <c:pt idx="23">
                  <c:v>6501227193.9861078</c:v>
                </c:pt>
                <c:pt idx="24">
                  <c:v>6418491112.8973198</c:v>
                </c:pt>
                <c:pt idx="25">
                  <c:v>6335755031.8085375</c:v>
                </c:pt>
                <c:pt idx="26">
                  <c:v>6253018950.7197056</c:v>
                </c:pt>
                <c:pt idx="27">
                  <c:v>6170282869.6309195</c:v>
                </c:pt>
                <c:pt idx="28">
                  <c:v>6087546788.5421257</c:v>
                </c:pt>
                <c:pt idx="29">
                  <c:v>6004810707.4533358</c:v>
                </c:pt>
                <c:pt idx="30">
                  <c:v>5922074626.3645163</c:v>
                </c:pt>
                <c:pt idx="31">
                  <c:v>5839338545.2757416</c:v>
                </c:pt>
                <c:pt idx="32">
                  <c:v>5756602464.1869192</c:v>
                </c:pt>
                <c:pt idx="33">
                  <c:v>5673866383.0981436</c:v>
                </c:pt>
                <c:pt idx="34">
                  <c:v>5591130302.0093498</c:v>
                </c:pt>
                <c:pt idx="35">
                  <c:v>5508394220.9205437</c:v>
                </c:pt>
                <c:pt idx="36">
                  <c:v>5425658139.8317366</c:v>
                </c:pt>
                <c:pt idx="37">
                  <c:v>5342922058.7429409</c:v>
                </c:pt>
                <c:pt idx="38">
                  <c:v>5260185977.6541481</c:v>
                </c:pt>
                <c:pt idx="39">
                  <c:v>5177449896.5653601</c:v>
                </c:pt>
                <c:pt idx="40">
                  <c:v>5094713815.4765511</c:v>
                </c:pt>
                <c:pt idx="41">
                  <c:v>5011977734.3877735</c:v>
                </c:pt>
                <c:pt idx="42">
                  <c:v>4929241653.2989721</c:v>
                </c:pt>
                <c:pt idx="43">
                  <c:v>4846505572.2101641</c:v>
                </c:pt>
                <c:pt idx="44">
                  <c:v>4763769491.1213818</c:v>
                </c:pt>
                <c:pt idx="45">
                  <c:v>4681033410.0325747</c:v>
                </c:pt>
                <c:pt idx="46">
                  <c:v>4598297328.9437819</c:v>
                </c:pt>
                <c:pt idx="47">
                  <c:v>4515561247.8549843</c:v>
                </c:pt>
                <c:pt idx="48">
                  <c:v>4432825166.76618</c:v>
                </c:pt>
                <c:pt idx="49">
                  <c:v>4350089085.6773748</c:v>
                </c:pt>
                <c:pt idx="50">
                  <c:v>4267353004.5885925</c:v>
                </c:pt>
                <c:pt idx="51">
                  <c:v>4184616923.4997888</c:v>
                </c:pt>
                <c:pt idx="52">
                  <c:v>4101880842.4109879</c:v>
                </c:pt>
                <c:pt idx="53">
                  <c:v>4019144761.3222041</c:v>
                </c:pt>
                <c:pt idx="54">
                  <c:v>3936408680.2333975</c:v>
                </c:pt>
                <c:pt idx="55">
                  <c:v>3853672599.1445913</c:v>
                </c:pt>
                <c:pt idx="56">
                  <c:v>3770936518.0557995</c:v>
                </c:pt>
                <c:pt idx="57">
                  <c:v>3688200436.9670029</c:v>
                </c:pt>
                <c:pt idx="58">
                  <c:v>3605464355.8782067</c:v>
                </c:pt>
                <c:pt idx="59">
                  <c:v>3522728274.7894106</c:v>
                </c:pt>
                <c:pt idx="60">
                  <c:v>3439992193.7006011</c:v>
                </c:pt>
                <c:pt idx="61">
                  <c:v>3357256112.6118135</c:v>
                </c:pt>
                <c:pt idx="62">
                  <c:v>3274520031.5230093</c:v>
                </c:pt>
                <c:pt idx="63">
                  <c:v>3191783950.4342237</c:v>
                </c:pt>
                <c:pt idx="64">
                  <c:v>3109047869.3454132</c:v>
                </c:pt>
                <c:pt idx="65">
                  <c:v>3026311788.2566166</c:v>
                </c:pt>
                <c:pt idx="66">
                  <c:v>2943575707.1678228</c:v>
                </c:pt>
                <c:pt idx="67">
                  <c:v>2860839626.0790238</c:v>
                </c:pt>
                <c:pt idx="68">
                  <c:v>2778103544.9902272</c:v>
                </c:pt>
                <c:pt idx="69">
                  <c:v>2695367463.9014273</c:v>
                </c:pt>
                <c:pt idx="70">
                  <c:v>2612631382.8126354</c:v>
                </c:pt>
                <c:pt idx="71">
                  <c:v>2529895301.723835</c:v>
                </c:pt>
                <c:pt idx="72">
                  <c:v>2447159220.6350374</c:v>
                </c:pt>
                <c:pt idx="73">
                  <c:v>2364423139.5462394</c:v>
                </c:pt>
                <c:pt idx="74">
                  <c:v>2281687058.4574428</c:v>
                </c:pt>
                <c:pt idx="75">
                  <c:v>2198950977.3686504</c:v>
                </c:pt>
                <c:pt idx="76">
                  <c:v>2116214896.27985</c:v>
                </c:pt>
                <c:pt idx="77">
                  <c:v>2033478815.1910567</c:v>
                </c:pt>
                <c:pt idx="78">
                  <c:v>1950742734.1022525</c:v>
                </c:pt>
                <c:pt idx="79">
                  <c:v>1868006653.0134628</c:v>
                </c:pt>
                <c:pt idx="80">
                  <c:v>1785270571.9246657</c:v>
                </c:pt>
                <c:pt idx="81">
                  <c:v>1702534490.8358624</c:v>
                </c:pt>
                <c:pt idx="82">
                  <c:v>1619798409.747061</c:v>
                </c:pt>
                <c:pt idx="83">
                  <c:v>1537062328.6582696</c:v>
                </c:pt>
                <c:pt idx="84">
                  <c:v>1454326247.569473</c:v>
                </c:pt>
                <c:pt idx="85">
                  <c:v>1371590166.4806705</c:v>
                </c:pt>
                <c:pt idx="86">
                  <c:v>1288854085.3918765</c:v>
                </c:pt>
                <c:pt idx="87">
                  <c:v>1206118004.3030787</c:v>
                </c:pt>
                <c:pt idx="88">
                  <c:v>1123381923.2142808</c:v>
                </c:pt>
                <c:pt idx="89">
                  <c:v>1040645842.1254835</c:v>
                </c:pt>
                <c:pt idx="90">
                  <c:v>957909761.03668416</c:v>
                </c:pt>
                <c:pt idx="91">
                  <c:v>875173679.94788766</c:v>
                </c:pt>
                <c:pt idx="92">
                  <c:v>792437598.85908866</c:v>
                </c:pt>
                <c:pt idx="93">
                  <c:v>709701517.77029347</c:v>
                </c:pt>
                <c:pt idx="94">
                  <c:v>626965436.68149495</c:v>
                </c:pt>
                <c:pt idx="95">
                  <c:v>544229355.59269702</c:v>
                </c:pt>
                <c:pt idx="96">
                  <c:v>461493274.50390035</c:v>
                </c:pt>
                <c:pt idx="97">
                  <c:v>378757193.41510338</c:v>
                </c:pt>
                <c:pt idx="98">
                  <c:v>296021112.32630491</c:v>
                </c:pt>
                <c:pt idx="99">
                  <c:v>213285031.23750836</c:v>
                </c:pt>
                <c:pt idx="100">
                  <c:v>130548950.14871049</c:v>
                </c:pt>
              </c:numCache>
            </c:numRef>
          </c:xVal>
          <c:yVal>
            <c:numRef>
              <c:f>'G30 85L (impactsDNV;velo)'!$O$2:$O$102</c:f>
              <c:numCache>
                <c:formatCode>0</c:formatCode>
                <c:ptCount val="101"/>
                <c:pt idx="0">
                  <c:v>101.13008200050822</c:v>
                </c:pt>
                <c:pt idx="1">
                  <c:v>101.22788850278366</c:v>
                </c:pt>
                <c:pt idx="2">
                  <c:v>101.32676833996504</c:v>
                </c:pt>
                <c:pt idx="3">
                  <c:v>101.42674424877771</c:v>
                </c:pt>
                <c:pt idx="4">
                  <c:v>101.52783968444776</c:v>
                </c:pt>
                <c:pt idx="5">
                  <c:v>101.63007885104744</c:v>
                </c:pt>
                <c:pt idx="6">
                  <c:v>101.73348673345014</c:v>
                </c:pt>
                <c:pt idx="7">
                  <c:v>101.83808913100046</c:v>
                </c:pt>
                <c:pt idx="8">
                  <c:v>101.9439126930104</c:v>
                </c:pt>
                <c:pt idx="9">
                  <c:v>102.0509849561993</c:v>
                </c:pt>
                <c:pt idx="10">
                  <c:v>102.15933438420879</c:v>
                </c:pt>
                <c:pt idx="11">
                  <c:v>102.26899040933027</c:v>
                </c:pt>
                <c:pt idx="12">
                  <c:v>102.37998347659597</c:v>
                </c:pt>
                <c:pt idx="13">
                  <c:v>102.49234509039354</c:v>
                </c:pt>
                <c:pt idx="14">
                  <c:v>102.60610786378105</c:v>
                </c:pt>
                <c:pt idx="15">
                  <c:v>102.72130557069121</c:v>
                </c:pt>
                <c:pt idx="16">
                  <c:v>102.83797320122775</c:v>
                </c:pt>
                <c:pt idx="17">
                  <c:v>102.95614702027844</c:v>
                </c:pt>
                <c:pt idx="18">
                  <c:v>103.07586462968384</c:v>
                </c:pt>
                <c:pt idx="19">
                  <c:v>103.19716503422276</c:v>
                </c:pt>
                <c:pt idx="20">
                  <c:v>103.32008871169924</c:v>
                </c:pt>
                <c:pt idx="21">
                  <c:v>103.444677687439</c:v>
                </c:pt>
                <c:pt idx="22">
                  <c:v>103.57097561353142</c:v>
                </c:pt>
                <c:pt idx="23">
                  <c:v>103.69902785318283</c:v>
                </c:pt>
                <c:pt idx="24">
                  <c:v>103.82888157058271</c:v>
                </c:pt>
                <c:pt idx="25">
                  <c:v>103.96058582671547</c:v>
                </c:pt>
                <c:pt idx="26">
                  <c:v>104.09419168159835</c:v>
                </c:pt>
                <c:pt idx="27">
                  <c:v>104.22975230346549</c:v>
                </c:pt>
                <c:pt idx="28">
                  <c:v>104.36732308547214</c:v>
                </c:pt>
                <c:pt idx="29">
                  <c:v>104.50696177054375</c:v>
                </c:pt>
                <c:pt idx="30">
                  <c:v>104.6487285850648</c:v>
                </c:pt>
                <c:pt idx="31">
                  <c:v>104.79268638216043</c:v>
                </c:pt>
                <c:pt idx="32">
                  <c:v>104.93890079541113</c:v>
                </c:pt>
                <c:pt idx="33">
                  <c:v>105.08744040391878</c:v>
                </c:pt>
                <c:pt idx="34">
                  <c:v>105.23837690974322</c:v>
                </c:pt>
                <c:pt idx="35">
                  <c:v>105.39178532883594</c:v>
                </c:pt>
                <c:pt idx="36">
                  <c:v>105.54774419671367</c:v>
                </c:pt>
                <c:pt idx="37">
                  <c:v>105.70633579025898</c:v>
                </c:pt>
                <c:pt idx="38">
                  <c:v>105.86764636718027</c:v>
                </c:pt>
                <c:pt idx="39">
                  <c:v>106.03176642484142</c:v>
                </c:pt>
                <c:pt idx="40">
                  <c:v>106.19879098036539</c:v>
                </c:pt>
                <c:pt idx="41">
                  <c:v>106.36881987413649</c:v>
                </c:pt>
                <c:pt idx="42">
                  <c:v>106.54195809908161</c:v>
                </c:pt>
                <c:pt idx="43">
                  <c:v>106.71831615838859</c:v>
                </c:pt>
                <c:pt idx="44">
                  <c:v>106.8980104546558</c:v>
                </c:pt>
                <c:pt idx="45">
                  <c:v>107.08116371383049</c:v>
                </c:pt>
                <c:pt idx="46">
                  <c:v>107.26790544772425</c:v>
                </c:pt>
                <c:pt idx="47">
                  <c:v>107.45837245937993</c:v>
                </c:pt>
                <c:pt idx="48">
                  <c:v>107.65270939612913</c:v>
                </c:pt>
                <c:pt idx="49">
                  <c:v>107.85106935582189</c:v>
                </c:pt>
                <c:pt idx="50">
                  <c:v>108.05361455246486</c:v>
                </c:pt>
                <c:pt idx="51">
                  <c:v>108.26051704836543</c:v>
                </c:pt>
                <c:pt idx="52">
                  <c:v>108.47195956089125</c:v>
                </c:pt>
                <c:pt idx="53">
                  <c:v>108.68813635312644</c:v>
                </c:pt>
                <c:pt idx="54">
                  <c:v>108.90925421907805</c:v>
                </c:pt>
                <c:pt idx="55">
                  <c:v>109.13553357569464</c:v>
                </c:pt>
                <c:pt idx="56">
                  <c:v>109.36720967585066</c:v>
                </c:pt>
                <c:pt idx="57">
                  <c:v>109.60453395868231</c:v>
                </c:pt>
                <c:pt idx="58">
                  <c:v>109.84777555629935</c:v>
                </c:pt>
                <c:pt idx="59">
                  <c:v>110.09722297904221</c:v>
                </c:pt>
                <c:pt idx="60">
                  <c:v>110.35318600519376</c:v>
                </c:pt>
                <c:pt idx="61">
                  <c:v>110.61599780554155</c:v>
                </c:pt>
                <c:pt idx="62">
                  <c:v>110.88601733857567</c:v>
                </c:pt>
                <c:pt idx="63">
                  <c:v>111.16363205861988</c:v>
                </c:pt>
                <c:pt idx="64">
                  <c:v>111.44926098709109</c:v>
                </c:pt>
                <c:pt idx="65">
                  <c:v>111.74335820670242</c:v>
                </c:pt>
                <c:pt idx="66">
                  <c:v>112.04641685022266</c:v>
                </c:pt>
                <c:pt idx="67">
                  <c:v>112.35897366991382</c:v>
                </c:pt>
                <c:pt idx="68">
                  <c:v>112.68161429174457</c:v>
                </c:pt>
                <c:pt idx="69">
                  <c:v>113.01497928085644</c:v>
                </c:pt>
                <c:pt idx="70">
                  <c:v>113.35977117280503</c:v>
                </c:pt>
                <c:pt idx="71">
                  <c:v>113.71676266045998</c:v>
                </c:pt>
                <c:pt idx="72">
                  <c:v>114.08680617136147</c:v>
                </c:pt>
                <c:pt idx="73">
                  <c:v>114.47084512777286</c:v>
                </c:pt>
                <c:pt idx="74">
                  <c:v>114.86992725572372</c:v>
                </c:pt>
                <c:pt idx="75">
                  <c:v>115.2852204055999</c:v>
                </c:pt>
                <c:pt idx="76">
                  <c:v>115.71803147306294</c:v>
                </c:pt>
                <c:pt idx="77">
                  <c:v>116.16982917619745</c:v>
                </c:pt>
                <c:pt idx="78">
                  <c:v>116.64227166826257</c:v>
                </c:pt>
                <c:pt idx="79">
                  <c:v>117.13724026758264</c:v>
                </c:pt>
                <c:pt idx="80">
                  <c:v>117.65688099946628</c:v>
                </c:pt>
                <c:pt idx="81">
                  <c:v>118.20365621777964</c:v>
                </c:pt>
                <c:pt idx="82">
                  <c:v>118.78040937842964</c:v>
                </c:pt>
                <c:pt idx="83">
                  <c:v>119.39044718458527</c:v>
                </c:pt>
                <c:pt idx="84">
                  <c:v>120.03764498735879</c:v>
                </c:pt>
                <c:pt idx="85">
                  <c:v>120.72658378232718</c:v>
                </c:pt>
                <c:pt idx="86">
                  <c:v>121.46273084268815</c:v>
                </c:pt>
                <c:pt idx="87">
                  <c:v>122.25268172888632</c:v>
                </c:pt>
                <c:pt idx="88">
                  <c:v>123.1044904122251</c:v>
                </c:pt>
                <c:pt idx="89">
                  <c:v>124.02812885738614</c:v>
                </c:pt>
                <c:pt idx="90">
                  <c:v>125.03614188533409</c:v>
                </c:pt>
                <c:pt idx="91">
                  <c:v>126.14460566192683</c:v>
                </c:pt>
                <c:pt idx="92">
                  <c:v>127.37457518854629</c:v>
                </c:pt>
                <c:pt idx="93">
                  <c:v>128.75435270442111</c:v>
                </c:pt>
                <c:pt idx="94">
                  <c:v>130.32320432501362</c:v>
                </c:pt>
                <c:pt idx="95">
                  <c:v>132.13779115623137</c:v>
                </c:pt>
                <c:pt idx="96">
                  <c:v>134.28408857555408</c:v>
                </c:pt>
                <c:pt idx="97">
                  <c:v>136.90154205155798</c:v>
                </c:pt>
                <c:pt idx="98">
                  <c:v>140.2383612285081</c:v>
                </c:pt>
                <c:pt idx="99">
                  <c:v>144.80273463376278</c:v>
                </c:pt>
                <c:pt idx="100">
                  <c:v>151.91716142810455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06-475B-B99A-1AB4F38EA37A}"/>
            </c:ext>
          </c:extLst>
        </c:ser>
        <c:ser>
          <c:idx val="0"/>
          <c:order val="4"/>
          <c:tx>
            <c:v>2.38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'G27 60L (impactsDNV;velo)'!$A$2:$A$44</c:f>
              <c:numCache>
                <c:formatCode>0.00E+00</c:formatCode>
                <c:ptCount val="43"/>
                <c:pt idx="0">
                  <c:v>3542117817.5462627</c:v>
                </c:pt>
                <c:pt idx="1">
                  <c:v>3060896420.076324</c:v>
                </c:pt>
                <c:pt idx="2">
                  <c:v>105661443.67408709</c:v>
                </c:pt>
                <c:pt idx="3">
                  <c:v>140881924.89878279</c:v>
                </c:pt>
                <c:pt idx="4">
                  <c:v>176102406.12347847</c:v>
                </c:pt>
                <c:pt idx="5">
                  <c:v>211322887.34817418</c:v>
                </c:pt>
                <c:pt idx="6">
                  <c:v>246543368.57286987</c:v>
                </c:pt>
                <c:pt idx="7">
                  <c:v>281763849.79756558</c:v>
                </c:pt>
                <c:pt idx="8">
                  <c:v>316984331.02226126</c:v>
                </c:pt>
                <c:pt idx="9">
                  <c:v>352204812.24695694</c:v>
                </c:pt>
                <c:pt idx="10">
                  <c:v>387425293.47165269</c:v>
                </c:pt>
                <c:pt idx="11">
                  <c:v>140881924.89878279</c:v>
                </c:pt>
                <c:pt idx="12">
                  <c:v>176102406.12347847</c:v>
                </c:pt>
                <c:pt idx="13">
                  <c:v>211322887.34817418</c:v>
                </c:pt>
                <c:pt idx="14">
                  <c:v>246543368.57286987</c:v>
                </c:pt>
                <c:pt idx="15">
                  <c:v>281763849.79756558</c:v>
                </c:pt>
                <c:pt idx="16">
                  <c:v>316984331.02226126</c:v>
                </c:pt>
                <c:pt idx="17">
                  <c:v>387425293.47165269</c:v>
                </c:pt>
                <c:pt idx="18">
                  <c:v>422645774.69634837</c:v>
                </c:pt>
                <c:pt idx="19">
                  <c:v>176102406.12347847</c:v>
                </c:pt>
                <c:pt idx="20">
                  <c:v>211322887.34817418</c:v>
                </c:pt>
                <c:pt idx="21">
                  <c:v>246543368.57286987</c:v>
                </c:pt>
                <c:pt idx="22">
                  <c:v>281763849.79756558</c:v>
                </c:pt>
                <c:pt idx="23">
                  <c:v>316984331.02226126</c:v>
                </c:pt>
                <c:pt idx="24">
                  <c:v>352204812.24695694</c:v>
                </c:pt>
                <c:pt idx="25">
                  <c:v>573388253.43339479</c:v>
                </c:pt>
                <c:pt idx="26">
                  <c:v>661601830.88468611</c:v>
                </c:pt>
                <c:pt idx="27">
                  <c:v>705708619.61033213</c:v>
                </c:pt>
                <c:pt idx="28">
                  <c:v>1014456140.6898522</c:v>
                </c:pt>
                <c:pt idx="29">
                  <c:v>485174675.98210317</c:v>
                </c:pt>
                <c:pt idx="30">
                  <c:v>529281464.70774895</c:v>
                </c:pt>
                <c:pt idx="31">
                  <c:v>573388253.43339479</c:v>
                </c:pt>
                <c:pt idx="32">
                  <c:v>617495042.15904045</c:v>
                </c:pt>
                <c:pt idx="33">
                  <c:v>661601830.88468611</c:v>
                </c:pt>
                <c:pt idx="34">
                  <c:v>882135774.51291502</c:v>
                </c:pt>
                <c:pt idx="35">
                  <c:v>1014456140.6898522</c:v>
                </c:pt>
                <c:pt idx="36">
                  <c:v>441067887.25645751</c:v>
                </c:pt>
                <c:pt idx="37">
                  <c:v>485174675.98210317</c:v>
                </c:pt>
                <c:pt idx="38">
                  <c:v>529281464.70774895</c:v>
                </c:pt>
                <c:pt idx="39">
                  <c:v>573388253.43339479</c:v>
                </c:pt>
                <c:pt idx="40">
                  <c:v>617495042.15904045</c:v>
                </c:pt>
                <c:pt idx="41">
                  <c:v>749815408.33597767</c:v>
                </c:pt>
                <c:pt idx="42">
                  <c:v>1014456140.6898522</c:v>
                </c:pt>
              </c:numCache>
            </c:numRef>
          </c:xVal>
          <c:yVal>
            <c:numRef>
              <c:f>'G27 60L (impactsDNV;velo)'!$B$2:$B$44</c:f>
              <c:numCache>
                <c:formatCode>#,##0.000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75B-B99A-1AB4F38EA37A}"/>
            </c:ext>
          </c:extLst>
        </c:ser>
        <c:ser>
          <c:idx val="1"/>
          <c:order val="5"/>
          <c:tx>
            <c:v>Fit 2.38 mm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'G27 60L (impactsDNV;velo)'!$N$2:$N$102</c:f>
              <c:numCache>
                <c:formatCode>0.000</c:formatCode>
                <c:ptCount val="101"/>
                <c:pt idx="0">
                  <c:v>3542117817.5462699</c:v>
                </c:pt>
                <c:pt idx="1">
                  <c:v>3507753253.8075647</c:v>
                </c:pt>
                <c:pt idx="2">
                  <c:v>3473388690.06884</c:v>
                </c:pt>
                <c:pt idx="3">
                  <c:v>3439024126.3301115</c:v>
                </c:pt>
                <c:pt idx="4">
                  <c:v>3404659562.5913954</c:v>
                </c:pt>
                <c:pt idx="5">
                  <c:v>3370294998.8526707</c:v>
                </c:pt>
                <c:pt idx="6">
                  <c:v>3335930435.1139498</c:v>
                </c:pt>
                <c:pt idx="7">
                  <c:v>3301565871.3752255</c:v>
                </c:pt>
                <c:pt idx="8">
                  <c:v>3267201307.6364961</c:v>
                </c:pt>
                <c:pt idx="9">
                  <c:v>3232836743.8977737</c:v>
                </c:pt>
                <c:pt idx="10">
                  <c:v>3198472180.1590538</c:v>
                </c:pt>
                <c:pt idx="11">
                  <c:v>3164107616.4203324</c:v>
                </c:pt>
                <c:pt idx="12">
                  <c:v>3129743052.6816144</c:v>
                </c:pt>
                <c:pt idx="13">
                  <c:v>3095378488.9428968</c:v>
                </c:pt>
                <c:pt idx="14">
                  <c:v>3061013925.2041717</c:v>
                </c:pt>
                <c:pt idx="15">
                  <c:v>3026649361.4654408</c:v>
                </c:pt>
                <c:pt idx="16">
                  <c:v>2992284797.7267156</c:v>
                </c:pt>
                <c:pt idx="17">
                  <c:v>2957920233.9880018</c:v>
                </c:pt>
                <c:pt idx="18">
                  <c:v>2923555670.2492785</c:v>
                </c:pt>
                <c:pt idx="19">
                  <c:v>2889191106.5105586</c:v>
                </c:pt>
                <c:pt idx="20">
                  <c:v>2854826542.7718415</c:v>
                </c:pt>
                <c:pt idx="21">
                  <c:v>2820461979.0331235</c:v>
                </c:pt>
                <c:pt idx="22">
                  <c:v>2786097415.2943945</c:v>
                </c:pt>
                <c:pt idx="23">
                  <c:v>2751732851.5556779</c:v>
                </c:pt>
                <c:pt idx="24">
                  <c:v>2717368287.8169565</c:v>
                </c:pt>
                <c:pt idx="25">
                  <c:v>2683003724.0782328</c:v>
                </c:pt>
                <c:pt idx="26">
                  <c:v>2648639160.3395114</c:v>
                </c:pt>
                <c:pt idx="27">
                  <c:v>2614274596.6007829</c:v>
                </c:pt>
                <c:pt idx="28">
                  <c:v>2579910032.8620672</c:v>
                </c:pt>
                <c:pt idx="29">
                  <c:v>2545545469.1233487</c:v>
                </c:pt>
                <c:pt idx="30">
                  <c:v>2511180905.3846216</c:v>
                </c:pt>
                <c:pt idx="31">
                  <c:v>2476816341.6458983</c:v>
                </c:pt>
                <c:pt idx="32">
                  <c:v>2442451777.9071727</c:v>
                </c:pt>
                <c:pt idx="33">
                  <c:v>2408087214.1684556</c:v>
                </c:pt>
                <c:pt idx="34">
                  <c:v>2373722650.4297352</c:v>
                </c:pt>
                <c:pt idx="35">
                  <c:v>2339358086.6910086</c:v>
                </c:pt>
                <c:pt idx="36">
                  <c:v>2304993522.952291</c:v>
                </c:pt>
                <c:pt idx="37">
                  <c:v>2270628959.2135673</c:v>
                </c:pt>
                <c:pt idx="38">
                  <c:v>2236264395.4748464</c:v>
                </c:pt>
                <c:pt idx="39">
                  <c:v>2201899831.7361245</c:v>
                </c:pt>
                <c:pt idx="40">
                  <c:v>2167535267.9974012</c:v>
                </c:pt>
                <c:pt idx="41">
                  <c:v>2133170704.2586782</c:v>
                </c:pt>
                <c:pt idx="42">
                  <c:v>2098806140.5199583</c:v>
                </c:pt>
                <c:pt idx="43">
                  <c:v>2064441576.7812359</c:v>
                </c:pt>
                <c:pt idx="44">
                  <c:v>2030077013.0425115</c:v>
                </c:pt>
                <c:pt idx="45">
                  <c:v>1995712449.3037841</c:v>
                </c:pt>
                <c:pt idx="46">
                  <c:v>1961347885.5650704</c:v>
                </c:pt>
                <c:pt idx="47">
                  <c:v>1926983321.8263533</c:v>
                </c:pt>
                <c:pt idx="48">
                  <c:v>1892618758.0876288</c:v>
                </c:pt>
                <c:pt idx="49">
                  <c:v>1858254194.3488975</c:v>
                </c:pt>
                <c:pt idx="50">
                  <c:v>1823889630.6101799</c:v>
                </c:pt>
                <c:pt idx="51">
                  <c:v>1789525066.8714585</c:v>
                </c:pt>
                <c:pt idx="52">
                  <c:v>1755160503.132741</c:v>
                </c:pt>
                <c:pt idx="53">
                  <c:v>1720795939.3940203</c:v>
                </c:pt>
                <c:pt idx="54">
                  <c:v>1686431375.6552958</c:v>
                </c:pt>
                <c:pt idx="55">
                  <c:v>1652066811.9165699</c:v>
                </c:pt>
                <c:pt idx="56">
                  <c:v>1617702248.177851</c:v>
                </c:pt>
                <c:pt idx="57">
                  <c:v>1583337684.4391291</c:v>
                </c:pt>
                <c:pt idx="58">
                  <c:v>1548973120.7004077</c:v>
                </c:pt>
                <c:pt idx="59">
                  <c:v>1514608556.9616828</c:v>
                </c:pt>
                <c:pt idx="60">
                  <c:v>1480243993.2229588</c:v>
                </c:pt>
                <c:pt idx="61">
                  <c:v>1445879429.4842374</c:v>
                </c:pt>
                <c:pt idx="62">
                  <c:v>1411514865.7455156</c:v>
                </c:pt>
                <c:pt idx="63">
                  <c:v>1377150302.0068021</c:v>
                </c:pt>
                <c:pt idx="64">
                  <c:v>1342785738.2680745</c:v>
                </c:pt>
                <c:pt idx="65">
                  <c:v>1308421174.5293522</c:v>
                </c:pt>
                <c:pt idx="66">
                  <c:v>1274056610.7906289</c:v>
                </c:pt>
                <c:pt idx="67">
                  <c:v>1239692047.0519085</c:v>
                </c:pt>
                <c:pt idx="68">
                  <c:v>1205327483.3131876</c:v>
                </c:pt>
                <c:pt idx="69">
                  <c:v>1170962919.5744667</c:v>
                </c:pt>
                <c:pt idx="70">
                  <c:v>1136598355.8357441</c:v>
                </c:pt>
                <c:pt idx="71">
                  <c:v>1102233792.0970244</c:v>
                </c:pt>
                <c:pt idx="72">
                  <c:v>1067869228.3582994</c:v>
                </c:pt>
                <c:pt idx="73">
                  <c:v>1033504664.6195766</c:v>
                </c:pt>
                <c:pt idx="74">
                  <c:v>999140100.88085806</c:v>
                </c:pt>
                <c:pt idx="75">
                  <c:v>964775537.14213336</c:v>
                </c:pt>
                <c:pt idx="76">
                  <c:v>930410973.40341306</c:v>
                </c:pt>
                <c:pt idx="77">
                  <c:v>896046409.66469169</c:v>
                </c:pt>
                <c:pt idx="78">
                  <c:v>861681845.92596829</c:v>
                </c:pt>
                <c:pt idx="79">
                  <c:v>827317282.18724895</c:v>
                </c:pt>
                <c:pt idx="80">
                  <c:v>792952718.4485234</c:v>
                </c:pt>
                <c:pt idx="81">
                  <c:v>758588154.70980608</c:v>
                </c:pt>
                <c:pt idx="82">
                  <c:v>724223590.97108138</c:v>
                </c:pt>
                <c:pt idx="83">
                  <c:v>689859027.23235881</c:v>
                </c:pt>
                <c:pt idx="84">
                  <c:v>655494463.4936378</c:v>
                </c:pt>
                <c:pt idx="85">
                  <c:v>621129899.75491393</c:v>
                </c:pt>
                <c:pt idx="86">
                  <c:v>586765336.01619339</c:v>
                </c:pt>
                <c:pt idx="87">
                  <c:v>552400772.2774713</c:v>
                </c:pt>
                <c:pt idx="88">
                  <c:v>518036208.53875023</c:v>
                </c:pt>
                <c:pt idx="89">
                  <c:v>483671644.80002958</c:v>
                </c:pt>
                <c:pt idx="90">
                  <c:v>449307081.06130582</c:v>
                </c:pt>
                <c:pt idx="91">
                  <c:v>414942517.32258517</c:v>
                </c:pt>
                <c:pt idx="92">
                  <c:v>380577953.58386189</c:v>
                </c:pt>
                <c:pt idx="93">
                  <c:v>346213389.84514058</c:v>
                </c:pt>
                <c:pt idx="94">
                  <c:v>311848826.10641807</c:v>
                </c:pt>
                <c:pt idx="95">
                  <c:v>277484262.36769646</c:v>
                </c:pt>
                <c:pt idx="96">
                  <c:v>243119698.62897554</c:v>
                </c:pt>
                <c:pt idx="97">
                  <c:v>208755134.89025301</c:v>
                </c:pt>
                <c:pt idx="98">
                  <c:v>174390571.15153131</c:v>
                </c:pt>
                <c:pt idx="99">
                  <c:v>140026007.41280854</c:v>
                </c:pt>
                <c:pt idx="100">
                  <c:v>105661443.67408726</c:v>
                </c:pt>
              </c:numCache>
            </c:numRef>
          </c:xVal>
          <c:yVal>
            <c:numRef>
              <c:f>'G27 60L (impactsDNV;velo)'!$O$2:$O$102</c:f>
              <c:numCache>
                <c:formatCode>0</c:formatCode>
                <c:ptCount val="101"/>
                <c:pt idx="0">
                  <c:v>94.749439849216373</c:v>
                </c:pt>
                <c:pt idx="1">
                  <c:v>94.868325258899759</c:v>
                </c:pt>
                <c:pt idx="2">
                  <c:v>94.98853249098822</c:v>
                </c:pt>
                <c:pt idx="3">
                  <c:v>95.110089539829147</c:v>
                </c:pt>
                <c:pt idx="4">
                  <c:v>95.233025279943163</c:v>
                </c:pt>
                <c:pt idx="5">
                  <c:v>95.35736950291323</c:v>
                </c:pt>
                <c:pt idx="6">
                  <c:v>95.483152956215278</c:v>
                </c:pt>
                <c:pt idx="7">
                  <c:v>95.610407384111866</c:v>
                </c:pt>
                <c:pt idx="8">
                  <c:v>95.739165570742202</c:v>
                </c:pt>
                <c:pt idx="9">
                  <c:v>95.8694613855494</c:v>
                </c:pt>
                <c:pt idx="10">
                  <c:v>96.001329831201772</c:v>
                </c:pt>
                <c:pt idx="11">
                  <c:v>96.13480709416784</c:v>
                </c:pt>
                <c:pt idx="12">
                  <c:v>96.269930598128369</c:v>
                </c:pt>
                <c:pt idx="13">
                  <c:v>96.406739060414097</c:v>
                </c:pt>
                <c:pt idx="14">
                  <c:v>96.545272551677115</c:v>
                </c:pt>
                <c:pt idx="15">
                  <c:v>96.685572559020414</c:v>
                </c:pt>
                <c:pt idx="16">
                  <c:v>96.827682052827598</c:v>
                </c:pt>
                <c:pt idx="17">
                  <c:v>96.971645557553856</c:v>
                </c:pt>
                <c:pt idx="18">
                  <c:v>97.117509226763872</c:v>
                </c:pt>
                <c:pt idx="19">
                  <c:v>97.265320922723475</c:v>
                </c:pt>
                <c:pt idx="20">
                  <c:v>97.415130300879454</c:v>
                </c:pt>
                <c:pt idx="21">
                  <c:v>97.566988899590783</c:v>
                </c:pt>
                <c:pt idx="22">
                  <c:v>97.720950235506024</c:v>
                </c:pt>
                <c:pt idx="23">
                  <c:v>97.877069905017038</c:v>
                </c:pt>
                <c:pt idx="24">
                  <c:v>98.035405692257129</c:v>
                </c:pt>
                <c:pt idx="25">
                  <c:v>98.196017684154057</c:v>
                </c:pt>
                <c:pt idx="26">
                  <c:v>98.358968393097044</c:v>
                </c:pt>
                <c:pt idx="27">
                  <c:v>98.524322887826628</c:v>
                </c:pt>
                <c:pt idx="28">
                  <c:v>98.692148933214696</c:v>
                </c:pt>
                <c:pt idx="29">
                  <c:v>98.86251713966746</c:v>
                </c:pt>
                <c:pt idx="30">
                  <c:v>99.03550112295197</c:v>
                </c:pt>
                <c:pt idx="31">
                  <c:v>99.211177675327733</c:v>
                </c:pt>
                <c:pt idx="32">
                  <c:v>99.389626948953605</c:v>
                </c:pt>
                <c:pt idx="33">
                  <c:v>99.570932652635662</c:v>
                </c:pt>
                <c:pt idx="34">
                  <c:v>99.755182263091939</c:v>
                </c:pt>
                <c:pt idx="35">
                  <c:v>99.942467252035527</c:v>
                </c:pt>
                <c:pt idx="36">
                  <c:v>100.13288333050831</c:v>
                </c:pt>
                <c:pt idx="37">
                  <c:v>100.32653071205874</c:v>
                </c:pt>
                <c:pt idx="38">
                  <c:v>100.52351439652408</c:v>
                </c:pt>
                <c:pt idx="39">
                  <c:v>100.72394447637623</c:v>
                </c:pt>
                <c:pt idx="40">
                  <c:v>100.92793646780872</c:v>
                </c:pt>
                <c:pt idx="41">
                  <c:v>101.13561166898926</c:v>
                </c:pt>
                <c:pt idx="42">
                  <c:v>101.34709754818817</c:v>
                </c:pt>
                <c:pt idx="43">
                  <c:v>101.56252816480408</c:v>
                </c:pt>
                <c:pt idx="44">
                  <c:v>101.78204462668121</c:v>
                </c:pt>
                <c:pt idx="45">
                  <c:v>102.00579558751416</c:v>
                </c:pt>
                <c:pt idx="46">
                  <c:v>102.23393778861758</c:v>
                </c:pt>
                <c:pt idx="47">
                  <c:v>102.46663664987018</c:v>
                </c:pt>
                <c:pt idx="48">
                  <c:v>102.7040669152633</c:v>
                </c:pt>
                <c:pt idx="49">
                  <c:v>102.94641335919549</c:v>
                </c:pt>
                <c:pt idx="50">
                  <c:v>103.19387156047041</c:v>
                </c:pt>
                <c:pt idx="51">
                  <c:v>103.44664875190271</c:v>
                </c:pt>
                <c:pt idx="52">
                  <c:v>103.70496475452569</c:v>
                </c:pt>
                <c:pt idx="53">
                  <c:v>103.96905300667426</c:v>
                </c:pt>
                <c:pt idx="54">
                  <c:v>104.2391616996818</c:v>
                </c:pt>
                <c:pt idx="55">
                  <c:v>104.5155550336696</c:v>
                </c:pt>
                <c:pt idx="56">
                  <c:v>104.79851460891946</c:v>
                </c:pt>
                <c:pt idx="57">
                  <c:v>105.08834097070068</c:v>
                </c:pt>
                <c:pt idx="58">
                  <c:v>105.38535532822189</c:v>
                </c:pt>
                <c:pt idx="59">
                  <c:v>105.689901471686</c:v>
                </c:pt>
                <c:pt idx="60">
                  <c:v>106.00234791536248</c:v>
                </c:pt>
                <c:pt idx="61">
                  <c:v>106.32309029926715</c:v>
                </c:pt>
                <c:pt idx="62">
                  <c:v>106.65255408764415</c:v>
                </c:pt>
                <c:pt idx="63">
                  <c:v>106.99119760916082</c:v>
                </c:pt>
                <c:pt idx="64">
                  <c:v>107.33951549184169</c:v>
                </c:pt>
                <c:pt idx="65">
                  <c:v>107.69804255557622</c:v>
                </c:pt>
                <c:pt idx="66">
                  <c:v>108.06735823698963</c:v>
                </c:pt>
                <c:pt idx="67">
                  <c:v>108.44809163607125</c:v>
                </c:pt>
                <c:pt idx="68">
                  <c:v>108.84092729190519</c:v>
                </c:pt>
                <c:pt idx="69">
                  <c:v>109.24661181703797</c:v>
                </c:pt>
                <c:pt idx="70">
                  <c:v>109.66596154758155</c:v>
                </c:pt>
                <c:pt idx="71">
                  <c:v>110.09987140061709</c:v>
                </c:pt>
                <c:pt idx="72">
                  <c:v>110.54932517382467</c:v>
                </c:pt>
                <c:pt idx="73">
                  <c:v>111.01540757718878</c:v>
                </c:pt>
                <c:pt idx="74">
                  <c:v>111.49931835668018</c:v>
                </c:pt>
                <c:pt idx="75">
                  <c:v>112.00238895987323</c:v>
                </c:pt>
                <c:pt idx="76">
                  <c:v>112.52610231012177</c:v>
                </c:pt>
                <c:pt idx="77">
                  <c:v>113.0721164084047</c:v>
                </c:pt>
                <c:pt idx="78">
                  <c:v>113.6422926830551</c:v>
                </c:pt>
                <c:pt idx="79">
                  <c:v>114.23873027545535</c:v>
                </c:pt>
                <c:pt idx="80">
                  <c:v>114.86380781035909</c:v>
                </c:pt>
                <c:pt idx="81">
                  <c:v>115.52023469042464</c:v>
                </c:pt>
                <c:pt idx="82">
                  <c:v>116.21111463122506</c:v>
                </c:pt>
                <c:pt idx="83">
                  <c:v>116.9400250981907</c:v>
                </c:pt>
                <c:pt idx="84">
                  <c:v>117.71111764654148</c:v>
                </c:pt>
                <c:pt idx="85">
                  <c:v>118.52924609402957</c:v>
                </c:pt>
                <c:pt idx="86">
                  <c:v>119.40013228208798</c:v>
                </c:pt>
                <c:pt idx="87">
                  <c:v>120.33058340069213</c:v>
                </c:pt>
                <c:pt idx="88">
                  <c:v>121.32878128834352</c:v>
                </c:pt>
                <c:pt idx="89">
                  <c:v>122.40467416916282</c:v>
                </c:pt>
                <c:pt idx="90">
                  <c:v>123.57051740392583</c:v>
                </c:pt>
                <c:pt idx="91">
                  <c:v>124.8416364516094</c:v>
                </c:pt>
                <c:pt idx="92">
                  <c:v>126.23753072806635</c:v>
                </c:pt>
                <c:pt idx="93">
                  <c:v>127.7835178771834</c:v>
                </c:pt>
                <c:pt idx="94">
                  <c:v>129.51326825200888</c:v>
                </c:pt>
                <c:pt idx="95">
                  <c:v>131.47287415547342</c:v>
                </c:pt>
                <c:pt idx="96">
                  <c:v>133.72771472346292</c:v>
                </c:pt>
                <c:pt idx="97">
                  <c:v>136.37477110570967</c:v>
                </c:pt>
                <c:pt idx="98">
                  <c:v>139.56652443435425</c:v>
                </c:pt>
                <c:pt idx="99">
                  <c:v>143.56243422302794</c:v>
                </c:pt>
                <c:pt idx="100">
                  <c:v>148.85736298167001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75B-B99A-1AB4F38EA37A}"/>
            </c:ext>
          </c:extLst>
        </c:ser>
        <c:ser>
          <c:idx val="2"/>
          <c:order val="6"/>
          <c:tx>
            <c:v>3.50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'G20 120L (impactsDNV;velo)'!$A$2:$A$32</c:f>
              <c:numCache>
                <c:formatCode>0.00E+00</c:formatCode>
                <c:ptCount val="31"/>
                <c:pt idx="0">
                  <c:v>64940334.711308509</c:v>
                </c:pt>
                <c:pt idx="1">
                  <c:v>108233891.18551418</c:v>
                </c:pt>
                <c:pt idx="2">
                  <c:v>129880669.42261702</c:v>
                </c:pt>
                <c:pt idx="3">
                  <c:v>43293556.47420568</c:v>
                </c:pt>
                <c:pt idx="4">
                  <c:v>64940334.711308509</c:v>
                </c:pt>
                <c:pt idx="5">
                  <c:v>86587112.94841136</c:v>
                </c:pt>
                <c:pt idx="6">
                  <c:v>129880669.42261702</c:v>
                </c:pt>
                <c:pt idx="7">
                  <c:v>43293556.47420568</c:v>
                </c:pt>
                <c:pt idx="8">
                  <c:v>64940334.711308509</c:v>
                </c:pt>
                <c:pt idx="9">
                  <c:v>86587112.94841136</c:v>
                </c:pt>
                <c:pt idx="10">
                  <c:v>129880669.42261702</c:v>
                </c:pt>
                <c:pt idx="11">
                  <c:v>162650226.41860005</c:v>
                </c:pt>
                <c:pt idx="12">
                  <c:v>189758597.48836675</c:v>
                </c:pt>
                <c:pt idx="13">
                  <c:v>216866968.55813342</c:v>
                </c:pt>
                <c:pt idx="14">
                  <c:v>243975339.62790009</c:v>
                </c:pt>
                <c:pt idx="15">
                  <c:v>298192081.76743346</c:v>
                </c:pt>
                <c:pt idx="16">
                  <c:v>325300452.83720011</c:v>
                </c:pt>
                <c:pt idx="17">
                  <c:v>108433484.27906671</c:v>
                </c:pt>
                <c:pt idx="18">
                  <c:v>135541855.34883338</c:v>
                </c:pt>
                <c:pt idx="19">
                  <c:v>162650226.41860005</c:v>
                </c:pt>
                <c:pt idx="20">
                  <c:v>189758597.48836675</c:v>
                </c:pt>
                <c:pt idx="21">
                  <c:v>243975339.62790009</c:v>
                </c:pt>
                <c:pt idx="22">
                  <c:v>271083710.69766676</c:v>
                </c:pt>
                <c:pt idx="23">
                  <c:v>298192081.76743346</c:v>
                </c:pt>
                <c:pt idx="24">
                  <c:v>135541855.34883338</c:v>
                </c:pt>
                <c:pt idx="25">
                  <c:v>162650226.41860005</c:v>
                </c:pt>
                <c:pt idx="26">
                  <c:v>216866968.55813342</c:v>
                </c:pt>
                <c:pt idx="27">
                  <c:v>243975339.62790009</c:v>
                </c:pt>
                <c:pt idx="28">
                  <c:v>271083710.69766676</c:v>
                </c:pt>
                <c:pt idx="29">
                  <c:v>696761344.76508725</c:v>
                </c:pt>
                <c:pt idx="30">
                  <c:v>580634453.97090602</c:v>
                </c:pt>
              </c:numCache>
            </c:numRef>
          </c:xVal>
          <c:yVal>
            <c:numRef>
              <c:f>'G20 120L (impactsDNV;velo)'!$B$2:$B$32</c:f>
              <c:numCache>
                <c:formatCode>#,##0.000</c:formatCode>
                <c:ptCount val="31"/>
                <c:pt idx="0">
                  <c:v>138.47528590532582</c:v>
                </c:pt>
                <c:pt idx="1">
                  <c:v>128.9393080514532</c:v>
                </c:pt>
                <c:pt idx="2">
                  <c:v>119.78359925310309</c:v>
                </c:pt>
                <c:pt idx="3">
                  <c:v>144.23390887684323</c:v>
                </c:pt>
                <c:pt idx="4">
                  <c:v>140.89783799974145</c:v>
                </c:pt>
                <c:pt idx="5">
                  <c:v>129.45570016687481</c:v>
                </c:pt>
                <c:pt idx="6">
                  <c:v>124.10042849573773</c:v>
                </c:pt>
                <c:pt idx="7">
                  <c:v>142.5189443282251</c:v>
                </c:pt>
                <c:pt idx="8">
                  <c:v>133.45670982827062</c:v>
                </c:pt>
                <c:pt idx="9">
                  <c:v>124.71603849452865</c:v>
                </c:pt>
                <c:pt idx="10">
                  <c:v>123.89751408438963</c:v>
                </c:pt>
                <c:pt idx="11">
                  <c:v>125.0881979570498</c:v>
                </c:pt>
                <c:pt idx="12">
                  <c:v>116.38083086759765</c:v>
                </c:pt>
                <c:pt idx="13">
                  <c:v>113.91740208566142</c:v>
                </c:pt>
                <c:pt idx="14">
                  <c:v>111.6490963684362</c:v>
                </c:pt>
                <c:pt idx="15">
                  <c:v>107.64907339062384</c:v>
                </c:pt>
                <c:pt idx="16">
                  <c:v>106.60028688260051</c:v>
                </c:pt>
                <c:pt idx="17">
                  <c:v>122.60037878831164</c:v>
                </c:pt>
                <c:pt idx="18">
                  <c:v>118.35645197110961</c:v>
                </c:pt>
                <c:pt idx="19">
                  <c:v>117.42961737884711</c:v>
                </c:pt>
                <c:pt idx="20">
                  <c:v>115.47838665829444</c:v>
                </c:pt>
                <c:pt idx="21">
                  <c:v>114.47838091401121</c:v>
                </c:pt>
                <c:pt idx="22">
                  <c:v>113.47837516972798</c:v>
                </c:pt>
                <c:pt idx="23">
                  <c:v>107.47834070402855</c:v>
                </c:pt>
                <c:pt idx="24">
                  <c:v>118.64312103662732</c:v>
                </c:pt>
                <c:pt idx="25">
                  <c:v>115.05547298976759</c:v>
                </c:pt>
                <c:pt idx="26">
                  <c:v>112.3464326278531</c:v>
                </c:pt>
                <c:pt idx="27">
                  <c:v>110.88208648627773</c:v>
                </c:pt>
                <c:pt idx="28">
                  <c:v>110.63802879601515</c:v>
                </c:pt>
                <c:pt idx="29">
                  <c:v>101.0765920893912</c:v>
                </c:pt>
                <c:pt idx="30">
                  <c:v>99.463772200994654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75B-B99A-1AB4F38EA37A}"/>
            </c:ext>
          </c:extLst>
        </c:ser>
        <c:ser>
          <c:idx val="3"/>
          <c:order val="7"/>
          <c:tx>
            <c:v>Fit 3.50 mm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'G20 120L (impactsDNV;velo)'!$N$2:$N$102</c:f>
              <c:numCache>
                <c:formatCode>0.000</c:formatCode>
                <c:ptCount val="101"/>
                <c:pt idx="0">
                  <c:v>696761344.76509118</c:v>
                </c:pt>
                <c:pt idx="1">
                  <c:v>690226666.88218105</c:v>
                </c:pt>
                <c:pt idx="2">
                  <c:v>683691988.99927187</c:v>
                </c:pt>
                <c:pt idx="3">
                  <c:v>677157311.11636221</c:v>
                </c:pt>
                <c:pt idx="4">
                  <c:v>670622633.2334553</c:v>
                </c:pt>
                <c:pt idx="5">
                  <c:v>664087955.35054648</c:v>
                </c:pt>
                <c:pt idx="6">
                  <c:v>657553277.46763873</c:v>
                </c:pt>
                <c:pt idx="7">
                  <c:v>651018599.58472729</c:v>
                </c:pt>
                <c:pt idx="8">
                  <c:v>644483921.70181775</c:v>
                </c:pt>
                <c:pt idx="9">
                  <c:v>637949243.81891096</c:v>
                </c:pt>
                <c:pt idx="10">
                  <c:v>631414565.93600023</c:v>
                </c:pt>
                <c:pt idx="11">
                  <c:v>624879888.05309212</c:v>
                </c:pt>
                <c:pt idx="12">
                  <c:v>618345210.17018378</c:v>
                </c:pt>
                <c:pt idx="13">
                  <c:v>611810532.28727734</c:v>
                </c:pt>
                <c:pt idx="14">
                  <c:v>605275854.40436625</c:v>
                </c:pt>
                <c:pt idx="15">
                  <c:v>598741176.52145731</c:v>
                </c:pt>
                <c:pt idx="16">
                  <c:v>592206498.63854921</c:v>
                </c:pt>
                <c:pt idx="17">
                  <c:v>585671820.755638</c:v>
                </c:pt>
                <c:pt idx="18">
                  <c:v>579137142.87273002</c:v>
                </c:pt>
                <c:pt idx="19">
                  <c:v>572602464.98982263</c:v>
                </c:pt>
                <c:pt idx="20">
                  <c:v>566067787.10691392</c:v>
                </c:pt>
                <c:pt idx="21">
                  <c:v>559533109.22400439</c:v>
                </c:pt>
                <c:pt idx="22">
                  <c:v>552998431.34109581</c:v>
                </c:pt>
                <c:pt idx="23">
                  <c:v>546463753.45818722</c:v>
                </c:pt>
                <c:pt idx="24">
                  <c:v>539929075.57527697</c:v>
                </c:pt>
                <c:pt idx="25">
                  <c:v>533394397.69236803</c:v>
                </c:pt>
                <c:pt idx="26">
                  <c:v>526859719.80945897</c:v>
                </c:pt>
                <c:pt idx="27">
                  <c:v>520325041.92655158</c:v>
                </c:pt>
                <c:pt idx="28">
                  <c:v>513790364.04364085</c:v>
                </c:pt>
                <c:pt idx="29">
                  <c:v>507255686.16073328</c:v>
                </c:pt>
                <c:pt idx="30">
                  <c:v>500721008.2778253</c:v>
                </c:pt>
                <c:pt idx="31">
                  <c:v>494186330.39491409</c:v>
                </c:pt>
                <c:pt idx="32">
                  <c:v>487651652.51200575</c:v>
                </c:pt>
                <c:pt idx="33">
                  <c:v>481116974.62909853</c:v>
                </c:pt>
                <c:pt idx="34">
                  <c:v>474582296.74618983</c:v>
                </c:pt>
                <c:pt idx="35">
                  <c:v>468047618.8632803</c:v>
                </c:pt>
                <c:pt idx="36">
                  <c:v>461512940.98037153</c:v>
                </c:pt>
                <c:pt idx="37">
                  <c:v>454978263.09746307</c:v>
                </c:pt>
                <c:pt idx="38">
                  <c:v>448443585.2145533</c:v>
                </c:pt>
                <c:pt idx="39">
                  <c:v>441908907.33164567</c:v>
                </c:pt>
                <c:pt idx="40">
                  <c:v>435374229.44873631</c:v>
                </c:pt>
                <c:pt idx="41">
                  <c:v>428839551.56582898</c:v>
                </c:pt>
                <c:pt idx="42">
                  <c:v>422304873.68291765</c:v>
                </c:pt>
                <c:pt idx="43">
                  <c:v>415770195.8000102</c:v>
                </c:pt>
                <c:pt idx="44">
                  <c:v>409235517.91710061</c:v>
                </c:pt>
                <c:pt idx="45">
                  <c:v>402700840.03419232</c:v>
                </c:pt>
                <c:pt idx="46">
                  <c:v>396166162.15128249</c:v>
                </c:pt>
                <c:pt idx="47">
                  <c:v>389631484.26837432</c:v>
                </c:pt>
                <c:pt idx="48">
                  <c:v>383096806.38546491</c:v>
                </c:pt>
                <c:pt idx="49">
                  <c:v>376562128.50255597</c:v>
                </c:pt>
                <c:pt idx="50">
                  <c:v>370027450.61964822</c:v>
                </c:pt>
                <c:pt idx="51">
                  <c:v>363492772.73673934</c:v>
                </c:pt>
                <c:pt idx="52">
                  <c:v>356958094.85383028</c:v>
                </c:pt>
                <c:pt idx="53">
                  <c:v>350423416.97092134</c:v>
                </c:pt>
                <c:pt idx="54">
                  <c:v>343888739.0880127</c:v>
                </c:pt>
                <c:pt idx="55">
                  <c:v>337354061.20510399</c:v>
                </c:pt>
                <c:pt idx="56">
                  <c:v>330819383.32219505</c:v>
                </c:pt>
                <c:pt idx="57">
                  <c:v>324284705.43928653</c:v>
                </c:pt>
                <c:pt idx="58">
                  <c:v>317750027.55637723</c:v>
                </c:pt>
                <c:pt idx="59">
                  <c:v>311215349.67346799</c:v>
                </c:pt>
                <c:pt idx="60">
                  <c:v>304680671.79055935</c:v>
                </c:pt>
                <c:pt idx="61">
                  <c:v>298145993.90765065</c:v>
                </c:pt>
                <c:pt idx="62">
                  <c:v>291611316.02474135</c:v>
                </c:pt>
                <c:pt idx="63">
                  <c:v>285076638.14183307</c:v>
                </c:pt>
                <c:pt idx="64">
                  <c:v>278541960.25892466</c:v>
                </c:pt>
                <c:pt idx="65">
                  <c:v>272007282.37601584</c:v>
                </c:pt>
                <c:pt idx="66">
                  <c:v>265472604.49310595</c:v>
                </c:pt>
                <c:pt idx="67">
                  <c:v>258937926.61019793</c:v>
                </c:pt>
                <c:pt idx="68">
                  <c:v>252403248.72728845</c:v>
                </c:pt>
                <c:pt idx="69">
                  <c:v>245868570.84438014</c:v>
                </c:pt>
                <c:pt idx="70">
                  <c:v>239333892.96147141</c:v>
                </c:pt>
                <c:pt idx="71">
                  <c:v>232799215.07856214</c:v>
                </c:pt>
                <c:pt idx="72">
                  <c:v>226264537.19565374</c:v>
                </c:pt>
                <c:pt idx="73">
                  <c:v>219729859.31274468</c:v>
                </c:pt>
                <c:pt idx="74">
                  <c:v>213195181.42983627</c:v>
                </c:pt>
                <c:pt idx="75">
                  <c:v>206660503.54692706</c:v>
                </c:pt>
                <c:pt idx="76">
                  <c:v>200125825.66401801</c:v>
                </c:pt>
                <c:pt idx="77">
                  <c:v>193591147.78110939</c:v>
                </c:pt>
                <c:pt idx="78">
                  <c:v>187056469.89820045</c:v>
                </c:pt>
                <c:pt idx="79">
                  <c:v>180521792.01529145</c:v>
                </c:pt>
                <c:pt idx="80">
                  <c:v>173987114.13238254</c:v>
                </c:pt>
                <c:pt idx="81">
                  <c:v>167452436.24947411</c:v>
                </c:pt>
                <c:pt idx="82">
                  <c:v>160917758.36656502</c:v>
                </c:pt>
                <c:pt idx="83">
                  <c:v>154383080.48365611</c:v>
                </c:pt>
                <c:pt idx="84">
                  <c:v>147848402.60074708</c:v>
                </c:pt>
                <c:pt idx="85">
                  <c:v>141313724.71783823</c:v>
                </c:pt>
                <c:pt idx="86">
                  <c:v>134779046.83492959</c:v>
                </c:pt>
                <c:pt idx="87">
                  <c:v>128244368.95202084</c:v>
                </c:pt>
                <c:pt idx="88">
                  <c:v>121709691.06911176</c:v>
                </c:pt>
                <c:pt idx="89">
                  <c:v>115175013.18620308</c:v>
                </c:pt>
                <c:pt idx="90">
                  <c:v>108640335.30329417</c:v>
                </c:pt>
                <c:pt idx="91">
                  <c:v>102105657.42038554</c:v>
                </c:pt>
                <c:pt idx="92">
                  <c:v>95570979.537476718</c:v>
                </c:pt>
                <c:pt idx="93">
                  <c:v>89036301.65456745</c:v>
                </c:pt>
                <c:pt idx="94">
                  <c:v>82501623.771658957</c:v>
                </c:pt>
                <c:pt idx="95">
                  <c:v>75966945.888749883</c:v>
                </c:pt>
                <c:pt idx="96">
                  <c:v>69432268.005841389</c:v>
                </c:pt>
                <c:pt idx="97">
                  <c:v>62897590.122932367</c:v>
                </c:pt>
                <c:pt idx="98">
                  <c:v>56362912.240023531</c:v>
                </c:pt>
                <c:pt idx="99">
                  <c:v>49828234.357114568</c:v>
                </c:pt>
                <c:pt idx="100">
                  <c:v>43293556.474205777</c:v>
                </c:pt>
              </c:numCache>
            </c:numRef>
          </c:xVal>
          <c:yVal>
            <c:numRef>
              <c:f>'G20 120L (impactsDNV;velo)'!$O$2:$O$102</c:f>
              <c:numCache>
                <c:formatCode>0</c:formatCode>
                <c:ptCount val="101"/>
                <c:pt idx="0">
                  <c:v>97.08768883127577</c:v>
                </c:pt>
                <c:pt idx="1">
                  <c:v>97.214232167482535</c:v>
                </c:pt>
                <c:pt idx="2">
                  <c:v>97.342146558260396</c:v>
                </c:pt>
                <c:pt idx="3">
                  <c:v>97.471460177768549</c:v>
                </c:pt>
                <c:pt idx="4">
                  <c:v>97.602202058140335</c:v>
                </c:pt>
                <c:pt idx="5">
                  <c:v>97.734402124274581</c:v>
                </c:pt>
                <c:pt idx="6">
                  <c:v>97.868091230394995</c:v>
                </c:pt>
                <c:pt idx="7">
                  <c:v>98.003301198487833</c:v>
                </c:pt>
                <c:pt idx="8">
                  <c:v>98.14006485873324</c:v>
                </c:pt>
                <c:pt idx="9">
                  <c:v>98.278416092055465</c:v>
                </c:pt>
                <c:pt idx="10">
                  <c:v>98.418389874925751</c:v>
                </c:pt>
                <c:pt idx="11">
                  <c:v>98.560022326561537</c:v>
                </c:pt>
                <c:pt idx="12">
                  <c:v>98.7033507586778</c:v>
                </c:pt>
                <c:pt idx="13">
                  <c:v>98.848413727956157</c:v>
                </c:pt>
                <c:pt idx="14">
                  <c:v>98.995251091410921</c:v>
                </c:pt>
                <c:pt idx="15">
                  <c:v>99.143904064845955</c:v>
                </c:pt>
                <c:pt idx="16">
                  <c:v>99.294415284610778</c:v>
                </c:pt>
                <c:pt idx="17">
                  <c:v>99.446828872879451</c:v>
                </c:pt>
                <c:pt idx="18">
                  <c:v>99.601190506696895</c:v>
                </c:pt>
                <c:pt idx="19">
                  <c:v>99.757547491053884</c:v>
                </c:pt>
                <c:pt idx="20">
                  <c:v>99.915948836275888</c:v>
                </c:pt>
                <c:pt idx="21">
                  <c:v>100.07644534003182</c:v>
                </c:pt>
                <c:pt idx="22">
                  <c:v>100.23908967429881</c:v>
                </c:pt>
                <c:pt idx="23">
                  <c:v>100.40393647764188</c:v>
                </c:pt>
                <c:pt idx="24">
                  <c:v>100.57104245320338</c:v>
                </c:pt>
                <c:pt idx="25">
                  <c:v>100.74046647282925</c:v>
                </c:pt>
                <c:pt idx="26">
                  <c:v>100.91226968779577</c:v>
                </c:pt>
                <c:pt idx="27">
                  <c:v>101.08651564664305</c:v>
                </c:pt>
                <c:pt idx="28">
                  <c:v>101.26327042066934</c:v>
                </c:pt>
                <c:pt idx="29">
                  <c:v>101.44260273768523</c:v>
                </c:pt>
                <c:pt idx="30">
                  <c:v>101.62458412468762</c:v>
                </c:pt>
                <c:pt idx="31">
                  <c:v>101.80928906017472</c:v>
                </c:pt>
                <c:pt idx="32">
                  <c:v>101.99679513688685</c:v>
                </c:pt>
                <c:pt idx="33">
                  <c:v>102.18718323584156</c:v>
                </c:pt>
                <c:pt idx="34">
                  <c:v>102.38053771260903</c:v>
                </c:pt>
                <c:pt idx="35">
                  <c:v>102.57694659687175</c:v>
                </c:pt>
                <c:pt idx="36">
                  <c:v>102.77650180641612</c:v>
                </c:pt>
                <c:pt idx="37">
                  <c:v>102.97929937682082</c:v>
                </c:pt>
                <c:pt idx="38">
                  <c:v>103.18543970823644</c:v>
                </c:pt>
                <c:pt idx="39">
                  <c:v>103.39502783079955</c:v>
                </c:pt>
                <c:pt idx="40">
                  <c:v>103.60817369038519</c:v>
                </c:pt>
                <c:pt idx="41">
                  <c:v>103.82499245658967</c:v>
                </c:pt>
                <c:pt idx="42">
                  <c:v>104.04560485504135</c:v>
                </c:pt>
                <c:pt idx="43">
                  <c:v>104.27013752636863</c:v>
                </c:pt>
                <c:pt idx="44">
                  <c:v>104.49872341442425</c:v>
                </c:pt>
                <c:pt idx="45">
                  <c:v>104.73150218665634</c:v>
                </c:pt>
                <c:pt idx="46">
                  <c:v>104.96862068986113</c:v>
                </c:pt>
                <c:pt idx="47">
                  <c:v>105.21023344493247</c:v>
                </c:pt>
                <c:pt idx="48">
                  <c:v>105.45650318466446</c:v>
                </c:pt>
                <c:pt idx="49">
                  <c:v>105.70760143915506</c:v>
                </c:pt>
                <c:pt idx="50">
                  <c:v>105.96370917393813</c:v>
                </c:pt>
                <c:pt idx="51">
                  <c:v>106.22501748661566</c:v>
                </c:pt>
                <c:pt idx="52">
                  <c:v>106.49172836851166</c:v>
                </c:pt>
                <c:pt idx="53">
                  <c:v>106.76405553873758</c:v>
                </c:pt>
                <c:pt idx="54">
                  <c:v>107.04222535904314</c:v>
                </c:pt>
                <c:pt idx="55">
                  <c:v>107.32647783898241</c:v>
                </c:pt>
                <c:pt idx="56">
                  <c:v>107.61706774225524</c:v>
                </c:pt>
                <c:pt idx="57">
                  <c:v>107.91426580663344</c:v>
                </c:pt>
                <c:pt idx="58">
                  <c:v>108.21836009168679</c:v>
                </c:pt>
                <c:pt idx="59">
                  <c:v>108.52965747063486</c:v>
                </c:pt>
                <c:pt idx="60">
                  <c:v>108.84848528513206</c:v>
                </c:pt>
                <c:pt idx="61">
                  <c:v>109.17519318470428</c:v>
                </c:pt>
                <c:pt idx="62">
                  <c:v>109.51015517599839</c:v>
                </c:pt>
                <c:pt idx="63">
                  <c:v>109.85377191108802</c:v>
                </c:pt>
                <c:pt idx="64">
                  <c:v>110.20647324891932</c:v>
                </c:pt>
                <c:pt idx="65">
                  <c:v>110.56872112978094</c:v>
                </c:pt>
                <c:pt idx="66">
                  <c:v>110.94101280960314</c:v>
                </c:pt>
                <c:pt idx="67">
                  <c:v>111.32388450924935</c:v>
                </c:pt>
                <c:pt idx="68">
                  <c:v>111.71791554403929</c:v>
                </c:pt>
                <c:pt idx="69">
                  <c:v>112.12373301098897</c:v>
                </c:pt>
                <c:pt idx="70">
                  <c:v>112.54201712618278</c:v>
                </c:pt>
                <c:pt idx="71">
                  <c:v>112.97350732299786</c:v>
                </c:pt>
                <c:pt idx="72">
                  <c:v>113.41900924445629</c:v>
                </c:pt>
                <c:pt idx="73">
                  <c:v>113.87940279092466</c:v>
                </c:pt>
                <c:pt idx="74">
                  <c:v>114.35565141921623</c:v>
                </c:pt>
                <c:pt idx="75">
                  <c:v>114.84881293283048</c:v>
                </c:pt>
                <c:pt idx="76">
                  <c:v>115.3600520581913</c:v>
                </c:pt>
                <c:pt idx="77">
                  <c:v>115.89065517182404</c:v>
                </c:pt>
                <c:pt idx="78">
                  <c:v>116.44204763311741</c:v>
                </c:pt>
                <c:pt idx="79">
                  <c:v>117.01581429306351</c:v>
                </c:pt>
                <c:pt idx="80">
                  <c:v>117.61372389997268</c:v>
                </c:pt>
                <c:pt idx="81">
                  <c:v>118.2377583208219</c:v>
                </c:pt>
                <c:pt idx="82">
                  <c:v>118.89014775883531</c:v>
                </c:pt>
                <c:pt idx="83">
                  <c:v>119.5734134985216</c:v>
                </c:pt>
                <c:pt idx="84">
                  <c:v>120.29042018392508</c:v>
                </c:pt>
                <c:pt idx="85">
                  <c:v>121.04444028565973</c:v>
                </c:pt>
                <c:pt idx="86">
                  <c:v>121.8392343135955</c:v>
                </c:pt>
                <c:pt idx="87">
                  <c:v>122.67915159956701</c:v>
                </c:pt>
                <c:pt idx="88">
                  <c:v>123.56925828412668</c:v>
                </c:pt>
                <c:pt idx="89">
                  <c:v>124.51550176799753</c:v>
                </c:pt>
                <c:pt idx="90">
                  <c:v>125.52492477113064</c:v>
                </c:pt>
                <c:pt idx="91">
                  <c:v>126.60594799634903</c:v>
                </c:pt>
                <c:pt idx="92">
                  <c:v>127.76874942026437</c:v>
                </c:pt>
                <c:pt idx="93">
                  <c:v>129.02578249934712</c:v>
                </c:pt>
                <c:pt idx="94">
                  <c:v>130.39249876279891</c:v>
                </c:pt>
                <c:pt idx="95">
                  <c:v>131.88837915168733</c:v>
                </c:pt>
                <c:pt idx="96">
                  <c:v>133.53844609210051</c:v>
                </c:pt>
                <c:pt idx="97">
                  <c:v>135.37555091072915</c:v>
                </c:pt>
                <c:pt idx="98">
                  <c:v>137.44396464833201</c:v>
                </c:pt>
                <c:pt idx="99">
                  <c:v>139.8052712639207</c:v>
                </c:pt>
                <c:pt idx="100">
                  <c:v>142.54858113629828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06-475B-B99A-1AB4F38EA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</c:scatterChart>
      <c:valAx>
        <c:axId val="530717344"/>
        <c:scaling>
          <c:logBase val="10"/>
          <c:orientation val="minMax"/>
          <c:min val="1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Specific impacts [m</a:t>
                </a:r>
                <a:r>
                  <a:rPr lang="da-DK" baseline="30000"/>
                  <a:t>-2</a:t>
                </a:r>
                <a:r>
                  <a:rPr lang="da-DK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Impact velocity [ms</a:t>
                </a:r>
                <a:r>
                  <a:rPr lang="da-DK" baseline="30000"/>
                  <a:t>-1</a:t>
                </a:r>
                <a:r>
                  <a:rPr lang="da-DK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aseline="0"/>
      </a:pPr>
      <a:endParaRPr lang="da-DK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0.76 mm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'G27 105L (m;velo)'!$A$2:$A$52</c:f>
              <c:numCache>
                <c:formatCode>0.00E+00</c:formatCode>
                <c:ptCount val="51"/>
                <c:pt idx="0">
                  <c:v>30.854470482189271</c:v>
                </c:pt>
                <c:pt idx="1">
                  <c:v>33.939917530408195</c:v>
                </c:pt>
                <c:pt idx="2">
                  <c:v>33.939917530408195</c:v>
                </c:pt>
                <c:pt idx="3">
                  <c:v>38.568088102736588</c:v>
                </c:pt>
                <c:pt idx="4">
                  <c:v>40.110811626846051</c:v>
                </c:pt>
                <c:pt idx="5">
                  <c:v>27.769023433970343</c:v>
                </c:pt>
                <c:pt idx="6">
                  <c:v>29.311746958079805</c:v>
                </c:pt>
                <c:pt idx="7">
                  <c:v>38.568088102736588</c:v>
                </c:pt>
                <c:pt idx="8">
                  <c:v>3.8413815750325635</c:v>
                </c:pt>
                <c:pt idx="9">
                  <c:v>4.8017269687907049</c:v>
                </c:pt>
                <c:pt idx="10">
                  <c:v>6.722417756306986</c:v>
                </c:pt>
                <c:pt idx="11">
                  <c:v>9.6034539375814099</c:v>
                </c:pt>
                <c:pt idx="12">
                  <c:v>10.563799331339549</c:v>
                </c:pt>
                <c:pt idx="13">
                  <c:v>15.365526300130254</c:v>
                </c:pt>
                <c:pt idx="14">
                  <c:v>17.286217087646538</c:v>
                </c:pt>
                <c:pt idx="15">
                  <c:v>18.246562481404677</c:v>
                </c:pt>
                <c:pt idx="16">
                  <c:v>19.20690787516282</c:v>
                </c:pt>
                <c:pt idx="17">
                  <c:v>2.8810361812744225</c:v>
                </c:pt>
                <c:pt idx="18">
                  <c:v>3.8413815750325635</c:v>
                </c:pt>
                <c:pt idx="19">
                  <c:v>4.8017269687907049</c:v>
                </c:pt>
                <c:pt idx="20">
                  <c:v>9.6034539375814099</c:v>
                </c:pt>
                <c:pt idx="21">
                  <c:v>10.563799331339549</c:v>
                </c:pt>
                <c:pt idx="22">
                  <c:v>11.52414472509769</c:v>
                </c:pt>
                <c:pt idx="23">
                  <c:v>14.405180906372113</c:v>
                </c:pt>
                <c:pt idx="24">
                  <c:v>19.20690787516282</c:v>
                </c:pt>
                <c:pt idx="25">
                  <c:v>3.8413815750325635</c:v>
                </c:pt>
                <c:pt idx="26">
                  <c:v>5.762072362548845</c:v>
                </c:pt>
                <c:pt idx="27">
                  <c:v>6.722417756306986</c:v>
                </c:pt>
                <c:pt idx="28">
                  <c:v>9.6034539375814099</c:v>
                </c:pt>
                <c:pt idx="29">
                  <c:v>14.405180906372113</c:v>
                </c:pt>
                <c:pt idx="30">
                  <c:v>18.246562481404677</c:v>
                </c:pt>
                <c:pt idx="31">
                  <c:v>0.57514661383205934</c:v>
                </c:pt>
                <c:pt idx="32">
                  <c:v>1.1502932276641187</c:v>
                </c:pt>
                <c:pt idx="33">
                  <c:v>1.725439841496178</c:v>
                </c:pt>
                <c:pt idx="34">
                  <c:v>2.3005864553282374</c:v>
                </c:pt>
                <c:pt idx="35">
                  <c:v>2.8757330691602965</c:v>
                </c:pt>
                <c:pt idx="36">
                  <c:v>3.450879682992356</c:v>
                </c:pt>
                <c:pt idx="37">
                  <c:v>4.0260262968244147</c:v>
                </c:pt>
                <c:pt idx="38">
                  <c:v>5.1763195244885329</c:v>
                </c:pt>
                <c:pt idx="39">
                  <c:v>0.57514661383205934</c:v>
                </c:pt>
                <c:pt idx="40">
                  <c:v>1.1502932276641187</c:v>
                </c:pt>
                <c:pt idx="41">
                  <c:v>1.725439841496178</c:v>
                </c:pt>
                <c:pt idx="42">
                  <c:v>2.3005864553282374</c:v>
                </c:pt>
                <c:pt idx="43">
                  <c:v>3.450879682992356</c:v>
                </c:pt>
                <c:pt idx="44">
                  <c:v>5.7514661383205929</c:v>
                </c:pt>
                <c:pt idx="45">
                  <c:v>1.1502932276641187</c:v>
                </c:pt>
                <c:pt idx="46">
                  <c:v>1.725439841496178</c:v>
                </c:pt>
                <c:pt idx="47">
                  <c:v>2.3005864553282374</c:v>
                </c:pt>
                <c:pt idx="48">
                  <c:v>3.450879682992356</c:v>
                </c:pt>
                <c:pt idx="49">
                  <c:v>4.6011729106564747</c:v>
                </c:pt>
                <c:pt idx="50">
                  <c:v>5.1763195244885329</c:v>
                </c:pt>
              </c:numCache>
            </c:numRef>
          </c:xVal>
          <c:yVal>
            <c:numRef>
              <c:f>'G27 105L (m;velo)'!$B$2:$B$52</c:f>
              <c:numCache>
                <c:formatCode>#,##0.000</c:formatCode>
                <c:ptCount val="51"/>
                <c:pt idx="0">
                  <c:v>96.398686048416309</c:v>
                </c:pt>
                <c:pt idx="1">
                  <c:v>93.377574558440898</c:v>
                </c:pt>
                <c:pt idx="2">
                  <c:v>98.202523299837239</c:v>
                </c:pt>
                <c:pt idx="3">
                  <c:v>96.892645099435484</c:v>
                </c:pt>
                <c:pt idx="4">
                  <c:v>91.075244856474768</c:v>
                </c:pt>
                <c:pt idx="5">
                  <c:v>98.226747141076572</c:v>
                </c:pt>
                <c:pt idx="6">
                  <c:v>96.129287571603214</c:v>
                </c:pt>
                <c:pt idx="7">
                  <c:v>95.109421909382206</c:v>
                </c:pt>
                <c:pt idx="8">
                  <c:v>119.13563169228982</c:v>
                </c:pt>
                <c:pt idx="9">
                  <c:v>114.99363409754525</c:v>
                </c:pt>
                <c:pt idx="10">
                  <c:v>113.98806242714483</c:v>
                </c:pt>
                <c:pt idx="11">
                  <c:v>111.52201761640093</c:v>
                </c:pt>
                <c:pt idx="12">
                  <c:v>109.94183356291457</c:v>
                </c:pt>
                <c:pt idx="13">
                  <c:v>109.0080884403999</c:v>
                </c:pt>
                <c:pt idx="14">
                  <c:v>108.07434331788519</c:v>
                </c:pt>
                <c:pt idx="15">
                  <c:v>105.75195160291281</c:v>
                </c:pt>
                <c:pt idx="16">
                  <c:v>105.56041414188415</c:v>
                </c:pt>
                <c:pt idx="17">
                  <c:v>126.17252703498713</c:v>
                </c:pt>
                <c:pt idx="18">
                  <c:v>122.38570023480405</c:v>
                </c:pt>
                <c:pt idx="19">
                  <c:v>116.53768922634551</c:v>
                </c:pt>
                <c:pt idx="20">
                  <c:v>114.28476694963702</c:v>
                </c:pt>
                <c:pt idx="21">
                  <c:v>111.64836854649269</c:v>
                </c:pt>
                <c:pt idx="22">
                  <c:v>108.77229755650337</c:v>
                </c:pt>
                <c:pt idx="23">
                  <c:v>107.07062222328031</c:v>
                </c:pt>
                <c:pt idx="24">
                  <c:v>106.04003012696514</c:v>
                </c:pt>
                <c:pt idx="25">
                  <c:v>122.25432118368342</c:v>
                </c:pt>
                <c:pt idx="26">
                  <c:v>120.29311410924292</c:v>
                </c:pt>
                <c:pt idx="27">
                  <c:v>116.89687746813868</c:v>
                </c:pt>
                <c:pt idx="28">
                  <c:v>111.82643966592674</c:v>
                </c:pt>
                <c:pt idx="29">
                  <c:v>111.41984795537198</c:v>
                </c:pt>
                <c:pt idx="30">
                  <c:v>110.00873554815261</c:v>
                </c:pt>
                <c:pt idx="31">
                  <c:v>140.09555954729694</c:v>
                </c:pt>
                <c:pt idx="32">
                  <c:v>125.70535893441595</c:v>
                </c:pt>
                <c:pt idx="33">
                  <c:v>123.2687711812389</c:v>
                </c:pt>
                <c:pt idx="34">
                  <c:v>121.06150933424321</c:v>
                </c:pt>
                <c:pt idx="35">
                  <c:v>120.63152326015314</c:v>
                </c:pt>
                <c:pt idx="36">
                  <c:v>120.05820849469971</c:v>
                </c:pt>
                <c:pt idx="37">
                  <c:v>118.13760403043072</c:v>
                </c:pt>
                <c:pt idx="38">
                  <c:v>116.90497728470585</c:v>
                </c:pt>
                <c:pt idx="39">
                  <c:v>151.18427342926574</c:v>
                </c:pt>
                <c:pt idx="40">
                  <c:v>140.46954198969809</c:v>
                </c:pt>
                <c:pt idx="41">
                  <c:v>133.86260302177348</c:v>
                </c:pt>
                <c:pt idx="42">
                  <c:v>126.30771195903883</c:v>
                </c:pt>
                <c:pt idx="43">
                  <c:v>121.05088661287125</c:v>
                </c:pt>
                <c:pt idx="44">
                  <c:v>119.21243402712456</c:v>
                </c:pt>
                <c:pt idx="45">
                  <c:v>138.21626111911107</c:v>
                </c:pt>
                <c:pt idx="46">
                  <c:v>129.98058130777247</c:v>
                </c:pt>
                <c:pt idx="47">
                  <c:v>127.25448519557391</c:v>
                </c:pt>
                <c:pt idx="48">
                  <c:v>124.93012956898552</c:v>
                </c:pt>
                <c:pt idx="49">
                  <c:v>121.94577173299243</c:v>
                </c:pt>
                <c:pt idx="50">
                  <c:v>120.56837580196087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B0-4937-908F-6092CB2E5752}"/>
            </c:ext>
          </c:extLst>
        </c:ser>
        <c:ser>
          <c:idx val="5"/>
          <c:order val="1"/>
          <c:tx>
            <c:v>Fit 0.76 mm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'G27 105L (m;velo)'!$N$2:$N$102</c:f>
              <c:numCache>
                <c:formatCode>0.000</c:formatCode>
                <c:ptCount val="101"/>
                <c:pt idx="0">
                  <c:v>40.110811626846086</c:v>
                </c:pt>
                <c:pt idx="1">
                  <c:v>39.715454976715939</c:v>
                </c:pt>
                <c:pt idx="2">
                  <c:v>39.3200983265858</c:v>
                </c:pt>
                <c:pt idx="3">
                  <c:v>38.924741676455668</c:v>
                </c:pt>
                <c:pt idx="4">
                  <c:v>38.529385026325507</c:v>
                </c:pt>
                <c:pt idx="5">
                  <c:v>38.134028376195381</c:v>
                </c:pt>
                <c:pt idx="6">
                  <c:v>37.738671726065242</c:v>
                </c:pt>
                <c:pt idx="7">
                  <c:v>37.343315075935088</c:v>
                </c:pt>
                <c:pt idx="8">
                  <c:v>36.947958425804956</c:v>
                </c:pt>
                <c:pt idx="9">
                  <c:v>36.552601775674809</c:v>
                </c:pt>
                <c:pt idx="10">
                  <c:v>36.157245125544677</c:v>
                </c:pt>
                <c:pt idx="11">
                  <c:v>35.76188847541453</c:v>
                </c:pt>
                <c:pt idx="12">
                  <c:v>35.366531825284397</c:v>
                </c:pt>
                <c:pt idx="13">
                  <c:v>34.971175175154265</c:v>
                </c:pt>
                <c:pt idx="14">
                  <c:v>34.575818525024118</c:v>
                </c:pt>
                <c:pt idx="15">
                  <c:v>34.180461874893979</c:v>
                </c:pt>
                <c:pt idx="16">
                  <c:v>33.785105224763832</c:v>
                </c:pt>
                <c:pt idx="17">
                  <c:v>33.389748574633693</c:v>
                </c:pt>
                <c:pt idx="18">
                  <c:v>32.994391924503567</c:v>
                </c:pt>
                <c:pt idx="19">
                  <c:v>32.599035274373414</c:v>
                </c:pt>
                <c:pt idx="20">
                  <c:v>32.203678624243281</c:v>
                </c:pt>
                <c:pt idx="21">
                  <c:v>31.808321974113131</c:v>
                </c:pt>
                <c:pt idx="22">
                  <c:v>31.412965323983002</c:v>
                </c:pt>
                <c:pt idx="23">
                  <c:v>31.017608673852862</c:v>
                </c:pt>
                <c:pt idx="24">
                  <c:v>30.622252023722726</c:v>
                </c:pt>
                <c:pt idx="25">
                  <c:v>30.226895373592569</c:v>
                </c:pt>
                <c:pt idx="26">
                  <c:v>29.831538723462437</c:v>
                </c:pt>
                <c:pt idx="27">
                  <c:v>29.436182073332297</c:v>
                </c:pt>
                <c:pt idx="28">
                  <c:v>29.040825423202161</c:v>
                </c:pt>
                <c:pt idx="29">
                  <c:v>28.645468773072011</c:v>
                </c:pt>
                <c:pt idx="30">
                  <c:v>28.250112122941886</c:v>
                </c:pt>
                <c:pt idx="31">
                  <c:v>27.854755472811746</c:v>
                </c:pt>
                <c:pt idx="32">
                  <c:v>27.459398822681582</c:v>
                </c:pt>
                <c:pt idx="33">
                  <c:v>27.064042172551449</c:v>
                </c:pt>
                <c:pt idx="34">
                  <c:v>26.668685522421317</c:v>
                </c:pt>
                <c:pt idx="35">
                  <c:v>26.27332887229117</c:v>
                </c:pt>
                <c:pt idx="36">
                  <c:v>25.877972222161031</c:v>
                </c:pt>
                <c:pt idx="37">
                  <c:v>25.482615572030898</c:v>
                </c:pt>
                <c:pt idx="38">
                  <c:v>25.087258921900752</c:v>
                </c:pt>
                <c:pt idx="39">
                  <c:v>24.691902271770612</c:v>
                </c:pt>
                <c:pt idx="40">
                  <c:v>24.296545621640458</c:v>
                </c:pt>
                <c:pt idx="41">
                  <c:v>23.901188971510326</c:v>
                </c:pt>
                <c:pt idx="42">
                  <c:v>23.50583232138019</c:v>
                </c:pt>
                <c:pt idx="43">
                  <c:v>23.110475671250047</c:v>
                </c:pt>
                <c:pt idx="44">
                  <c:v>22.715119021119911</c:v>
                </c:pt>
                <c:pt idx="45">
                  <c:v>22.319762370989764</c:v>
                </c:pt>
                <c:pt idx="46">
                  <c:v>21.924405720859639</c:v>
                </c:pt>
                <c:pt idx="47">
                  <c:v>21.529049070729485</c:v>
                </c:pt>
                <c:pt idx="48">
                  <c:v>21.133692420599345</c:v>
                </c:pt>
                <c:pt idx="49">
                  <c:v>20.73833577046921</c:v>
                </c:pt>
                <c:pt idx="50">
                  <c:v>20.34297912033907</c:v>
                </c:pt>
                <c:pt idx="51">
                  <c:v>19.947622470208938</c:v>
                </c:pt>
                <c:pt idx="52">
                  <c:v>19.552265820078791</c:v>
                </c:pt>
                <c:pt idx="53">
                  <c:v>19.156909169948644</c:v>
                </c:pt>
                <c:pt idx="54">
                  <c:v>18.761552519818508</c:v>
                </c:pt>
                <c:pt idx="55">
                  <c:v>18.366195869688365</c:v>
                </c:pt>
                <c:pt idx="56">
                  <c:v>17.970839219558222</c:v>
                </c:pt>
                <c:pt idx="57">
                  <c:v>17.57548256942809</c:v>
                </c:pt>
                <c:pt idx="58">
                  <c:v>17.18012591929795</c:v>
                </c:pt>
                <c:pt idx="59">
                  <c:v>16.784769269167803</c:v>
                </c:pt>
                <c:pt idx="60">
                  <c:v>16.389412619037664</c:v>
                </c:pt>
                <c:pt idx="61">
                  <c:v>15.994055968907521</c:v>
                </c:pt>
                <c:pt idx="62">
                  <c:v>15.598699318777388</c:v>
                </c:pt>
                <c:pt idx="63">
                  <c:v>15.203342668647249</c:v>
                </c:pt>
                <c:pt idx="64">
                  <c:v>14.807986018517109</c:v>
                </c:pt>
                <c:pt idx="65">
                  <c:v>14.412629368386964</c:v>
                </c:pt>
                <c:pt idx="66">
                  <c:v>14.017272718256821</c:v>
                </c:pt>
                <c:pt idx="67">
                  <c:v>13.621916068126687</c:v>
                </c:pt>
                <c:pt idx="68">
                  <c:v>13.226559417996542</c:v>
                </c:pt>
                <c:pt idx="69">
                  <c:v>12.831202767866404</c:v>
                </c:pt>
                <c:pt idx="70">
                  <c:v>12.435846117736261</c:v>
                </c:pt>
                <c:pt idx="71">
                  <c:v>12.040489467606125</c:v>
                </c:pt>
                <c:pt idx="72">
                  <c:v>11.645132817475986</c:v>
                </c:pt>
                <c:pt idx="73">
                  <c:v>11.249776167345845</c:v>
                </c:pt>
                <c:pt idx="74">
                  <c:v>10.854419517215701</c:v>
                </c:pt>
                <c:pt idx="75">
                  <c:v>10.459062867085564</c:v>
                </c:pt>
                <c:pt idx="76">
                  <c:v>10.063706216955426</c:v>
                </c:pt>
                <c:pt idx="77">
                  <c:v>9.6683495668252828</c:v>
                </c:pt>
                <c:pt idx="78">
                  <c:v>9.2729929166951433</c:v>
                </c:pt>
                <c:pt idx="79">
                  <c:v>8.8776362665650055</c:v>
                </c:pt>
                <c:pt idx="80">
                  <c:v>8.4822796164348588</c:v>
                </c:pt>
                <c:pt idx="81">
                  <c:v>8.0869229663047211</c:v>
                </c:pt>
                <c:pt idx="82">
                  <c:v>7.6915663161745877</c:v>
                </c:pt>
                <c:pt idx="83">
                  <c:v>7.2962096660444402</c:v>
                </c:pt>
                <c:pt idx="84">
                  <c:v>6.9008530159143007</c:v>
                </c:pt>
                <c:pt idx="85">
                  <c:v>6.5054963657841611</c:v>
                </c:pt>
                <c:pt idx="86">
                  <c:v>6.1101397156540225</c:v>
                </c:pt>
                <c:pt idx="87">
                  <c:v>5.7147830655238829</c:v>
                </c:pt>
                <c:pt idx="88">
                  <c:v>5.3194264153937434</c:v>
                </c:pt>
                <c:pt idx="89">
                  <c:v>4.9240697652636038</c:v>
                </c:pt>
                <c:pt idx="90">
                  <c:v>4.5287131151334643</c:v>
                </c:pt>
                <c:pt idx="91">
                  <c:v>4.1333564650033168</c:v>
                </c:pt>
                <c:pt idx="92">
                  <c:v>3.7379998148731852</c:v>
                </c:pt>
                <c:pt idx="93">
                  <c:v>3.3426431647430457</c:v>
                </c:pt>
                <c:pt idx="94">
                  <c:v>2.9472865146128981</c:v>
                </c:pt>
                <c:pt idx="95">
                  <c:v>2.551929864482759</c:v>
                </c:pt>
                <c:pt idx="96">
                  <c:v>2.1565732143526266</c:v>
                </c:pt>
                <c:pt idx="97">
                  <c:v>1.7612165642224797</c:v>
                </c:pt>
                <c:pt idx="98">
                  <c:v>1.36585991409234</c:v>
                </c:pt>
                <c:pt idx="99">
                  <c:v>0.97050326396220032</c:v>
                </c:pt>
                <c:pt idx="100">
                  <c:v>0.57514661383206078</c:v>
                </c:pt>
              </c:numCache>
            </c:numRef>
          </c:xVal>
          <c:yVal>
            <c:numRef>
              <c:f>'G27 105L (m;velo)'!$O$2:$O$102</c:f>
              <c:numCache>
                <c:formatCode>0</c:formatCode>
                <c:ptCount val="101"/>
                <c:pt idx="0">
                  <c:v>96.721121538082215</c:v>
                </c:pt>
                <c:pt idx="1">
                  <c:v>96.812390259445195</c:v>
                </c:pt>
                <c:pt idx="2">
                  <c:v>96.904659517054228</c:v>
                </c:pt>
                <c:pt idx="3">
                  <c:v>96.997950506456334</c:v>
                </c:pt>
                <c:pt idx="4">
                  <c:v>97.092285093291778</c:v>
                </c:pt>
                <c:pt idx="5">
                  <c:v>97.187685841612947</c:v>
                </c:pt>
                <c:pt idx="6">
                  <c:v>97.284176043707419</c:v>
                </c:pt>
                <c:pt idx="7">
                  <c:v>97.381779751522473</c:v>
                </c:pt>
                <c:pt idx="8">
                  <c:v>97.480521809794993</c:v>
                </c:pt>
                <c:pt idx="9">
                  <c:v>97.580427890997569</c:v>
                </c:pt>
                <c:pt idx="10">
                  <c:v>97.68152453222298</c:v>
                </c:pt>
                <c:pt idx="11">
                  <c:v>97.783839174135281</c:v>
                </c:pt>
                <c:pt idx="12">
                  <c:v>97.887400202129214</c:v>
                </c:pt>
                <c:pt idx="13">
                  <c:v>97.992236989848266</c:v>
                </c:pt>
                <c:pt idx="14">
                  <c:v>98.098379945224707</c:v>
                </c:pt>
                <c:pt idx="15">
                  <c:v>98.205860559219929</c:v>
                </c:pt>
                <c:pt idx="16">
                  <c:v>98.314711457455346</c:v>
                </c:pt>
                <c:pt idx="17">
                  <c:v>98.424966454941867</c:v>
                </c:pt>
                <c:pt idx="18">
                  <c:v>98.536660614132558</c:v>
                </c:pt>
                <c:pt idx="19">
                  <c:v>98.649830306544501</c:v>
                </c:pt>
                <c:pt idx="20">
                  <c:v>98.76451327821249</c:v>
                </c:pt>
                <c:pt idx="21">
                  <c:v>98.880748719266947</c:v>
                </c:pt>
                <c:pt idx="22">
                  <c:v>98.998577337946912</c:v>
                </c:pt>
                <c:pt idx="23">
                  <c:v>99.118041439393949</c:v>
                </c:pt>
                <c:pt idx="24">
                  <c:v>99.239185009598685</c:v>
                </c:pt>
                <c:pt idx="25">
                  <c:v>99.362053804910289</c:v>
                </c:pt>
                <c:pt idx="26">
                  <c:v>99.486695447553586</c:v>
                </c:pt>
                <c:pt idx="27">
                  <c:v>99.613159527645024</c:v>
                </c:pt>
                <c:pt idx="28">
                  <c:v>99.741497712240871</c:v>
                </c:pt>
                <c:pt idx="29">
                  <c:v>99.871763862008436</c:v>
                </c:pt>
                <c:pt idx="30">
                  <c:v>100.00401415616425</c:v>
                </c:pt>
                <c:pt idx="31">
                  <c:v>100.13830722639091</c:v>
                </c:pt>
                <c:pt idx="32">
                  <c:v>100.27470430051604</c:v>
                </c:pt>
                <c:pt idx="33">
                  <c:v>100.41326935681482</c:v>
                </c:pt>
                <c:pt idx="34">
                  <c:v>100.55406928989353</c:v>
                </c:pt>
                <c:pt idx="35">
                  <c:v>100.69717408920459</c:v>
                </c:pt>
                <c:pt idx="36">
                  <c:v>100.84265703136593</c:v>
                </c:pt>
                <c:pt idx="37">
                  <c:v>100.99059488757729</c:v>
                </c:pt>
                <c:pt idx="38">
                  <c:v>101.14106814757645</c:v>
                </c:pt>
                <c:pt idx="39">
                  <c:v>101.29416126173662</c:v>
                </c:pt>
                <c:pt idx="40">
                  <c:v>101.44996290309169</c:v>
                </c:pt>
                <c:pt idx="41">
                  <c:v>101.60856625128423</c:v>
                </c:pt>
                <c:pt idx="42">
                  <c:v>101.77006930066614</c:v>
                </c:pt>
                <c:pt idx="43">
                  <c:v>101.93457519505286</c:v>
                </c:pt>
                <c:pt idx="44">
                  <c:v>102.10219259193603</c:v>
                </c:pt>
                <c:pt idx="45">
                  <c:v>102.27303605931037</c:v>
                </c:pt>
                <c:pt idx="46">
                  <c:v>102.44722650867125</c:v>
                </c:pt>
                <c:pt idx="47">
                  <c:v>102.6248916681996</c:v>
                </c:pt>
                <c:pt idx="48">
                  <c:v>102.80616660067797</c:v>
                </c:pt>
                <c:pt idx="49">
                  <c:v>102.99119427129128</c:v>
                </c:pt>
                <c:pt idx="50">
                  <c:v>103.18012617117456</c:v>
                </c:pt>
                <c:pt idx="51">
                  <c:v>103.37312300337805</c:v>
                </c:pt>
                <c:pt idx="52">
                  <c:v>103.57035543887996</c:v>
                </c:pt>
                <c:pt idx="53">
                  <c:v>103.77200495137534</c:v>
                </c:pt>
                <c:pt idx="54">
                  <c:v>103.97826474086608</c:v>
                </c:pt>
                <c:pt idx="55">
                  <c:v>104.18934075759535</c:v>
                </c:pt>
                <c:pt idx="56">
                  <c:v>104.40545283965133</c:v>
                </c:pt>
                <c:pt idx="57">
                  <c:v>104.62683597967283</c:v>
                </c:pt>
                <c:pt idx="58">
                  <c:v>104.8537417385828</c:v>
                </c:pt>
                <c:pt idx="59">
                  <c:v>105.08643982724215</c:v>
                </c:pt>
                <c:pt idx="60">
                  <c:v>105.32521988045561</c:v>
                </c:pt>
                <c:pt idx="61">
                  <c:v>105.57039345199514</c:v>
                </c:pt>
                <c:pt idx="62">
                  <c:v>105.82229626441232</c:v>
                </c:pt>
                <c:pt idx="63">
                  <c:v>106.08129075356587</c:v>
                </c:pt>
                <c:pt idx="64">
                  <c:v>106.34776895527088</c:v>
                </c:pt>
                <c:pt idx="65">
                  <c:v>106.62215579058918</c:v>
                </c:pt>
                <c:pt idx="66">
                  <c:v>106.90491281745842</c:v>
                </c:pt>
                <c:pt idx="67">
                  <c:v>107.19654253011949</c:v>
                </c:pt>
                <c:pt idx="68">
                  <c:v>107.49759330485941</c:v>
                </c:pt>
                <c:pt idx="69">
                  <c:v>107.80866511183604</c:v>
                </c:pt>
                <c:pt idx="70">
                  <c:v>108.13041613940059</c:v>
                </c:pt>
                <c:pt idx="71">
                  <c:v>108.46357051096359</c:v>
                </c:pt>
                <c:pt idx="72">
                  <c:v>108.80892731719256</c:v>
                </c:pt>
                <c:pt idx="73">
                  <c:v>109.16737124104458</c:v>
                </c:pt>
                <c:pt idx="74">
                  <c:v>109.53988512374484</c:v>
                </c:pt>
                <c:pt idx="75">
                  <c:v>109.92756491168086</c:v>
                </c:pt>
                <c:pt idx="76">
                  <c:v>110.33163754477692</c:v>
                </c:pt>
                <c:pt idx="77">
                  <c:v>110.7534825067363</c:v>
                </c:pt>
                <c:pt idx="78">
                  <c:v>111.19465797153826</c:v>
                </c:pt>
                <c:pt idx="79">
                  <c:v>111.65693277028493</c:v>
                </c:pt>
                <c:pt idx="80">
                  <c:v>112.14232579938893</c:v>
                </c:pt>
                <c:pt idx="81">
                  <c:v>112.65315504186368</c:v>
                </c:pt>
                <c:pt idx="82">
                  <c:v>113.19209914855539</c:v>
                </c:pt>
                <c:pt idx="83">
                  <c:v>113.76227563360746</c:v>
                </c:pt>
                <c:pt idx="84">
                  <c:v>114.36734134743486</c:v>
                </c:pt>
                <c:pt idx="85">
                  <c:v>115.01162327137307</c:v>
                </c:pt>
                <c:pt idx="86">
                  <c:v>115.70029127336244</c:v>
                </c:pt>
                <c:pt idx="87">
                  <c:v>116.4395900163931</c:v>
                </c:pt>
                <c:pt idx="88">
                  <c:v>117.2371560048494</c:v>
                </c:pt>
                <c:pt idx="89">
                  <c:v>118.10246008013389</c:v>
                </c:pt>
                <c:pt idx="90">
                  <c:v>119.04743977916773</c:v>
                </c:pt>
                <c:pt idx="91">
                  <c:v>120.08742803768742</c:v>
                </c:pt>
                <c:pt idx="92">
                  <c:v>121.24256133967648</c:v>
                </c:pt>
                <c:pt idx="93">
                  <c:v>122.53999710052044</c:v>
                </c:pt>
                <c:pt idx="94">
                  <c:v>124.01756807830155</c:v>
                </c:pt>
                <c:pt idx="95">
                  <c:v>125.73015224427199</c:v>
                </c:pt>
                <c:pt idx="96">
                  <c:v>127.76159003469387</c:v>
                </c:pt>
                <c:pt idx="97">
                  <c:v>130.24914122679834</c:v>
                </c:pt>
                <c:pt idx="98">
                  <c:v>133.44047032382267</c:v>
                </c:pt>
                <c:pt idx="99">
                  <c:v>137.85381418872177</c:v>
                </c:pt>
                <c:pt idx="100">
                  <c:v>144.89522407938779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B0-4937-908F-6092CB2E5752}"/>
            </c:ext>
          </c:extLst>
        </c:ser>
        <c:ser>
          <c:idx val="6"/>
          <c:order val="2"/>
          <c:tx>
            <c:v>1.90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'G30 85L (m;velo)'!$A$2:$A$42</c:f>
              <c:numCache>
                <c:formatCode>0.00E+00</c:formatCode>
                <c:ptCount val="41"/>
                <c:pt idx="0">
                  <c:v>30.373414329104897</c:v>
                </c:pt>
                <c:pt idx="1">
                  <c:v>3.9390521708057915</c:v>
                </c:pt>
                <c:pt idx="2">
                  <c:v>6.3024834732892669</c:v>
                </c:pt>
                <c:pt idx="3">
                  <c:v>7.090293907450425</c:v>
                </c:pt>
                <c:pt idx="4">
                  <c:v>9.4537252099338982</c:v>
                </c:pt>
                <c:pt idx="5">
                  <c:v>10.241535644095059</c:v>
                </c:pt>
                <c:pt idx="6">
                  <c:v>11.029346078256216</c:v>
                </c:pt>
                <c:pt idx="7">
                  <c:v>14.968398249062007</c:v>
                </c:pt>
                <c:pt idx="8">
                  <c:v>3.1512417366446335</c:v>
                </c:pt>
                <c:pt idx="9">
                  <c:v>3.9390521708057915</c:v>
                </c:pt>
                <c:pt idx="10">
                  <c:v>6.3024834732892669</c:v>
                </c:pt>
                <c:pt idx="11">
                  <c:v>8.6659147757727411</c:v>
                </c:pt>
                <c:pt idx="12">
                  <c:v>9.4537252099338982</c:v>
                </c:pt>
                <c:pt idx="13">
                  <c:v>14.968398249062007</c:v>
                </c:pt>
                <c:pt idx="14">
                  <c:v>3.1512417366446335</c:v>
                </c:pt>
                <c:pt idx="15">
                  <c:v>3.9390521708057915</c:v>
                </c:pt>
                <c:pt idx="16">
                  <c:v>4.7268626049669491</c:v>
                </c:pt>
                <c:pt idx="17">
                  <c:v>6.3024834732892669</c:v>
                </c:pt>
                <c:pt idx="18">
                  <c:v>7.878104341611583</c:v>
                </c:pt>
                <c:pt idx="19">
                  <c:v>8.6659147757727411</c:v>
                </c:pt>
                <c:pt idx="20">
                  <c:v>9.4537252099338982</c:v>
                </c:pt>
                <c:pt idx="21">
                  <c:v>10.241535644095059</c:v>
                </c:pt>
                <c:pt idx="22">
                  <c:v>13.392777380739691</c:v>
                </c:pt>
                <c:pt idx="23">
                  <c:v>14.968398249062007</c:v>
                </c:pt>
                <c:pt idx="24">
                  <c:v>0.94363237746411799</c:v>
                </c:pt>
                <c:pt idx="25">
                  <c:v>1.4154485661961771</c:v>
                </c:pt>
                <c:pt idx="26">
                  <c:v>1.887264754928236</c:v>
                </c:pt>
                <c:pt idx="27">
                  <c:v>2.8308971323923542</c:v>
                </c:pt>
                <c:pt idx="28">
                  <c:v>3.774529509856472</c:v>
                </c:pt>
                <c:pt idx="29">
                  <c:v>0.94363237746411799</c:v>
                </c:pt>
                <c:pt idx="30">
                  <c:v>1.4154485661961771</c:v>
                </c:pt>
                <c:pt idx="31">
                  <c:v>1.887264754928236</c:v>
                </c:pt>
                <c:pt idx="32">
                  <c:v>2.3590809436602953</c:v>
                </c:pt>
                <c:pt idx="33">
                  <c:v>3.3027133211244135</c:v>
                </c:pt>
                <c:pt idx="34">
                  <c:v>3.774529509856472</c:v>
                </c:pt>
                <c:pt idx="35">
                  <c:v>0.47181618873205899</c:v>
                </c:pt>
                <c:pt idx="36">
                  <c:v>0.94363237746411799</c:v>
                </c:pt>
                <c:pt idx="37">
                  <c:v>1.4154485661961771</c:v>
                </c:pt>
                <c:pt idx="38">
                  <c:v>1.887264754928236</c:v>
                </c:pt>
                <c:pt idx="39">
                  <c:v>2.8308971323923542</c:v>
                </c:pt>
                <c:pt idx="40">
                  <c:v>3.774529509856472</c:v>
                </c:pt>
              </c:numCache>
              <c:extLst xmlns:c15="http://schemas.microsoft.com/office/drawing/2012/chart"/>
            </c:numRef>
          </c:xVal>
          <c:yVal>
            <c:numRef>
              <c:f>'G30 85L (m;velo)'!$B$2:$B$42</c:f>
              <c:numCache>
                <c:formatCode>#,##0.000</c:formatCode>
                <c:ptCount val="41"/>
                <c:pt idx="0">
                  <c:v>100.92286507311093</c:v>
                </c:pt>
                <c:pt idx="1">
                  <c:v>117.92779020417348</c:v>
                </c:pt>
                <c:pt idx="2">
                  <c:v>117.59224858897701</c:v>
                </c:pt>
                <c:pt idx="3">
                  <c:v>115.98644228767971</c:v>
                </c:pt>
                <c:pt idx="4">
                  <c:v>113.70955275598949</c:v>
                </c:pt>
                <c:pt idx="5">
                  <c:v>110.78554725213468</c:v>
                </c:pt>
                <c:pt idx="6">
                  <c:v>110.45000563693822</c:v>
                </c:pt>
                <c:pt idx="7">
                  <c:v>107.11855674320198</c:v>
                </c:pt>
                <c:pt idx="8">
                  <c:v>123.83285370717226</c:v>
                </c:pt>
                <c:pt idx="9">
                  <c:v>121.48897208098484</c:v>
                </c:pt>
                <c:pt idx="10">
                  <c:v>115.31834494014291</c:v>
                </c:pt>
                <c:pt idx="11">
                  <c:v>111.80252250868433</c:v>
                </c:pt>
                <c:pt idx="12">
                  <c:v>106.66033323073361</c:v>
                </c:pt>
                <c:pt idx="13">
                  <c:v>107.66485392543608</c:v>
                </c:pt>
                <c:pt idx="14">
                  <c:v>126.05358399617073</c:v>
                </c:pt>
                <c:pt idx="15">
                  <c:v>122.3402146342103</c:v>
                </c:pt>
                <c:pt idx="16">
                  <c:v>121.42984020955707</c:v>
                </c:pt>
                <c:pt idx="17">
                  <c:v>120.2080219034444</c:v>
                </c:pt>
                <c:pt idx="18">
                  <c:v>119.65700580491604</c:v>
                </c:pt>
                <c:pt idx="19">
                  <c:v>119.15390415001005</c:v>
                </c:pt>
                <c:pt idx="20">
                  <c:v>117.02171141820115</c:v>
                </c:pt>
                <c:pt idx="21">
                  <c:v>115.46449200568877</c:v>
                </c:pt>
                <c:pt idx="22">
                  <c:v>114.19475925699673</c:v>
                </c:pt>
                <c:pt idx="23">
                  <c:v>113.21251317212499</c:v>
                </c:pt>
                <c:pt idx="24">
                  <c:v>142.93996264007947</c:v>
                </c:pt>
                <c:pt idx="25">
                  <c:v>134.83928095904344</c:v>
                </c:pt>
                <c:pt idx="26">
                  <c:v>129.61118143440314</c:v>
                </c:pt>
                <c:pt idx="27">
                  <c:v>123.86601712161163</c:v>
                </c:pt>
                <c:pt idx="28">
                  <c:v>116.62711008749434</c:v>
                </c:pt>
                <c:pt idx="29">
                  <c:v>146.77930375930265</c:v>
                </c:pt>
                <c:pt idx="30">
                  <c:v>138.46534309984125</c:v>
                </c:pt>
                <c:pt idx="31">
                  <c:v>136.13513267246216</c:v>
                </c:pt>
                <c:pt idx="32">
                  <c:v>127.64856384573423</c:v>
                </c:pt>
                <c:pt idx="33">
                  <c:v>125.692337807626</c:v>
                </c:pt>
                <c:pt idx="34">
                  <c:v>124.16763221579347</c:v>
                </c:pt>
                <c:pt idx="35">
                  <c:v>149.57811851645184</c:v>
                </c:pt>
                <c:pt idx="36">
                  <c:v>146.47767934153356</c:v>
                </c:pt>
                <c:pt idx="37">
                  <c:v>140.53517091794299</c:v>
                </c:pt>
                <c:pt idx="38">
                  <c:v>133.81755271061729</c:v>
                </c:pt>
                <c:pt idx="39">
                  <c:v>130.7171135332004</c:v>
                </c:pt>
                <c:pt idx="40">
                  <c:v>122.36315241384239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E1B0-4937-908F-6092CB2E5752}"/>
            </c:ext>
          </c:extLst>
        </c:ser>
        <c:ser>
          <c:idx val="7"/>
          <c:order val="3"/>
          <c:tx>
            <c:v>Fit 1.90 mm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'G30 85L (m;velo)'!$N$2:$N$102</c:f>
              <c:numCache>
                <c:formatCode>0.000</c:formatCode>
                <c:ptCount val="101"/>
                <c:pt idx="0">
                  <c:v>30.3734143291049</c:v>
                </c:pt>
                <c:pt idx="1">
                  <c:v>30.074398347701177</c:v>
                </c:pt>
                <c:pt idx="2">
                  <c:v>29.77538236629745</c:v>
                </c:pt>
                <c:pt idx="3">
                  <c:v>29.476366384893716</c:v>
                </c:pt>
                <c:pt idx="4">
                  <c:v>29.177350403489992</c:v>
                </c:pt>
                <c:pt idx="5">
                  <c:v>28.878334422086272</c:v>
                </c:pt>
                <c:pt idx="6">
                  <c:v>28.579318440682535</c:v>
                </c:pt>
                <c:pt idx="7">
                  <c:v>28.280302459278808</c:v>
                </c:pt>
                <c:pt idx="8">
                  <c:v>27.981286477875088</c:v>
                </c:pt>
                <c:pt idx="9">
                  <c:v>27.68227049647135</c:v>
                </c:pt>
                <c:pt idx="10">
                  <c:v>27.38325451506763</c:v>
                </c:pt>
                <c:pt idx="11">
                  <c:v>27.084238533663889</c:v>
                </c:pt>
                <c:pt idx="12">
                  <c:v>26.785222552260166</c:v>
                </c:pt>
                <c:pt idx="13">
                  <c:v>26.486206570856449</c:v>
                </c:pt>
                <c:pt idx="14">
                  <c:v>26.187190589452708</c:v>
                </c:pt>
                <c:pt idx="15">
                  <c:v>25.888174608048981</c:v>
                </c:pt>
                <c:pt idx="16">
                  <c:v>25.589158626645254</c:v>
                </c:pt>
                <c:pt idx="17">
                  <c:v>25.290142645241531</c:v>
                </c:pt>
                <c:pt idx="18">
                  <c:v>24.991126663837797</c:v>
                </c:pt>
                <c:pt idx="19">
                  <c:v>24.692110682434063</c:v>
                </c:pt>
                <c:pt idx="20">
                  <c:v>24.393094701030343</c:v>
                </c:pt>
                <c:pt idx="21">
                  <c:v>24.094078719626623</c:v>
                </c:pt>
                <c:pt idx="22">
                  <c:v>23.795062738222885</c:v>
                </c:pt>
                <c:pt idx="23">
                  <c:v>23.496046756819158</c:v>
                </c:pt>
                <c:pt idx="24">
                  <c:v>23.197030775415431</c:v>
                </c:pt>
                <c:pt idx="25">
                  <c:v>22.898014794011697</c:v>
                </c:pt>
                <c:pt idx="26">
                  <c:v>22.598998812607967</c:v>
                </c:pt>
                <c:pt idx="27">
                  <c:v>22.29998283120424</c:v>
                </c:pt>
                <c:pt idx="28">
                  <c:v>22.000966849800513</c:v>
                </c:pt>
                <c:pt idx="29">
                  <c:v>21.701950868396793</c:v>
                </c:pt>
                <c:pt idx="30">
                  <c:v>21.402934886993059</c:v>
                </c:pt>
                <c:pt idx="31">
                  <c:v>21.103918905589328</c:v>
                </c:pt>
                <c:pt idx="32">
                  <c:v>20.804902924185594</c:v>
                </c:pt>
                <c:pt idx="33">
                  <c:v>20.505886942781871</c:v>
                </c:pt>
                <c:pt idx="34">
                  <c:v>20.206870961378144</c:v>
                </c:pt>
                <c:pt idx="35">
                  <c:v>19.907854979974413</c:v>
                </c:pt>
                <c:pt idx="36">
                  <c:v>19.608838998570693</c:v>
                </c:pt>
                <c:pt idx="37">
                  <c:v>19.309823017166952</c:v>
                </c:pt>
                <c:pt idx="38">
                  <c:v>19.010807035763222</c:v>
                </c:pt>
                <c:pt idx="39">
                  <c:v>18.711791054359495</c:v>
                </c:pt>
                <c:pt idx="40">
                  <c:v>18.412775072955775</c:v>
                </c:pt>
                <c:pt idx="41">
                  <c:v>18.113759091552037</c:v>
                </c:pt>
                <c:pt idx="42">
                  <c:v>17.81474311014831</c:v>
                </c:pt>
                <c:pt idx="43">
                  <c:v>17.51572712874459</c:v>
                </c:pt>
                <c:pt idx="44">
                  <c:v>17.216711147340856</c:v>
                </c:pt>
                <c:pt idx="45">
                  <c:v>16.917695165937126</c:v>
                </c:pt>
                <c:pt idx="46">
                  <c:v>16.618679184533399</c:v>
                </c:pt>
                <c:pt idx="47">
                  <c:v>16.319663203129672</c:v>
                </c:pt>
                <c:pt idx="48">
                  <c:v>16.020647221725941</c:v>
                </c:pt>
                <c:pt idx="49">
                  <c:v>15.721631240322209</c:v>
                </c:pt>
                <c:pt idx="50">
                  <c:v>15.422615258918489</c:v>
                </c:pt>
                <c:pt idx="51">
                  <c:v>15.123599277514757</c:v>
                </c:pt>
                <c:pt idx="52">
                  <c:v>14.824583296111024</c:v>
                </c:pt>
                <c:pt idx="53">
                  <c:v>14.525567314707299</c:v>
                </c:pt>
                <c:pt idx="54">
                  <c:v>14.22655133330357</c:v>
                </c:pt>
                <c:pt idx="55">
                  <c:v>13.927535351899841</c:v>
                </c:pt>
                <c:pt idx="56">
                  <c:v>13.628519370496115</c:v>
                </c:pt>
                <c:pt idx="57">
                  <c:v>13.329503389092389</c:v>
                </c:pt>
                <c:pt idx="58">
                  <c:v>13.030487407688653</c:v>
                </c:pt>
                <c:pt idx="59">
                  <c:v>12.73147142628493</c:v>
                </c:pt>
                <c:pt idx="60">
                  <c:v>12.432455444881203</c:v>
                </c:pt>
                <c:pt idx="61">
                  <c:v>12.133439463477471</c:v>
                </c:pt>
                <c:pt idx="62">
                  <c:v>11.83442348207374</c:v>
                </c:pt>
                <c:pt idx="63">
                  <c:v>11.535407500670011</c:v>
                </c:pt>
                <c:pt idx="64">
                  <c:v>11.236391519266279</c:v>
                </c:pt>
                <c:pt idx="65">
                  <c:v>10.937375537862561</c:v>
                </c:pt>
                <c:pt idx="66">
                  <c:v>10.638359556458829</c:v>
                </c:pt>
                <c:pt idx="67">
                  <c:v>10.339343575055098</c:v>
                </c:pt>
                <c:pt idx="68">
                  <c:v>10.040327593651369</c:v>
                </c:pt>
                <c:pt idx="69">
                  <c:v>9.7413116122476424</c:v>
                </c:pt>
                <c:pt idx="70">
                  <c:v>9.4422956308439137</c:v>
                </c:pt>
                <c:pt idx="71">
                  <c:v>9.1432796494401867</c:v>
                </c:pt>
                <c:pt idx="72">
                  <c:v>8.8442636680364615</c:v>
                </c:pt>
                <c:pt idx="73">
                  <c:v>8.5452476866327309</c:v>
                </c:pt>
                <c:pt idx="74">
                  <c:v>8.2462317052290022</c:v>
                </c:pt>
                <c:pt idx="75">
                  <c:v>7.9472157238252734</c:v>
                </c:pt>
                <c:pt idx="76">
                  <c:v>7.6481997424215411</c:v>
                </c:pt>
                <c:pt idx="77">
                  <c:v>7.3491837610178132</c:v>
                </c:pt>
                <c:pt idx="78">
                  <c:v>7.0501677796140871</c:v>
                </c:pt>
                <c:pt idx="79">
                  <c:v>6.7511517982103566</c:v>
                </c:pt>
                <c:pt idx="80">
                  <c:v>6.4521358168066287</c:v>
                </c:pt>
                <c:pt idx="81">
                  <c:v>6.1531198354029017</c:v>
                </c:pt>
                <c:pt idx="82">
                  <c:v>5.8541038539991712</c:v>
                </c:pt>
                <c:pt idx="83">
                  <c:v>5.5550878725954451</c:v>
                </c:pt>
                <c:pt idx="84">
                  <c:v>5.2560718911917181</c:v>
                </c:pt>
                <c:pt idx="85">
                  <c:v>4.9570559097879832</c:v>
                </c:pt>
                <c:pt idx="86">
                  <c:v>4.6580399283842562</c:v>
                </c:pt>
                <c:pt idx="87">
                  <c:v>4.3590239469805283</c:v>
                </c:pt>
                <c:pt idx="88">
                  <c:v>4.0600079655767987</c:v>
                </c:pt>
                <c:pt idx="89">
                  <c:v>3.7609919841730708</c:v>
                </c:pt>
                <c:pt idx="90">
                  <c:v>3.4619760027693434</c:v>
                </c:pt>
                <c:pt idx="91">
                  <c:v>3.1629600213656177</c:v>
                </c:pt>
                <c:pt idx="92">
                  <c:v>2.8639440399618867</c:v>
                </c:pt>
                <c:pt idx="93">
                  <c:v>2.5649280585581593</c:v>
                </c:pt>
                <c:pt idx="94">
                  <c:v>2.2659120771544328</c:v>
                </c:pt>
                <c:pt idx="95">
                  <c:v>1.966896095750702</c:v>
                </c:pt>
                <c:pt idx="96">
                  <c:v>1.6678801143469748</c:v>
                </c:pt>
                <c:pt idx="97">
                  <c:v>1.3688641329432478</c:v>
                </c:pt>
                <c:pt idx="98">
                  <c:v>1.0698481515395137</c:v>
                </c:pt>
                <c:pt idx="99">
                  <c:v>0.77083217013578675</c:v>
                </c:pt>
                <c:pt idx="100">
                  <c:v>0.47181618873205977</c:v>
                </c:pt>
              </c:numCache>
              <c:extLst xmlns:c15="http://schemas.microsoft.com/office/drawing/2012/chart"/>
            </c:numRef>
          </c:xVal>
          <c:yVal>
            <c:numRef>
              <c:f>'G30 85L (m;velo)'!$O$2:$O$102</c:f>
              <c:numCache>
                <c:formatCode>0</c:formatCode>
                <c:ptCount val="101"/>
                <c:pt idx="0">
                  <c:v>101.13008200049852</c:v>
                </c:pt>
                <c:pt idx="1">
                  <c:v>101.22788850277395</c:v>
                </c:pt>
                <c:pt idx="2">
                  <c:v>101.32676833995541</c:v>
                </c:pt>
                <c:pt idx="3">
                  <c:v>101.42674424876806</c:v>
                </c:pt>
                <c:pt idx="4">
                  <c:v>101.52783968443819</c:v>
                </c:pt>
                <c:pt idx="5">
                  <c:v>101.63007885103796</c:v>
                </c:pt>
                <c:pt idx="6">
                  <c:v>101.73348673344064</c:v>
                </c:pt>
                <c:pt idx="7">
                  <c:v>101.83808913099115</c:v>
                </c:pt>
                <c:pt idx="8">
                  <c:v>101.943912693001</c:v>
                </c:pt>
                <c:pt idx="9">
                  <c:v>102.05098495618996</c:v>
                </c:pt>
                <c:pt idx="10">
                  <c:v>102.15933438419952</c:v>
                </c:pt>
                <c:pt idx="11">
                  <c:v>102.26899040932109</c:v>
                </c:pt>
                <c:pt idx="12">
                  <c:v>102.37998347658687</c:v>
                </c:pt>
                <c:pt idx="13">
                  <c:v>102.49234509038443</c:v>
                </c:pt>
                <c:pt idx="14">
                  <c:v>102.60610786377202</c:v>
                </c:pt>
                <c:pt idx="15">
                  <c:v>102.72130557068219</c:v>
                </c:pt>
                <c:pt idx="16">
                  <c:v>102.83797320121872</c:v>
                </c:pt>
                <c:pt idx="17">
                  <c:v>102.95614702026957</c:v>
                </c:pt>
                <c:pt idx="18">
                  <c:v>103.07586462967495</c:v>
                </c:pt>
                <c:pt idx="19">
                  <c:v>103.19716503421388</c:v>
                </c:pt>
                <c:pt idx="20">
                  <c:v>103.32008871169053</c:v>
                </c:pt>
                <c:pt idx="21">
                  <c:v>103.44467768743036</c:v>
                </c:pt>
                <c:pt idx="22">
                  <c:v>103.57097561352268</c:v>
                </c:pt>
                <c:pt idx="23">
                  <c:v>103.69902785317417</c:v>
                </c:pt>
                <c:pt idx="24">
                  <c:v>103.82888157057413</c:v>
                </c:pt>
                <c:pt idx="25">
                  <c:v>103.96058582670697</c:v>
                </c:pt>
                <c:pt idx="26">
                  <c:v>104.09419168158985</c:v>
                </c:pt>
                <c:pt idx="27">
                  <c:v>104.22975230345708</c:v>
                </c:pt>
                <c:pt idx="28">
                  <c:v>104.36732308546379</c:v>
                </c:pt>
                <c:pt idx="29">
                  <c:v>104.5069617705355</c:v>
                </c:pt>
                <c:pt idx="30">
                  <c:v>104.64872858505652</c:v>
                </c:pt>
                <c:pt idx="31">
                  <c:v>104.79268638215233</c:v>
                </c:pt>
                <c:pt idx="32">
                  <c:v>104.93890079540303</c:v>
                </c:pt>
                <c:pt idx="33">
                  <c:v>105.08744040391065</c:v>
                </c:pt>
                <c:pt idx="34">
                  <c:v>105.23837690973528</c:v>
                </c:pt>
                <c:pt idx="35">
                  <c:v>105.39178532882798</c:v>
                </c:pt>
                <c:pt idx="36">
                  <c:v>105.54774419670579</c:v>
                </c:pt>
                <c:pt idx="37">
                  <c:v>105.70633579025119</c:v>
                </c:pt>
                <c:pt idx="38">
                  <c:v>105.86764636717255</c:v>
                </c:pt>
                <c:pt idx="39">
                  <c:v>106.03176642483388</c:v>
                </c:pt>
                <c:pt idx="40">
                  <c:v>106.19879098035774</c:v>
                </c:pt>
                <c:pt idx="41">
                  <c:v>106.36881987412903</c:v>
                </c:pt>
                <c:pt idx="42">
                  <c:v>106.54195809907422</c:v>
                </c:pt>
                <c:pt idx="43">
                  <c:v>106.71831615838128</c:v>
                </c:pt>
                <c:pt idx="44">
                  <c:v>106.89801045464858</c:v>
                </c:pt>
                <c:pt idx="45">
                  <c:v>107.08116371382336</c:v>
                </c:pt>
                <c:pt idx="46">
                  <c:v>107.2679054477171</c:v>
                </c:pt>
                <c:pt idx="47">
                  <c:v>107.45837245937297</c:v>
                </c:pt>
                <c:pt idx="48">
                  <c:v>107.65270939612215</c:v>
                </c:pt>
                <c:pt idx="49">
                  <c:v>107.851069355815</c:v>
                </c:pt>
                <c:pt idx="50">
                  <c:v>108.05361455245816</c:v>
                </c:pt>
                <c:pt idx="51">
                  <c:v>108.26051704835879</c:v>
                </c:pt>
                <c:pt idx="52">
                  <c:v>108.4719595608847</c:v>
                </c:pt>
                <c:pt idx="53">
                  <c:v>108.68813635312007</c:v>
                </c:pt>
                <c:pt idx="54">
                  <c:v>108.90925421907176</c:v>
                </c:pt>
                <c:pt idx="55">
                  <c:v>109.13553357568834</c:v>
                </c:pt>
                <c:pt idx="56">
                  <c:v>109.36720967584463</c:v>
                </c:pt>
                <c:pt idx="57">
                  <c:v>109.60453395867629</c:v>
                </c:pt>
                <c:pt idx="58">
                  <c:v>109.8477755562934</c:v>
                </c:pt>
                <c:pt idx="59">
                  <c:v>110.09722297903635</c:v>
                </c:pt>
                <c:pt idx="60">
                  <c:v>110.35318600518818</c:v>
                </c:pt>
                <c:pt idx="61">
                  <c:v>110.61599780553605</c:v>
                </c:pt>
                <c:pt idx="62">
                  <c:v>110.88601733857006</c:v>
                </c:pt>
                <c:pt idx="63">
                  <c:v>111.16363205861455</c:v>
                </c:pt>
                <c:pt idx="64">
                  <c:v>111.44926098708585</c:v>
                </c:pt>
                <c:pt idx="65">
                  <c:v>111.74335820669737</c:v>
                </c:pt>
                <c:pt idx="66">
                  <c:v>112.04641685021768</c:v>
                </c:pt>
                <c:pt idx="67">
                  <c:v>112.35897366990903</c:v>
                </c:pt>
                <c:pt idx="68">
                  <c:v>112.68161429173996</c:v>
                </c:pt>
                <c:pt idx="69">
                  <c:v>113.01497928085202</c:v>
                </c:pt>
                <c:pt idx="70">
                  <c:v>113.35977117280069</c:v>
                </c:pt>
                <c:pt idx="71">
                  <c:v>113.71676266045574</c:v>
                </c:pt>
                <c:pt idx="72">
                  <c:v>114.08680617135752</c:v>
                </c:pt>
                <c:pt idx="73">
                  <c:v>114.47084512776901</c:v>
                </c:pt>
                <c:pt idx="74">
                  <c:v>114.86992725572016</c:v>
                </c:pt>
                <c:pt idx="75">
                  <c:v>115.28522040559642</c:v>
                </c:pt>
                <c:pt idx="76">
                  <c:v>115.71803147305985</c:v>
                </c:pt>
                <c:pt idx="77">
                  <c:v>116.16982917619445</c:v>
                </c:pt>
                <c:pt idx="78">
                  <c:v>116.64227166825967</c:v>
                </c:pt>
                <c:pt idx="79">
                  <c:v>117.13724026758014</c:v>
                </c:pt>
                <c:pt idx="80">
                  <c:v>117.65688099946409</c:v>
                </c:pt>
                <c:pt idx="81">
                  <c:v>118.20365621777754</c:v>
                </c:pt>
                <c:pt idx="82">
                  <c:v>118.78040937842795</c:v>
                </c:pt>
                <c:pt idx="83">
                  <c:v>119.39044718458399</c:v>
                </c:pt>
                <c:pt idx="84">
                  <c:v>120.03764498735761</c:v>
                </c:pt>
                <c:pt idx="85">
                  <c:v>120.72658378232644</c:v>
                </c:pt>
                <c:pt idx="86">
                  <c:v>121.46273084268772</c:v>
                </c:pt>
                <c:pt idx="87">
                  <c:v>122.25268172888632</c:v>
                </c:pt>
                <c:pt idx="88">
                  <c:v>123.10449041222545</c:v>
                </c:pt>
                <c:pt idx="89">
                  <c:v>124.02812885738702</c:v>
                </c:pt>
                <c:pt idx="90">
                  <c:v>125.03614188533552</c:v>
                </c:pt>
                <c:pt idx="91">
                  <c:v>126.14460566192885</c:v>
                </c:pt>
                <c:pt idx="92">
                  <c:v>127.37457518854889</c:v>
                </c:pt>
                <c:pt idx="93">
                  <c:v>128.75435270442455</c:v>
                </c:pt>
                <c:pt idx="94">
                  <c:v>130.32320432501791</c:v>
                </c:pt>
                <c:pt idx="95">
                  <c:v>132.13779115623666</c:v>
                </c:pt>
                <c:pt idx="96">
                  <c:v>134.2840885755605</c:v>
                </c:pt>
                <c:pt idx="97">
                  <c:v>136.90154205156591</c:v>
                </c:pt>
                <c:pt idx="98">
                  <c:v>140.23836122851796</c:v>
                </c:pt>
                <c:pt idx="99">
                  <c:v>144.80273463377526</c:v>
                </c:pt>
                <c:pt idx="100">
                  <c:v>151.91716142812129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E1B0-4937-908F-6092CB2E5752}"/>
            </c:ext>
          </c:extLst>
        </c:ser>
        <c:ser>
          <c:idx val="0"/>
          <c:order val="4"/>
          <c:tx>
            <c:v>2.38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'G27 60L (m;velo)'!$A$2:$A$44</c:f>
              <c:numCache>
                <c:formatCode>0.00E+00</c:formatCode>
                <c:ptCount val="43"/>
                <c:pt idx="0">
                  <c:v>25.003021597856595</c:v>
                </c:pt>
                <c:pt idx="1">
                  <c:v>21.606186818762051</c:v>
                </c:pt>
                <c:pt idx="2">
                  <c:v>0.74584062256687</c:v>
                </c:pt>
                <c:pt idx="3">
                  <c:v>0.99445416342249338</c:v>
                </c:pt>
                <c:pt idx="4">
                  <c:v>1.2430677042781166</c:v>
                </c:pt>
                <c:pt idx="5">
                  <c:v>1.49168124513374</c:v>
                </c:pt>
                <c:pt idx="6">
                  <c:v>1.7402947859893634</c:v>
                </c:pt>
                <c:pt idx="7">
                  <c:v>1.9889083268449868</c:v>
                </c:pt>
                <c:pt idx="8">
                  <c:v>2.2375218677006097</c:v>
                </c:pt>
                <c:pt idx="9">
                  <c:v>2.4861354085562333</c:v>
                </c:pt>
                <c:pt idx="10">
                  <c:v>2.7347489494118569</c:v>
                </c:pt>
                <c:pt idx="11">
                  <c:v>0.99445416342249338</c:v>
                </c:pt>
                <c:pt idx="12">
                  <c:v>1.2430677042781166</c:v>
                </c:pt>
                <c:pt idx="13">
                  <c:v>1.49168124513374</c:v>
                </c:pt>
                <c:pt idx="14">
                  <c:v>1.7402947859893634</c:v>
                </c:pt>
                <c:pt idx="15">
                  <c:v>1.9889083268449868</c:v>
                </c:pt>
                <c:pt idx="16">
                  <c:v>2.2375218677006097</c:v>
                </c:pt>
                <c:pt idx="17">
                  <c:v>2.7347489494118569</c:v>
                </c:pt>
                <c:pt idx="18">
                  <c:v>2.98336249026748</c:v>
                </c:pt>
                <c:pt idx="19">
                  <c:v>1.2430677042781166</c:v>
                </c:pt>
                <c:pt idx="20">
                  <c:v>1.49168124513374</c:v>
                </c:pt>
                <c:pt idx="21">
                  <c:v>1.7402947859893634</c:v>
                </c:pt>
                <c:pt idx="22">
                  <c:v>1.9889083268449868</c:v>
                </c:pt>
                <c:pt idx="23">
                  <c:v>2.2375218677006097</c:v>
                </c:pt>
                <c:pt idx="24">
                  <c:v>2.4861354085562333</c:v>
                </c:pt>
                <c:pt idx="25">
                  <c:v>4.0474201093863513</c:v>
                </c:pt>
                <c:pt idx="26">
                  <c:v>4.6701001262150204</c:v>
                </c:pt>
                <c:pt idx="27">
                  <c:v>4.9814401346293558</c:v>
                </c:pt>
                <c:pt idx="28">
                  <c:v>7.1608201935296982</c:v>
                </c:pt>
                <c:pt idx="29">
                  <c:v>3.4247400925576819</c:v>
                </c:pt>
                <c:pt idx="30">
                  <c:v>3.7360801009720164</c:v>
                </c:pt>
                <c:pt idx="31">
                  <c:v>4.0474201093863513</c:v>
                </c:pt>
                <c:pt idx="32">
                  <c:v>4.3587601178006858</c:v>
                </c:pt>
                <c:pt idx="33">
                  <c:v>4.6701001262150204</c:v>
                </c:pt>
                <c:pt idx="34">
                  <c:v>6.2268001682866947</c:v>
                </c:pt>
                <c:pt idx="35">
                  <c:v>7.1608201935296982</c:v>
                </c:pt>
                <c:pt idx="36">
                  <c:v>3.1134000841433473</c:v>
                </c:pt>
                <c:pt idx="37">
                  <c:v>3.4247400925576819</c:v>
                </c:pt>
                <c:pt idx="38">
                  <c:v>3.7360801009720164</c:v>
                </c:pt>
                <c:pt idx="39">
                  <c:v>4.0474201093863513</c:v>
                </c:pt>
                <c:pt idx="40">
                  <c:v>4.3587601178006858</c:v>
                </c:pt>
                <c:pt idx="41">
                  <c:v>5.2927801430436903</c:v>
                </c:pt>
                <c:pt idx="42">
                  <c:v>7.1608201935296982</c:v>
                </c:pt>
              </c:numCache>
              <c:extLst xmlns:c15="http://schemas.microsoft.com/office/drawing/2012/chart"/>
            </c:numRef>
          </c:xVal>
          <c:yVal>
            <c:numRef>
              <c:f>'G27 60L (m;velo)'!$B$2:$B$44</c:f>
              <c:numCache>
                <c:formatCode>#,##0.000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E1B0-4937-908F-6092CB2E5752}"/>
            </c:ext>
          </c:extLst>
        </c:ser>
        <c:ser>
          <c:idx val="1"/>
          <c:order val="5"/>
          <c:tx>
            <c:v>Fit 2.38 mm</c:v>
          </c:tx>
          <c:spPr>
            <a:ln w="254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'G27 60L (m;velo)'!$N$2:$N$102</c:f>
              <c:numCache>
                <c:formatCode>0.000</c:formatCode>
                <c:ptCount val="101"/>
                <c:pt idx="0">
                  <c:v>25.003021597856609</c:v>
                </c:pt>
                <c:pt idx="1">
                  <c:v>24.760449788103706</c:v>
                </c:pt>
                <c:pt idx="2">
                  <c:v>24.517877978350814</c:v>
                </c:pt>
                <c:pt idx="3">
                  <c:v>24.275306168597922</c:v>
                </c:pt>
                <c:pt idx="4">
                  <c:v>24.032734358845012</c:v>
                </c:pt>
                <c:pt idx="5">
                  <c:v>23.790162549092116</c:v>
                </c:pt>
                <c:pt idx="6">
                  <c:v>23.547590739339228</c:v>
                </c:pt>
                <c:pt idx="7">
                  <c:v>23.305018929586325</c:v>
                </c:pt>
                <c:pt idx="8">
                  <c:v>23.062447119833426</c:v>
                </c:pt>
                <c:pt idx="9">
                  <c:v>22.819875310080533</c:v>
                </c:pt>
                <c:pt idx="10">
                  <c:v>22.577303500327631</c:v>
                </c:pt>
                <c:pt idx="11">
                  <c:v>22.334731690574724</c:v>
                </c:pt>
                <c:pt idx="12">
                  <c:v>22.092159880821836</c:v>
                </c:pt>
                <c:pt idx="13">
                  <c:v>21.84958807106894</c:v>
                </c:pt>
                <c:pt idx="14">
                  <c:v>21.607016261316048</c:v>
                </c:pt>
                <c:pt idx="15">
                  <c:v>21.364444451563145</c:v>
                </c:pt>
                <c:pt idx="16">
                  <c:v>21.121872641810242</c:v>
                </c:pt>
                <c:pt idx="17">
                  <c:v>20.879300832057357</c:v>
                </c:pt>
                <c:pt idx="18">
                  <c:v>20.636729022304451</c:v>
                </c:pt>
                <c:pt idx="19">
                  <c:v>20.394157212551548</c:v>
                </c:pt>
                <c:pt idx="20">
                  <c:v>20.151585402798656</c:v>
                </c:pt>
                <c:pt idx="21">
                  <c:v>19.909013593045771</c:v>
                </c:pt>
                <c:pt idx="22">
                  <c:v>19.666441783292864</c:v>
                </c:pt>
                <c:pt idx="23">
                  <c:v>19.423869973539972</c:v>
                </c:pt>
                <c:pt idx="24">
                  <c:v>19.181298163787069</c:v>
                </c:pt>
                <c:pt idx="25">
                  <c:v>18.938726354034173</c:v>
                </c:pt>
                <c:pt idx="26">
                  <c:v>18.696154544281281</c:v>
                </c:pt>
                <c:pt idx="27">
                  <c:v>18.453582734528371</c:v>
                </c:pt>
                <c:pt idx="28">
                  <c:v>18.211010924775479</c:v>
                </c:pt>
                <c:pt idx="29">
                  <c:v>17.96843911502258</c:v>
                </c:pt>
                <c:pt idx="30">
                  <c:v>17.725867305269684</c:v>
                </c:pt>
                <c:pt idx="31">
                  <c:v>17.483295495516792</c:v>
                </c:pt>
                <c:pt idx="32">
                  <c:v>17.240723685763886</c:v>
                </c:pt>
                <c:pt idx="33">
                  <c:v>16.99815187601099</c:v>
                </c:pt>
                <c:pt idx="34">
                  <c:v>16.755580066258091</c:v>
                </c:pt>
                <c:pt idx="35">
                  <c:v>16.513008256505202</c:v>
                </c:pt>
                <c:pt idx="36">
                  <c:v>16.270436446752299</c:v>
                </c:pt>
                <c:pt idx="37">
                  <c:v>16.027864636999404</c:v>
                </c:pt>
                <c:pt idx="38">
                  <c:v>15.785292827246508</c:v>
                </c:pt>
                <c:pt idx="39">
                  <c:v>15.542721017493612</c:v>
                </c:pt>
                <c:pt idx="40">
                  <c:v>15.300149207740711</c:v>
                </c:pt>
                <c:pt idx="41">
                  <c:v>15.057577397987812</c:v>
                </c:pt>
                <c:pt idx="42">
                  <c:v>14.815005588234916</c:v>
                </c:pt>
                <c:pt idx="43">
                  <c:v>14.572433778482015</c:v>
                </c:pt>
                <c:pt idx="44">
                  <c:v>14.329861968729118</c:v>
                </c:pt>
                <c:pt idx="45">
                  <c:v>14.08729015897622</c:v>
                </c:pt>
                <c:pt idx="46">
                  <c:v>13.84471834922333</c:v>
                </c:pt>
                <c:pt idx="47">
                  <c:v>13.60214653947043</c:v>
                </c:pt>
                <c:pt idx="48">
                  <c:v>13.359574729717535</c:v>
                </c:pt>
                <c:pt idx="49">
                  <c:v>13.117002919964634</c:v>
                </c:pt>
                <c:pt idx="50">
                  <c:v>12.874431110211738</c:v>
                </c:pt>
                <c:pt idx="51">
                  <c:v>12.631859300458837</c:v>
                </c:pt>
                <c:pt idx="52">
                  <c:v>12.389287490705943</c:v>
                </c:pt>
                <c:pt idx="53">
                  <c:v>12.146715680953044</c:v>
                </c:pt>
                <c:pt idx="54">
                  <c:v>11.904143871200146</c:v>
                </c:pt>
                <c:pt idx="55">
                  <c:v>11.66157206144725</c:v>
                </c:pt>
                <c:pt idx="56">
                  <c:v>11.419000251694353</c:v>
                </c:pt>
                <c:pt idx="57">
                  <c:v>11.176428441941455</c:v>
                </c:pt>
                <c:pt idx="58">
                  <c:v>10.933856632188556</c:v>
                </c:pt>
                <c:pt idx="59">
                  <c:v>10.691284822435664</c:v>
                </c:pt>
                <c:pt idx="60">
                  <c:v>10.448713012682765</c:v>
                </c:pt>
                <c:pt idx="61">
                  <c:v>10.206141202929865</c:v>
                </c:pt>
                <c:pt idx="62">
                  <c:v>9.9635693931769715</c:v>
                </c:pt>
                <c:pt idx="63">
                  <c:v>9.7209975834240723</c:v>
                </c:pt>
                <c:pt idx="64">
                  <c:v>9.4784257736711748</c:v>
                </c:pt>
                <c:pt idx="65">
                  <c:v>9.2358539639182773</c:v>
                </c:pt>
                <c:pt idx="66">
                  <c:v>8.9932821541653816</c:v>
                </c:pt>
                <c:pt idx="67">
                  <c:v>8.7507103444124787</c:v>
                </c:pt>
                <c:pt idx="68">
                  <c:v>8.5081385346595848</c:v>
                </c:pt>
                <c:pt idx="69">
                  <c:v>8.2655667249066873</c:v>
                </c:pt>
                <c:pt idx="70">
                  <c:v>8.0229949151537916</c:v>
                </c:pt>
                <c:pt idx="71">
                  <c:v>7.7804231054008923</c:v>
                </c:pt>
                <c:pt idx="72">
                  <c:v>7.5378512956479975</c:v>
                </c:pt>
                <c:pt idx="73">
                  <c:v>7.2952794858950973</c:v>
                </c:pt>
                <c:pt idx="74">
                  <c:v>7.0527076761422034</c:v>
                </c:pt>
                <c:pt idx="75">
                  <c:v>6.810135866389305</c:v>
                </c:pt>
                <c:pt idx="76">
                  <c:v>6.5675640566364049</c:v>
                </c:pt>
                <c:pt idx="77">
                  <c:v>6.3249922468835091</c:v>
                </c:pt>
                <c:pt idx="78">
                  <c:v>6.0824204371306134</c:v>
                </c:pt>
                <c:pt idx="79">
                  <c:v>5.8398486273777133</c:v>
                </c:pt>
                <c:pt idx="80">
                  <c:v>5.5972768176248175</c:v>
                </c:pt>
                <c:pt idx="81">
                  <c:v>5.3547050078719218</c:v>
                </c:pt>
                <c:pt idx="82">
                  <c:v>5.1121331981190226</c:v>
                </c:pt>
                <c:pt idx="83">
                  <c:v>4.8695613883661224</c:v>
                </c:pt>
                <c:pt idx="84">
                  <c:v>4.6269895786132267</c:v>
                </c:pt>
                <c:pt idx="85">
                  <c:v>4.3844177688603283</c:v>
                </c:pt>
                <c:pt idx="86">
                  <c:v>4.1418459591074361</c:v>
                </c:pt>
                <c:pt idx="87">
                  <c:v>3.8992741493545364</c:v>
                </c:pt>
                <c:pt idx="88">
                  <c:v>3.6567023396016372</c:v>
                </c:pt>
                <c:pt idx="89">
                  <c:v>3.4141305298487414</c:v>
                </c:pt>
                <c:pt idx="90">
                  <c:v>3.1715587200958417</c:v>
                </c:pt>
                <c:pt idx="91">
                  <c:v>2.928986910342946</c:v>
                </c:pt>
                <c:pt idx="92">
                  <c:v>2.6864151005900503</c:v>
                </c:pt>
                <c:pt idx="93">
                  <c:v>2.443843290837151</c:v>
                </c:pt>
                <c:pt idx="94">
                  <c:v>2.2012714810842517</c:v>
                </c:pt>
                <c:pt idx="95">
                  <c:v>1.9586996713313598</c:v>
                </c:pt>
                <c:pt idx="96">
                  <c:v>1.7161278615784605</c:v>
                </c:pt>
                <c:pt idx="97">
                  <c:v>1.473556051825561</c:v>
                </c:pt>
                <c:pt idx="98">
                  <c:v>1.2309842420726653</c:v>
                </c:pt>
                <c:pt idx="99">
                  <c:v>0.98841243231976605</c:v>
                </c:pt>
                <c:pt idx="100">
                  <c:v>0.74584062256687034</c:v>
                </c:pt>
              </c:numCache>
              <c:extLst xmlns:c15="http://schemas.microsoft.com/office/drawing/2012/chart"/>
            </c:numRef>
          </c:xVal>
          <c:yVal>
            <c:numRef>
              <c:f>'G27 60L (m;velo)'!$O$2:$O$102</c:f>
              <c:numCache>
                <c:formatCode>0</c:formatCode>
                <c:ptCount val="101"/>
                <c:pt idx="0">
                  <c:v>94.749439849174451</c:v>
                </c:pt>
                <c:pt idx="1">
                  <c:v>94.868325258857965</c:v>
                </c:pt>
                <c:pt idx="2">
                  <c:v>94.98853249094654</c:v>
                </c:pt>
                <c:pt idx="3">
                  <c:v>95.110089539787666</c:v>
                </c:pt>
                <c:pt idx="4">
                  <c:v>95.233025279901796</c:v>
                </c:pt>
                <c:pt idx="5">
                  <c:v>95.357369502872061</c:v>
                </c:pt>
                <c:pt idx="6">
                  <c:v>95.483152956174237</c:v>
                </c:pt>
                <c:pt idx="7">
                  <c:v>95.610407384071024</c:v>
                </c:pt>
                <c:pt idx="8">
                  <c:v>95.739165570701374</c:v>
                </c:pt>
                <c:pt idx="9">
                  <c:v>95.86946138550887</c:v>
                </c:pt>
                <c:pt idx="10">
                  <c:v>96.001329831161271</c:v>
                </c:pt>
                <c:pt idx="11">
                  <c:v>96.134807094127538</c:v>
                </c:pt>
                <c:pt idx="12">
                  <c:v>96.269930598088266</c:v>
                </c:pt>
                <c:pt idx="13">
                  <c:v>96.406739060374193</c:v>
                </c:pt>
                <c:pt idx="14">
                  <c:v>96.545272551637325</c:v>
                </c:pt>
                <c:pt idx="15">
                  <c:v>96.685572558980837</c:v>
                </c:pt>
                <c:pt idx="16">
                  <c:v>96.82768205278812</c:v>
                </c:pt>
                <c:pt idx="17">
                  <c:v>96.971645557514577</c:v>
                </c:pt>
                <c:pt idx="18">
                  <c:v>97.117509226724707</c:v>
                </c:pt>
                <c:pt idx="19">
                  <c:v>97.265320922684509</c:v>
                </c:pt>
                <c:pt idx="20">
                  <c:v>97.415130300840687</c:v>
                </c:pt>
                <c:pt idx="21">
                  <c:v>97.566988899552229</c:v>
                </c:pt>
                <c:pt idx="22">
                  <c:v>97.720950235467654</c:v>
                </c:pt>
                <c:pt idx="23">
                  <c:v>97.877069904978867</c:v>
                </c:pt>
                <c:pt idx="24">
                  <c:v>98.035405692219172</c:v>
                </c:pt>
                <c:pt idx="25">
                  <c:v>98.196017684116299</c:v>
                </c:pt>
                <c:pt idx="26">
                  <c:v>98.358968393059484</c:v>
                </c:pt>
                <c:pt idx="27">
                  <c:v>98.524322887789182</c:v>
                </c:pt>
                <c:pt idx="28">
                  <c:v>98.692148933177535</c:v>
                </c:pt>
                <c:pt idx="29">
                  <c:v>98.862517139630498</c:v>
                </c:pt>
                <c:pt idx="30">
                  <c:v>99.035501122915207</c:v>
                </c:pt>
                <c:pt idx="31">
                  <c:v>99.211177675291168</c:v>
                </c:pt>
                <c:pt idx="32">
                  <c:v>99.389626948917325</c:v>
                </c:pt>
                <c:pt idx="33">
                  <c:v>99.570932652599581</c:v>
                </c:pt>
                <c:pt idx="34">
                  <c:v>99.755182263056156</c:v>
                </c:pt>
                <c:pt idx="35">
                  <c:v>99.942467251999929</c:v>
                </c:pt>
                <c:pt idx="36">
                  <c:v>100.13288333047291</c:v>
                </c:pt>
                <c:pt idx="37">
                  <c:v>100.32653071202364</c:v>
                </c:pt>
                <c:pt idx="38">
                  <c:v>100.52351439648916</c:v>
                </c:pt>
                <c:pt idx="39">
                  <c:v>100.7239444763417</c:v>
                </c:pt>
                <c:pt idx="40">
                  <c:v>100.92793646777429</c:v>
                </c:pt>
                <c:pt idx="41">
                  <c:v>101.13561166895522</c:v>
                </c:pt>
                <c:pt idx="42">
                  <c:v>101.34709754815424</c:v>
                </c:pt>
                <c:pt idx="43">
                  <c:v>101.56252816477043</c:v>
                </c:pt>
                <c:pt idx="44">
                  <c:v>101.78204462664785</c:v>
                </c:pt>
                <c:pt idx="45">
                  <c:v>102.00579558748117</c:v>
                </c:pt>
                <c:pt idx="46">
                  <c:v>102.23393778858498</c:v>
                </c:pt>
                <c:pt idx="47">
                  <c:v>102.46663664983787</c:v>
                </c:pt>
                <c:pt idx="48">
                  <c:v>102.70406691523128</c:v>
                </c:pt>
                <c:pt idx="49">
                  <c:v>102.94641335916366</c:v>
                </c:pt>
                <c:pt idx="50">
                  <c:v>103.19387156043898</c:v>
                </c:pt>
                <c:pt idx="51">
                  <c:v>103.44664875187148</c:v>
                </c:pt>
                <c:pt idx="52">
                  <c:v>103.70496475449492</c:v>
                </c:pt>
                <c:pt idx="53">
                  <c:v>103.96905300664378</c:v>
                </c:pt>
                <c:pt idx="54">
                  <c:v>104.2391616996518</c:v>
                </c:pt>
                <c:pt idx="55">
                  <c:v>104.5155550336399</c:v>
                </c:pt>
                <c:pt idx="56">
                  <c:v>104.79851460889004</c:v>
                </c:pt>
                <c:pt idx="57">
                  <c:v>105.08834097067175</c:v>
                </c:pt>
                <c:pt idx="58">
                  <c:v>105.38535532819334</c:v>
                </c:pt>
                <c:pt idx="59">
                  <c:v>105.68990147165793</c:v>
                </c:pt>
                <c:pt idx="60">
                  <c:v>106.00234791533461</c:v>
                </c:pt>
                <c:pt idx="61">
                  <c:v>106.32309029923977</c:v>
                </c:pt>
                <c:pt idx="62">
                  <c:v>106.65255408761725</c:v>
                </c:pt>
                <c:pt idx="63">
                  <c:v>106.9911976091345</c:v>
                </c:pt>
                <c:pt idx="64">
                  <c:v>107.33951549181586</c:v>
                </c:pt>
                <c:pt idx="65">
                  <c:v>107.69804255555077</c:v>
                </c:pt>
                <c:pt idx="66">
                  <c:v>108.06735823696468</c:v>
                </c:pt>
                <c:pt idx="67">
                  <c:v>108.4480916360469</c:v>
                </c:pt>
                <c:pt idx="68">
                  <c:v>108.84092729188131</c:v>
                </c:pt>
                <c:pt idx="69">
                  <c:v>109.2466118170147</c:v>
                </c:pt>
                <c:pt idx="70">
                  <c:v>109.66596154755895</c:v>
                </c:pt>
                <c:pt idx="71">
                  <c:v>110.09987140059499</c:v>
                </c:pt>
                <c:pt idx="72">
                  <c:v>110.54932517380317</c:v>
                </c:pt>
                <c:pt idx="73">
                  <c:v>111.01540757716798</c:v>
                </c:pt>
                <c:pt idx="74">
                  <c:v>111.49931835666007</c:v>
                </c:pt>
                <c:pt idx="75">
                  <c:v>112.00238895985383</c:v>
                </c:pt>
                <c:pt idx="76">
                  <c:v>112.52610231010308</c:v>
                </c:pt>
                <c:pt idx="77">
                  <c:v>113.07211640838682</c:v>
                </c:pt>
                <c:pt idx="78">
                  <c:v>113.64229268303804</c:v>
                </c:pt>
                <c:pt idx="79">
                  <c:v>114.23873027543932</c:v>
                </c:pt>
                <c:pt idx="80">
                  <c:v>114.86380781034379</c:v>
                </c:pt>
                <c:pt idx="81">
                  <c:v>115.52023469041049</c:v>
                </c:pt>
                <c:pt idx="82">
                  <c:v>116.21111463121174</c:v>
                </c:pt>
                <c:pt idx="83">
                  <c:v>116.94002509817855</c:v>
                </c:pt>
                <c:pt idx="84">
                  <c:v>117.7111176465304</c:v>
                </c:pt>
                <c:pt idx="85">
                  <c:v>118.52924609401978</c:v>
                </c:pt>
                <c:pt idx="86">
                  <c:v>119.4001322820795</c:v>
                </c:pt>
                <c:pt idx="87">
                  <c:v>120.33058340068528</c:v>
                </c:pt>
                <c:pt idx="88">
                  <c:v>121.32878128833823</c:v>
                </c:pt>
                <c:pt idx="89">
                  <c:v>122.40467416915922</c:v>
                </c:pt>
                <c:pt idx="90">
                  <c:v>123.57051740392396</c:v>
                </c:pt>
                <c:pt idx="91">
                  <c:v>124.84163645160963</c:v>
                </c:pt>
                <c:pt idx="92">
                  <c:v>126.23753072806871</c:v>
                </c:pt>
                <c:pt idx="93">
                  <c:v>127.7835178771884</c:v>
                </c:pt>
                <c:pt idx="94">
                  <c:v>129.5132682520167</c:v>
                </c:pt>
                <c:pt idx="95">
                  <c:v>131.47287415548462</c:v>
                </c:pt>
                <c:pt idx="96">
                  <c:v>133.7277147234779</c:v>
                </c:pt>
                <c:pt idx="97">
                  <c:v>136.37477110572928</c:v>
                </c:pt>
                <c:pt idx="98">
                  <c:v>139.56652443437952</c:v>
                </c:pt>
                <c:pt idx="99">
                  <c:v>143.56243422306031</c:v>
                </c:pt>
                <c:pt idx="100">
                  <c:v>148.85736298171247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1B0-4937-908F-6092CB2E5752}"/>
            </c:ext>
          </c:extLst>
        </c:ser>
        <c:ser>
          <c:idx val="2"/>
          <c:order val="6"/>
          <c:tx>
            <c:v>3.50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'G20 120L (m;velo)'!$A$2:$A$32</c:f>
              <c:numCache>
                <c:formatCode>0.00E+00</c:formatCode>
                <c:ptCount val="31"/>
                <c:pt idx="0">
                  <c:v>1.4578648939290255</c:v>
                </c:pt>
                <c:pt idx="1">
                  <c:v>2.4297748232150425</c:v>
                </c:pt>
                <c:pt idx="2">
                  <c:v>2.915729787858051</c:v>
                </c:pt>
                <c:pt idx="3">
                  <c:v>0.97190992928601705</c:v>
                </c:pt>
                <c:pt idx="4">
                  <c:v>1.4578648939290255</c:v>
                </c:pt>
                <c:pt idx="5">
                  <c:v>1.9438198585720341</c:v>
                </c:pt>
                <c:pt idx="6">
                  <c:v>2.915729787858051</c:v>
                </c:pt>
                <c:pt idx="7">
                  <c:v>0.97190992928601705</c:v>
                </c:pt>
                <c:pt idx="8">
                  <c:v>1.4578648939290255</c:v>
                </c:pt>
                <c:pt idx="9">
                  <c:v>1.9438198585720341</c:v>
                </c:pt>
                <c:pt idx="10">
                  <c:v>2.915729787858051</c:v>
                </c:pt>
                <c:pt idx="11">
                  <c:v>3.6513833219278529</c:v>
                </c:pt>
                <c:pt idx="12">
                  <c:v>4.259947208915829</c:v>
                </c:pt>
                <c:pt idx="13">
                  <c:v>4.8685110959038047</c:v>
                </c:pt>
                <c:pt idx="14">
                  <c:v>5.4770749828917795</c:v>
                </c:pt>
                <c:pt idx="15">
                  <c:v>6.6942027568677309</c:v>
                </c:pt>
                <c:pt idx="16">
                  <c:v>7.3027666438557057</c:v>
                </c:pt>
                <c:pt idx="17">
                  <c:v>2.4342555479519024</c:v>
                </c:pt>
                <c:pt idx="18">
                  <c:v>3.0428194349398776</c:v>
                </c:pt>
                <c:pt idx="19">
                  <c:v>3.6513833219278529</c:v>
                </c:pt>
                <c:pt idx="20">
                  <c:v>4.259947208915829</c:v>
                </c:pt>
                <c:pt idx="21">
                  <c:v>5.4770749828917795</c:v>
                </c:pt>
                <c:pt idx="22">
                  <c:v>6.0856388698797552</c:v>
                </c:pt>
                <c:pt idx="23">
                  <c:v>6.6942027568677309</c:v>
                </c:pt>
                <c:pt idx="24">
                  <c:v>3.0428194349398776</c:v>
                </c:pt>
                <c:pt idx="25">
                  <c:v>3.6513833219278529</c:v>
                </c:pt>
                <c:pt idx="26">
                  <c:v>4.8685110959038047</c:v>
                </c:pt>
                <c:pt idx="27">
                  <c:v>5.4770749828917795</c:v>
                </c:pt>
                <c:pt idx="28">
                  <c:v>6.0856388698797552</c:v>
                </c:pt>
                <c:pt idx="29">
                  <c:v>15.641802717763225</c:v>
                </c:pt>
                <c:pt idx="30">
                  <c:v>13.034835598136022</c:v>
                </c:pt>
              </c:numCache>
              <c:extLst xmlns:c15="http://schemas.microsoft.com/office/drawing/2012/chart"/>
            </c:numRef>
          </c:xVal>
          <c:yVal>
            <c:numRef>
              <c:f>'G20 120L (m;velo)'!$B$2:$B$32</c:f>
              <c:numCache>
                <c:formatCode>#,##0.000</c:formatCode>
                <c:ptCount val="31"/>
                <c:pt idx="0">
                  <c:v>138.47528590532582</c:v>
                </c:pt>
                <c:pt idx="1">
                  <c:v>128.9393080514532</c:v>
                </c:pt>
                <c:pt idx="2">
                  <c:v>119.78359925310309</c:v>
                </c:pt>
                <c:pt idx="3">
                  <c:v>144.23390887684323</c:v>
                </c:pt>
                <c:pt idx="4">
                  <c:v>140.89783799974145</c:v>
                </c:pt>
                <c:pt idx="5">
                  <c:v>129.45570016687481</c:v>
                </c:pt>
                <c:pt idx="6">
                  <c:v>124.10042849573773</c:v>
                </c:pt>
                <c:pt idx="7">
                  <c:v>142.5189443282251</c:v>
                </c:pt>
                <c:pt idx="8">
                  <c:v>133.45670982827062</c:v>
                </c:pt>
                <c:pt idx="9">
                  <c:v>124.71603849452865</c:v>
                </c:pt>
                <c:pt idx="10">
                  <c:v>123.89751408438963</c:v>
                </c:pt>
                <c:pt idx="11">
                  <c:v>125.0881979570498</c:v>
                </c:pt>
                <c:pt idx="12">
                  <c:v>116.38083086759765</c:v>
                </c:pt>
                <c:pt idx="13">
                  <c:v>113.91740208566142</c:v>
                </c:pt>
                <c:pt idx="14">
                  <c:v>111.6490963684362</c:v>
                </c:pt>
                <c:pt idx="15">
                  <c:v>107.64907339062384</c:v>
                </c:pt>
                <c:pt idx="16">
                  <c:v>106.60028688260051</c:v>
                </c:pt>
                <c:pt idx="17">
                  <c:v>122.60037878831164</c:v>
                </c:pt>
                <c:pt idx="18">
                  <c:v>118.35645197110961</c:v>
                </c:pt>
                <c:pt idx="19">
                  <c:v>117.42961737884711</c:v>
                </c:pt>
                <c:pt idx="20">
                  <c:v>115.47838665829444</c:v>
                </c:pt>
                <c:pt idx="21">
                  <c:v>114.47838091401121</c:v>
                </c:pt>
                <c:pt idx="22">
                  <c:v>113.47837516972798</c:v>
                </c:pt>
                <c:pt idx="23">
                  <c:v>107.47834070402855</c:v>
                </c:pt>
                <c:pt idx="24">
                  <c:v>118.64312103662732</c:v>
                </c:pt>
                <c:pt idx="25">
                  <c:v>115.05547298976759</c:v>
                </c:pt>
                <c:pt idx="26">
                  <c:v>112.3464326278531</c:v>
                </c:pt>
                <c:pt idx="27">
                  <c:v>110.88208648627773</c:v>
                </c:pt>
                <c:pt idx="28">
                  <c:v>110.63802879601515</c:v>
                </c:pt>
                <c:pt idx="29">
                  <c:v>101.0765920893912</c:v>
                </c:pt>
                <c:pt idx="30">
                  <c:v>99.463772200994654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E1B0-4937-908F-6092CB2E5752}"/>
            </c:ext>
          </c:extLst>
        </c:ser>
        <c:ser>
          <c:idx val="3"/>
          <c:order val="7"/>
          <c:tx>
            <c:v>Fit 3.50 mm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'G20 120L (m;velo)'!$N$2:$N$102</c:f>
              <c:numCache>
                <c:formatCode>0.000</c:formatCode>
                <c:ptCount val="101"/>
                <c:pt idx="0">
                  <c:v>15.641802717763225</c:v>
                </c:pt>
                <c:pt idx="1">
                  <c:v>15.495103789878458</c:v>
                </c:pt>
                <c:pt idx="2">
                  <c:v>15.348404861993686</c:v>
                </c:pt>
                <c:pt idx="3">
                  <c:v>15.201705934108915</c:v>
                </c:pt>
                <c:pt idx="4">
                  <c:v>15.055007006224146</c:v>
                </c:pt>
                <c:pt idx="5">
                  <c:v>14.908308078339369</c:v>
                </c:pt>
                <c:pt idx="6">
                  <c:v>14.761609150454595</c:v>
                </c:pt>
                <c:pt idx="7">
                  <c:v>14.614910222569824</c:v>
                </c:pt>
                <c:pt idx="8">
                  <c:v>14.46821129468505</c:v>
                </c:pt>
                <c:pt idx="9">
                  <c:v>14.321512366800278</c:v>
                </c:pt>
                <c:pt idx="10">
                  <c:v>14.174813438915509</c:v>
                </c:pt>
                <c:pt idx="11">
                  <c:v>14.028114511030738</c:v>
                </c:pt>
                <c:pt idx="12">
                  <c:v>13.881415583145966</c:v>
                </c:pt>
                <c:pt idx="13">
                  <c:v>13.734716655261193</c:v>
                </c:pt>
                <c:pt idx="14">
                  <c:v>13.588017727376418</c:v>
                </c:pt>
                <c:pt idx="15">
                  <c:v>13.441318799491651</c:v>
                </c:pt>
                <c:pt idx="16">
                  <c:v>13.294619871606875</c:v>
                </c:pt>
                <c:pt idx="17">
                  <c:v>13.147920943722104</c:v>
                </c:pt>
                <c:pt idx="18">
                  <c:v>13.001222015837334</c:v>
                </c:pt>
                <c:pt idx="19">
                  <c:v>12.854523087952559</c:v>
                </c:pt>
                <c:pt idx="20">
                  <c:v>12.707824160067785</c:v>
                </c:pt>
                <c:pt idx="21">
                  <c:v>12.561125232183015</c:v>
                </c:pt>
                <c:pt idx="22">
                  <c:v>12.414426304298242</c:v>
                </c:pt>
                <c:pt idx="23">
                  <c:v>12.267727376413472</c:v>
                </c:pt>
                <c:pt idx="24">
                  <c:v>12.121028448528699</c:v>
                </c:pt>
                <c:pt idx="25">
                  <c:v>11.974329520643931</c:v>
                </c:pt>
                <c:pt idx="26">
                  <c:v>11.827630592759158</c:v>
                </c:pt>
                <c:pt idx="27">
                  <c:v>11.680931664874381</c:v>
                </c:pt>
                <c:pt idx="28">
                  <c:v>11.534232736989608</c:v>
                </c:pt>
                <c:pt idx="29">
                  <c:v>11.387533809104839</c:v>
                </c:pt>
                <c:pt idx="30">
                  <c:v>11.240834881220065</c:v>
                </c:pt>
                <c:pt idx="31">
                  <c:v>11.094135953335291</c:v>
                </c:pt>
                <c:pt idx="32">
                  <c:v>10.947437025450524</c:v>
                </c:pt>
                <c:pt idx="33">
                  <c:v>10.80073809756575</c:v>
                </c:pt>
                <c:pt idx="34">
                  <c:v>10.654039169680976</c:v>
                </c:pt>
                <c:pt idx="35">
                  <c:v>10.507340241796202</c:v>
                </c:pt>
                <c:pt idx="36">
                  <c:v>10.360641313911433</c:v>
                </c:pt>
                <c:pt idx="37">
                  <c:v>10.213942386026659</c:v>
                </c:pt>
                <c:pt idx="38">
                  <c:v>10.067243458141894</c:v>
                </c:pt>
                <c:pt idx="39">
                  <c:v>9.920544530257116</c:v>
                </c:pt>
                <c:pt idx="40">
                  <c:v>9.7738456023723419</c:v>
                </c:pt>
                <c:pt idx="41">
                  <c:v>9.6271466744875696</c:v>
                </c:pt>
                <c:pt idx="42">
                  <c:v>9.4804477466027972</c:v>
                </c:pt>
                <c:pt idx="43">
                  <c:v>9.3337488187180266</c:v>
                </c:pt>
                <c:pt idx="44">
                  <c:v>9.1870498908332543</c:v>
                </c:pt>
                <c:pt idx="45">
                  <c:v>9.0403509629484837</c:v>
                </c:pt>
                <c:pt idx="46">
                  <c:v>8.8936520350637132</c:v>
                </c:pt>
                <c:pt idx="47">
                  <c:v>8.746953107178939</c:v>
                </c:pt>
                <c:pt idx="48">
                  <c:v>8.6002541792941667</c:v>
                </c:pt>
                <c:pt idx="49">
                  <c:v>8.4535552514093943</c:v>
                </c:pt>
                <c:pt idx="50">
                  <c:v>8.3068563235246202</c:v>
                </c:pt>
                <c:pt idx="51">
                  <c:v>8.1601573956398514</c:v>
                </c:pt>
                <c:pt idx="52">
                  <c:v>8.0134584677550791</c:v>
                </c:pt>
                <c:pt idx="53">
                  <c:v>7.8667595398703076</c:v>
                </c:pt>
                <c:pt idx="54">
                  <c:v>7.7200606119855335</c:v>
                </c:pt>
                <c:pt idx="55">
                  <c:v>7.5733616841007638</c:v>
                </c:pt>
                <c:pt idx="56">
                  <c:v>7.4266627562159933</c:v>
                </c:pt>
                <c:pt idx="57">
                  <c:v>7.2799638283312182</c:v>
                </c:pt>
                <c:pt idx="58">
                  <c:v>7.1332649004464468</c:v>
                </c:pt>
                <c:pt idx="59">
                  <c:v>6.9865659725616736</c:v>
                </c:pt>
                <c:pt idx="60">
                  <c:v>6.8398670446769021</c:v>
                </c:pt>
                <c:pt idx="61">
                  <c:v>6.6931681167921298</c:v>
                </c:pt>
                <c:pt idx="62">
                  <c:v>6.5464691889073592</c:v>
                </c:pt>
                <c:pt idx="63">
                  <c:v>6.3997702610225859</c:v>
                </c:pt>
                <c:pt idx="64">
                  <c:v>6.2530713331378127</c:v>
                </c:pt>
                <c:pt idx="65">
                  <c:v>6.1063724052530413</c:v>
                </c:pt>
                <c:pt idx="66">
                  <c:v>5.9596734773682689</c:v>
                </c:pt>
                <c:pt idx="67">
                  <c:v>5.8129745494834957</c:v>
                </c:pt>
                <c:pt idx="68">
                  <c:v>5.6662756215987242</c:v>
                </c:pt>
                <c:pt idx="69">
                  <c:v>5.5195766937139519</c:v>
                </c:pt>
                <c:pt idx="70">
                  <c:v>5.3728777658291786</c:v>
                </c:pt>
                <c:pt idx="71">
                  <c:v>5.226178837944409</c:v>
                </c:pt>
                <c:pt idx="72">
                  <c:v>5.0794799100596366</c:v>
                </c:pt>
                <c:pt idx="73">
                  <c:v>4.9327809821748634</c:v>
                </c:pt>
                <c:pt idx="74">
                  <c:v>4.7860820542900919</c:v>
                </c:pt>
                <c:pt idx="75">
                  <c:v>4.6393831264053196</c:v>
                </c:pt>
                <c:pt idx="76">
                  <c:v>4.4926841985205481</c:v>
                </c:pt>
                <c:pt idx="77">
                  <c:v>4.3459852706357758</c:v>
                </c:pt>
                <c:pt idx="78">
                  <c:v>4.1992863427510034</c:v>
                </c:pt>
                <c:pt idx="79">
                  <c:v>4.0525874148662311</c:v>
                </c:pt>
                <c:pt idx="80">
                  <c:v>3.9058884869814592</c:v>
                </c:pt>
                <c:pt idx="81">
                  <c:v>3.7591895590966864</c:v>
                </c:pt>
                <c:pt idx="82">
                  <c:v>3.6124906312119145</c:v>
                </c:pt>
                <c:pt idx="83">
                  <c:v>3.4657917033271421</c:v>
                </c:pt>
                <c:pt idx="84">
                  <c:v>3.3190927754423698</c:v>
                </c:pt>
                <c:pt idx="85">
                  <c:v>3.172393847557597</c:v>
                </c:pt>
                <c:pt idx="86">
                  <c:v>3.0256949196728247</c:v>
                </c:pt>
                <c:pt idx="87">
                  <c:v>2.8789959917880528</c:v>
                </c:pt>
                <c:pt idx="88">
                  <c:v>2.7322970639032835</c:v>
                </c:pt>
                <c:pt idx="89">
                  <c:v>2.5855981360185112</c:v>
                </c:pt>
                <c:pt idx="90">
                  <c:v>2.4388992081337393</c:v>
                </c:pt>
                <c:pt idx="91">
                  <c:v>2.2922002802489665</c:v>
                </c:pt>
                <c:pt idx="92">
                  <c:v>2.1455013523641946</c:v>
                </c:pt>
                <c:pt idx="93">
                  <c:v>1.998802424479422</c:v>
                </c:pt>
                <c:pt idx="94">
                  <c:v>1.8521034965946497</c:v>
                </c:pt>
                <c:pt idx="95">
                  <c:v>1.7054045687098773</c:v>
                </c:pt>
                <c:pt idx="96">
                  <c:v>1.5587056408251048</c:v>
                </c:pt>
                <c:pt idx="97">
                  <c:v>1.4120067129403324</c:v>
                </c:pt>
                <c:pt idx="98">
                  <c:v>1.2653077850555601</c:v>
                </c:pt>
                <c:pt idx="99">
                  <c:v>1.1186088571707895</c:v>
                </c:pt>
                <c:pt idx="100">
                  <c:v>0.97190992928601894</c:v>
                </c:pt>
              </c:numCache>
              <c:extLst xmlns:c15="http://schemas.microsoft.com/office/drawing/2012/chart"/>
            </c:numRef>
          </c:xVal>
          <c:yVal>
            <c:numRef>
              <c:f>'G20 120L (m;velo)'!$O$2:$O$102</c:f>
              <c:numCache>
                <c:formatCode>0</c:formatCode>
                <c:ptCount val="101"/>
                <c:pt idx="0">
                  <c:v>97.087688831235326</c:v>
                </c:pt>
                <c:pt idx="1">
                  <c:v>97.21423216744229</c:v>
                </c:pt>
                <c:pt idx="2">
                  <c:v>97.342146558220378</c:v>
                </c:pt>
                <c:pt idx="3">
                  <c:v>97.47146017772873</c:v>
                </c:pt>
                <c:pt idx="4">
                  <c:v>97.60220205810073</c:v>
                </c:pt>
                <c:pt idx="5">
                  <c:v>97.73440212423526</c:v>
                </c:pt>
                <c:pt idx="6">
                  <c:v>97.868091230355788</c:v>
                </c:pt>
                <c:pt idx="7">
                  <c:v>98.003301198448838</c:v>
                </c:pt>
                <c:pt idx="8">
                  <c:v>98.140064858694444</c:v>
                </c:pt>
                <c:pt idx="9">
                  <c:v>98.278416092016982</c:v>
                </c:pt>
                <c:pt idx="10">
                  <c:v>98.418389874887467</c:v>
                </c:pt>
                <c:pt idx="11">
                  <c:v>98.560022326523466</c:v>
                </c:pt>
                <c:pt idx="12">
                  <c:v>98.703350758640013</c:v>
                </c:pt>
                <c:pt idx="13">
                  <c:v>98.848413727918668</c:v>
                </c:pt>
                <c:pt idx="14">
                  <c:v>98.995251091373646</c:v>
                </c:pt>
                <c:pt idx="15">
                  <c:v>99.143904064808879</c:v>
                </c:pt>
                <c:pt idx="16">
                  <c:v>99.294415284574015</c:v>
                </c:pt>
                <c:pt idx="17">
                  <c:v>99.446828872842971</c:v>
                </c:pt>
                <c:pt idx="18">
                  <c:v>99.601190506660629</c:v>
                </c:pt>
                <c:pt idx="19">
                  <c:v>99.757547491017917</c:v>
                </c:pt>
                <c:pt idx="20">
                  <c:v>99.915948836240204</c:v>
                </c:pt>
                <c:pt idx="21">
                  <c:v>100.07644533999644</c:v>
                </c:pt>
                <c:pt idx="22">
                  <c:v>100.23908967426364</c:v>
                </c:pt>
                <c:pt idx="23">
                  <c:v>100.40393647760692</c:v>
                </c:pt>
                <c:pt idx="24">
                  <c:v>100.57104245316872</c:v>
                </c:pt>
                <c:pt idx="25">
                  <c:v>100.74046647279499</c:v>
                </c:pt>
                <c:pt idx="26">
                  <c:v>100.91226968776171</c:v>
                </c:pt>
                <c:pt idx="27">
                  <c:v>101.0865156466093</c:v>
                </c:pt>
                <c:pt idx="28">
                  <c:v>101.26327042063589</c:v>
                </c:pt>
                <c:pt idx="29">
                  <c:v>101.442602737652</c:v>
                </c:pt>
                <c:pt idx="30">
                  <c:v>101.62458412465486</c:v>
                </c:pt>
                <c:pt idx="31">
                  <c:v>101.80928906014225</c:v>
                </c:pt>
                <c:pt idx="32">
                  <c:v>101.9967951368546</c:v>
                </c:pt>
                <c:pt idx="33">
                  <c:v>102.18718323580978</c:v>
                </c:pt>
                <c:pt idx="34">
                  <c:v>102.38053771257756</c:v>
                </c:pt>
                <c:pt idx="35">
                  <c:v>102.5769465968406</c:v>
                </c:pt>
                <c:pt idx="36">
                  <c:v>102.77650180638527</c:v>
                </c:pt>
                <c:pt idx="37">
                  <c:v>102.97929937679035</c:v>
                </c:pt>
                <c:pt idx="38">
                  <c:v>103.18543970820639</c:v>
                </c:pt>
                <c:pt idx="39">
                  <c:v>103.39502783076979</c:v>
                </c:pt>
                <c:pt idx="40">
                  <c:v>103.60817369035583</c:v>
                </c:pt>
                <c:pt idx="41">
                  <c:v>103.82499245656081</c:v>
                </c:pt>
                <c:pt idx="42">
                  <c:v>104.04560485501288</c:v>
                </c:pt>
                <c:pt idx="43">
                  <c:v>104.27013752634048</c:v>
                </c:pt>
                <c:pt idx="44">
                  <c:v>104.49872341439659</c:v>
                </c:pt>
                <c:pt idx="45">
                  <c:v>104.731502186629</c:v>
                </c:pt>
                <c:pt idx="46">
                  <c:v>104.96862068983408</c:v>
                </c:pt>
                <c:pt idx="47">
                  <c:v>105.21023344490602</c:v>
                </c:pt>
                <c:pt idx="48">
                  <c:v>105.45650318463832</c:v>
                </c:pt>
                <c:pt idx="49">
                  <c:v>105.70760143912933</c:v>
                </c:pt>
                <c:pt idx="50">
                  <c:v>105.96370917391309</c:v>
                </c:pt>
                <c:pt idx="51">
                  <c:v>106.22501748659084</c:v>
                </c:pt>
                <c:pt idx="52">
                  <c:v>106.49172836848744</c:v>
                </c:pt>
                <c:pt idx="53">
                  <c:v>106.76405553871398</c:v>
                </c:pt>
                <c:pt idx="54">
                  <c:v>107.04222535902014</c:v>
                </c:pt>
                <c:pt idx="55">
                  <c:v>107.32647783895982</c:v>
                </c:pt>
                <c:pt idx="56">
                  <c:v>107.61706774223308</c:v>
                </c:pt>
                <c:pt idx="57">
                  <c:v>107.91426580661188</c:v>
                </c:pt>
                <c:pt idx="58">
                  <c:v>108.21836009166573</c:v>
                </c:pt>
                <c:pt idx="59">
                  <c:v>108.52965747061434</c:v>
                </c:pt>
                <c:pt idx="60">
                  <c:v>108.84848528511223</c:v>
                </c:pt>
                <c:pt idx="61">
                  <c:v>109.1751931846849</c:v>
                </c:pt>
                <c:pt idx="62">
                  <c:v>109.5101551759799</c:v>
                </c:pt>
                <c:pt idx="63">
                  <c:v>109.85377191107006</c:v>
                </c:pt>
                <c:pt idx="64">
                  <c:v>110.2064732489021</c:v>
                </c:pt>
                <c:pt idx="65">
                  <c:v>110.56872112976444</c:v>
                </c:pt>
                <c:pt idx="66">
                  <c:v>110.94101280958728</c:v>
                </c:pt>
                <c:pt idx="67">
                  <c:v>111.32388450923423</c:v>
                </c:pt>
                <c:pt idx="68">
                  <c:v>111.7179155440249</c:v>
                </c:pt>
                <c:pt idx="69">
                  <c:v>112.12373301097533</c:v>
                </c:pt>
                <c:pt idx="70">
                  <c:v>112.54201712616999</c:v>
                </c:pt>
                <c:pt idx="71">
                  <c:v>112.97350732298592</c:v>
                </c:pt>
                <c:pt idx="72">
                  <c:v>113.41900924444532</c:v>
                </c:pt>
                <c:pt idx="73">
                  <c:v>113.87940279091434</c:v>
                </c:pt>
                <c:pt idx="74">
                  <c:v>114.35565141920709</c:v>
                </c:pt>
                <c:pt idx="75">
                  <c:v>114.84881293282233</c:v>
                </c:pt>
                <c:pt idx="76">
                  <c:v>115.36005205818402</c:v>
                </c:pt>
                <c:pt idx="77">
                  <c:v>115.89065517181785</c:v>
                </c:pt>
                <c:pt idx="78">
                  <c:v>116.44204763311224</c:v>
                </c:pt>
                <c:pt idx="79">
                  <c:v>117.01581429305966</c:v>
                </c:pt>
                <c:pt idx="80">
                  <c:v>117.61372389997007</c:v>
                </c:pt>
                <c:pt idx="81">
                  <c:v>118.23775832082042</c:v>
                </c:pt>
                <c:pt idx="82">
                  <c:v>118.89014775883521</c:v>
                </c:pt>
                <c:pt idx="83">
                  <c:v>119.57341349852298</c:v>
                </c:pt>
                <c:pt idx="84">
                  <c:v>120.29042018392775</c:v>
                </c:pt>
                <c:pt idx="85">
                  <c:v>121.04444028566404</c:v>
                </c:pt>
                <c:pt idx="86">
                  <c:v>121.83923431360157</c:v>
                </c:pt>
                <c:pt idx="87">
                  <c:v>122.67915159957485</c:v>
                </c:pt>
                <c:pt idx="88">
                  <c:v>123.56925828413632</c:v>
                </c:pt>
                <c:pt idx="89">
                  <c:v>124.51550176800914</c:v>
                </c:pt>
                <c:pt idx="90">
                  <c:v>125.5249247711447</c:v>
                </c:pt>
                <c:pt idx="91">
                  <c:v>126.60594799636512</c:v>
                </c:pt>
                <c:pt idx="92">
                  <c:v>127.7687494202832</c:v>
                </c:pt>
                <c:pt idx="93">
                  <c:v>129.02578249936866</c:v>
                </c:pt>
                <c:pt idx="94">
                  <c:v>130.39249876282358</c:v>
                </c:pt>
                <c:pt idx="95">
                  <c:v>131.88837915171533</c:v>
                </c:pt>
                <c:pt idx="96">
                  <c:v>133.53844609213243</c:v>
                </c:pt>
                <c:pt idx="97">
                  <c:v>135.37555091076521</c:v>
                </c:pt>
                <c:pt idx="98">
                  <c:v>137.44396464837254</c:v>
                </c:pt>
                <c:pt idx="99">
                  <c:v>139.80527126396703</c:v>
                </c:pt>
                <c:pt idx="100">
                  <c:v>142.54858113635109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E1B0-4937-908F-6092CB2E5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  <c:extLst>
          <c:ext xmlns:c15="http://schemas.microsoft.com/office/drawing/2012/chart" uri="{02D57815-91ED-43cb-92C2-25804820EDAC}">
            <c15:filteredScatte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'New Vestas G27 60L'!$D$51</c15:sqref>
                        </c15:formulaRef>
                      </c:ext>
                    </c:extLst>
                    <c:strCache>
                      <c:ptCount val="1"/>
                      <c:pt idx="0">
                        <c:v>F0064 LM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'New Vestas G27 60L'!$R$51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322.59326173051551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 Vestas G27 60L'!$T$51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124.82594810263446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3FF-43D8-A90C-E3CCAC5C20E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60L'!$D$52</c15:sqref>
                        </c15:formulaRef>
                      </c:ext>
                    </c:extLst>
                    <c:strCache>
                      <c:ptCount val="1"/>
                      <c:pt idx="0">
                        <c:v>F0064 Hempel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rgbClr val="92D050"/>
                    </a:solidFill>
                    <a:ln w="9525">
                      <a:solidFill>
                        <a:srgbClr val="92D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60L'!$R$52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211.31109004828343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60L'!$T$52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124.82594810263446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3FF-43D8-A90C-E3CCAC5C20E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60L'!$D$53</c15:sqref>
                        </c15:formulaRef>
                      </c:ext>
                    </c:extLst>
                    <c:strCache>
                      <c:ptCount val="1"/>
                      <c:pt idx="0">
                        <c:v>F0064 SGRE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60L'!$R$53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23.127519500550779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60L'!$T$53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154.78417564726669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3FF-43D8-A90C-E3CCAC5C20E0}"/>
                  </c:ext>
                </c:extLst>
              </c15:ser>
            </c15:filteredScatterSeries>
          </c:ext>
        </c:extLst>
      </c:scatterChart>
      <c:valAx>
        <c:axId val="530717344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Impingement 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velocity [ms</a:t>
                </a:r>
                <a:r>
                  <a:rPr lang="en-US" baseline="30000"/>
                  <a:t>-1</a:t>
                </a:r>
                <a:r>
                  <a:rPr lang="en-US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0.76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'G27 105L (AccuEkin,velo)'!$A$2:$A$52</c:f>
              <c:numCache>
                <c:formatCode>0.00E+00</c:formatCode>
                <c:ptCount val="51"/>
                <c:pt idx="0">
                  <c:v>143360771.8532913</c:v>
                </c:pt>
                <c:pt idx="1">
                  <c:v>147967373.63267833</c:v>
                </c:pt>
                <c:pt idx="2">
                  <c:v>163653795.17679414</c:v>
                </c:pt>
                <c:pt idx="3">
                  <c:v>181042166.8228384</c:v>
                </c:pt>
                <c:pt idx="4">
                  <c:v>166353579.1264399</c:v>
                </c:pt>
                <c:pt idx="5">
                  <c:v>133964625.96596989</c:v>
                </c:pt>
                <c:pt idx="6">
                  <c:v>135432580.83983564</c:v>
                </c:pt>
                <c:pt idx="7">
                  <c:v>174439646.86936802</c:v>
                </c:pt>
                <c:pt idx="8">
                  <c:v>27260938.131927747</c:v>
                </c:pt>
                <c:pt idx="9">
                  <c:v>31747904.435990606</c:v>
                </c:pt>
                <c:pt idx="10">
                  <c:v>43673122.633376941</c:v>
                </c:pt>
                <c:pt idx="11">
                  <c:v>59719848.571396261</c:v>
                </c:pt>
                <c:pt idx="12">
                  <c:v>63843413.382426269</c:v>
                </c:pt>
                <c:pt idx="13">
                  <c:v>91292456.351214558</c:v>
                </c:pt>
                <c:pt idx="14">
                  <c:v>100952058.21605489</c:v>
                </c:pt>
                <c:pt idx="15">
                  <c:v>102029990.11680466</c:v>
                </c:pt>
                <c:pt idx="16">
                  <c:v>107011297.15457885</c:v>
                </c:pt>
                <c:pt idx="17">
                  <c:v>22932337.220195446</c:v>
                </c:pt>
                <c:pt idx="18">
                  <c:v>28768605.268932037</c:v>
                </c:pt>
                <c:pt idx="19">
                  <c:v>32606206.234596163</c:v>
                </c:pt>
                <c:pt idx="20">
                  <c:v>62715394.145434067</c:v>
                </c:pt>
                <c:pt idx="21">
                  <c:v>65840771.30424571</c:v>
                </c:pt>
                <c:pt idx="22">
                  <c:v>68173456.219162107</c:v>
                </c:pt>
                <c:pt idx="23">
                  <c:v>82571347.892988503</c:v>
                </c:pt>
                <c:pt idx="24">
                  <c:v>107985922.45719568</c:v>
                </c:pt>
                <c:pt idx="25">
                  <c:v>28706873.164775059</c:v>
                </c:pt>
                <c:pt idx="26">
                  <c:v>41689841.902066499</c:v>
                </c:pt>
                <c:pt idx="27">
                  <c:v>45930515.84650737</c:v>
                </c:pt>
                <c:pt idx="28">
                  <c:v>60046328.528391957</c:v>
                </c:pt>
                <c:pt idx="29">
                  <c:v>89415713.009214789</c:v>
                </c:pt>
                <c:pt idx="30">
                  <c:v>110409237.01846342</c:v>
                </c:pt>
                <c:pt idx="31">
                  <c:v>5644133.9465729799</c:v>
                </c:pt>
                <c:pt idx="32">
                  <c:v>9088373.1951924246</c:v>
                </c:pt>
                <c:pt idx="33">
                  <c:v>13109193.068150232</c:v>
                </c:pt>
                <c:pt idx="34">
                  <c:v>16858569.910737265</c:v>
                </c:pt>
                <c:pt idx="35">
                  <c:v>20923782.629006423</c:v>
                </c:pt>
                <c:pt idx="36">
                  <c:v>24870444.025138438</c:v>
                </c:pt>
                <c:pt idx="37">
                  <c:v>28094604.893149663</c:v>
                </c:pt>
                <c:pt idx="38">
                  <c:v>35371793.806110904</c:v>
                </c:pt>
                <c:pt idx="39">
                  <c:v>6572972.3561000377</c:v>
                </c:pt>
                <c:pt idx="40">
                  <c:v>11348615.969417831</c:v>
                </c:pt>
                <c:pt idx="41">
                  <c:v>15459247.773793986</c:v>
                </c:pt>
                <c:pt idx="42">
                  <c:v>18351361.863410998</c:v>
                </c:pt>
                <c:pt idx="43">
                  <c:v>25283417.220278937</c:v>
                </c:pt>
                <c:pt idx="44">
                  <c:v>40868780.815604158</c:v>
                </c:pt>
                <c:pt idx="45">
                  <c:v>10987448.403475326</c:v>
                </c:pt>
                <c:pt idx="46">
                  <c:v>14575611.233880883</c:v>
                </c:pt>
                <c:pt idx="47">
                  <c:v>18627508.044747166</c:v>
                </c:pt>
                <c:pt idx="48">
                  <c:v>26929866.640409358</c:v>
                </c:pt>
                <c:pt idx="49">
                  <c:v>34211494.903207496</c:v>
                </c:pt>
                <c:pt idx="50">
                  <c:v>37623388.055364452</c:v>
                </c:pt>
              </c:numCache>
            </c:numRef>
          </c:xVal>
          <c:yVal>
            <c:numRef>
              <c:f>'G27 105L (AccuEkin,velo)'!$B$2:$B$52</c:f>
              <c:numCache>
                <c:formatCode>#,##0.000</c:formatCode>
                <c:ptCount val="51"/>
                <c:pt idx="0">
                  <c:v>96.398686048416309</c:v>
                </c:pt>
                <c:pt idx="1">
                  <c:v>93.377574558440898</c:v>
                </c:pt>
                <c:pt idx="2">
                  <c:v>98.202523299837239</c:v>
                </c:pt>
                <c:pt idx="3">
                  <c:v>96.892645099435484</c:v>
                </c:pt>
                <c:pt idx="4">
                  <c:v>91.075244856474768</c:v>
                </c:pt>
                <c:pt idx="5">
                  <c:v>98.226747141076572</c:v>
                </c:pt>
                <c:pt idx="6">
                  <c:v>96.129287571603214</c:v>
                </c:pt>
                <c:pt idx="7">
                  <c:v>95.109421909382206</c:v>
                </c:pt>
                <c:pt idx="8">
                  <c:v>119.13563169228982</c:v>
                </c:pt>
                <c:pt idx="9">
                  <c:v>114.99363409754525</c:v>
                </c:pt>
                <c:pt idx="10">
                  <c:v>113.98806242714483</c:v>
                </c:pt>
                <c:pt idx="11">
                  <c:v>111.52201761640093</c:v>
                </c:pt>
                <c:pt idx="12">
                  <c:v>109.94183356291457</c:v>
                </c:pt>
                <c:pt idx="13">
                  <c:v>109.0080884403999</c:v>
                </c:pt>
                <c:pt idx="14">
                  <c:v>108.07434331788519</c:v>
                </c:pt>
                <c:pt idx="15">
                  <c:v>105.75195160291281</c:v>
                </c:pt>
                <c:pt idx="16">
                  <c:v>105.56041414188415</c:v>
                </c:pt>
                <c:pt idx="17">
                  <c:v>126.17252703498713</c:v>
                </c:pt>
                <c:pt idx="18">
                  <c:v>122.38570023480405</c:v>
                </c:pt>
                <c:pt idx="19">
                  <c:v>116.53768922634551</c:v>
                </c:pt>
                <c:pt idx="20">
                  <c:v>114.28476694963702</c:v>
                </c:pt>
                <c:pt idx="21">
                  <c:v>111.64836854649269</c:v>
                </c:pt>
                <c:pt idx="22">
                  <c:v>108.77229755650337</c:v>
                </c:pt>
                <c:pt idx="23">
                  <c:v>107.07062222328031</c:v>
                </c:pt>
                <c:pt idx="24">
                  <c:v>106.04003012696514</c:v>
                </c:pt>
                <c:pt idx="25">
                  <c:v>122.25432118368342</c:v>
                </c:pt>
                <c:pt idx="26">
                  <c:v>120.29311410924292</c:v>
                </c:pt>
                <c:pt idx="27">
                  <c:v>116.89687746813868</c:v>
                </c:pt>
                <c:pt idx="28">
                  <c:v>111.82643966592674</c:v>
                </c:pt>
                <c:pt idx="29">
                  <c:v>111.41984795537198</c:v>
                </c:pt>
                <c:pt idx="30">
                  <c:v>110.00873554815261</c:v>
                </c:pt>
                <c:pt idx="31">
                  <c:v>140.09555954729694</c:v>
                </c:pt>
                <c:pt idx="32">
                  <c:v>125.70535893441595</c:v>
                </c:pt>
                <c:pt idx="33">
                  <c:v>123.2687711812389</c:v>
                </c:pt>
                <c:pt idx="34">
                  <c:v>121.06150933424321</c:v>
                </c:pt>
                <c:pt idx="35">
                  <c:v>120.63152326015314</c:v>
                </c:pt>
                <c:pt idx="36">
                  <c:v>120.05820849469971</c:v>
                </c:pt>
                <c:pt idx="37">
                  <c:v>118.13760403043072</c:v>
                </c:pt>
                <c:pt idx="38">
                  <c:v>116.90497728470585</c:v>
                </c:pt>
                <c:pt idx="39">
                  <c:v>151.18427342926574</c:v>
                </c:pt>
                <c:pt idx="40">
                  <c:v>140.46954198969809</c:v>
                </c:pt>
                <c:pt idx="41">
                  <c:v>133.86260302177348</c:v>
                </c:pt>
                <c:pt idx="42">
                  <c:v>126.30771195903883</c:v>
                </c:pt>
                <c:pt idx="43">
                  <c:v>121.05088661287125</c:v>
                </c:pt>
                <c:pt idx="44">
                  <c:v>119.21243402712456</c:v>
                </c:pt>
                <c:pt idx="45">
                  <c:v>138.21626111911107</c:v>
                </c:pt>
                <c:pt idx="46">
                  <c:v>129.98058130777247</c:v>
                </c:pt>
                <c:pt idx="47">
                  <c:v>127.25448519557391</c:v>
                </c:pt>
                <c:pt idx="48">
                  <c:v>124.93012956898552</c:v>
                </c:pt>
                <c:pt idx="49">
                  <c:v>121.94577173299243</c:v>
                </c:pt>
                <c:pt idx="50">
                  <c:v>120.56837580196087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A-4592-8416-7A1D9390EFC3}"/>
            </c:ext>
          </c:extLst>
        </c:ser>
        <c:ser>
          <c:idx val="5"/>
          <c:order val="1"/>
          <c:tx>
            <c:v>Fit 0.76 mm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'G27 105L (AccuEkin,velo)'!$N$2:$N$102</c:f>
              <c:numCache>
                <c:formatCode>0.000</c:formatCode>
                <c:ptCount val="101"/>
                <c:pt idx="0">
                  <c:v>181042166.82283971</c:v>
                </c:pt>
                <c:pt idx="1">
                  <c:v>179288186.49407652</c:v>
                </c:pt>
                <c:pt idx="2">
                  <c:v>177534206.16531432</c:v>
                </c:pt>
                <c:pt idx="3">
                  <c:v>175780225.83655134</c:v>
                </c:pt>
                <c:pt idx="4">
                  <c:v>174026245.50778905</c:v>
                </c:pt>
                <c:pt idx="5">
                  <c:v>172272265.17902559</c:v>
                </c:pt>
                <c:pt idx="6">
                  <c:v>170518284.85026306</c:v>
                </c:pt>
                <c:pt idx="7">
                  <c:v>168764304.52150035</c:v>
                </c:pt>
                <c:pt idx="8">
                  <c:v>167010324.19273844</c:v>
                </c:pt>
                <c:pt idx="9">
                  <c:v>165256343.86397561</c:v>
                </c:pt>
                <c:pt idx="10">
                  <c:v>163502363.53521287</c:v>
                </c:pt>
                <c:pt idx="11">
                  <c:v>161748383.20644996</c:v>
                </c:pt>
                <c:pt idx="12">
                  <c:v>159994402.87768754</c:v>
                </c:pt>
                <c:pt idx="13">
                  <c:v>158240422.54892436</c:v>
                </c:pt>
                <c:pt idx="14">
                  <c:v>156486442.220162</c:v>
                </c:pt>
                <c:pt idx="15">
                  <c:v>154732461.89139944</c:v>
                </c:pt>
                <c:pt idx="16">
                  <c:v>152978481.56263703</c:v>
                </c:pt>
                <c:pt idx="17">
                  <c:v>151224501.23387435</c:v>
                </c:pt>
                <c:pt idx="18">
                  <c:v>149470520.90511152</c:v>
                </c:pt>
                <c:pt idx="19">
                  <c:v>147716540.57634884</c:v>
                </c:pt>
                <c:pt idx="20">
                  <c:v>145962560.24758613</c:v>
                </c:pt>
                <c:pt idx="21">
                  <c:v>144208579.91882333</c:v>
                </c:pt>
                <c:pt idx="22">
                  <c:v>142454599.59006047</c:v>
                </c:pt>
                <c:pt idx="23">
                  <c:v>140700619.26129812</c:v>
                </c:pt>
                <c:pt idx="24">
                  <c:v>138946638.93253559</c:v>
                </c:pt>
                <c:pt idx="25">
                  <c:v>137192658.60377276</c:v>
                </c:pt>
                <c:pt idx="26">
                  <c:v>135438678.27501023</c:v>
                </c:pt>
                <c:pt idx="27">
                  <c:v>133684697.94624749</c:v>
                </c:pt>
                <c:pt idx="28">
                  <c:v>131930717.61748448</c:v>
                </c:pt>
                <c:pt idx="29">
                  <c:v>130176737.2887217</c:v>
                </c:pt>
                <c:pt idx="30">
                  <c:v>128422756.95995937</c:v>
                </c:pt>
                <c:pt idx="31">
                  <c:v>126668776.63119665</c:v>
                </c:pt>
                <c:pt idx="32">
                  <c:v>124914796.30243398</c:v>
                </c:pt>
                <c:pt idx="33">
                  <c:v>123160815.97367133</c:v>
                </c:pt>
                <c:pt idx="34">
                  <c:v>121406835.64490922</c:v>
                </c:pt>
                <c:pt idx="35">
                  <c:v>119652855.31614582</c:v>
                </c:pt>
                <c:pt idx="36">
                  <c:v>117898874.98738359</c:v>
                </c:pt>
                <c:pt idx="37">
                  <c:v>116144894.65862104</c:v>
                </c:pt>
                <c:pt idx="38">
                  <c:v>114390914.32985809</c:v>
                </c:pt>
                <c:pt idx="39">
                  <c:v>112636934.00109555</c:v>
                </c:pt>
                <c:pt idx="40">
                  <c:v>110882953.67233276</c:v>
                </c:pt>
                <c:pt idx="41">
                  <c:v>109128973.34357029</c:v>
                </c:pt>
                <c:pt idx="42">
                  <c:v>107374993.01480736</c:v>
                </c:pt>
                <c:pt idx="43">
                  <c:v>105621012.68604507</c:v>
                </c:pt>
                <c:pt idx="44">
                  <c:v>103867032.35728218</c:v>
                </c:pt>
                <c:pt idx="45">
                  <c:v>102113052.02851942</c:v>
                </c:pt>
                <c:pt idx="46">
                  <c:v>100359071.69975713</c:v>
                </c:pt>
                <c:pt idx="47">
                  <c:v>98605091.370994121</c:v>
                </c:pt>
                <c:pt idx="48">
                  <c:v>96851111.042231753</c:v>
                </c:pt>
                <c:pt idx="49">
                  <c:v>95097130.713469028</c:v>
                </c:pt>
                <c:pt idx="50">
                  <c:v>93343150.384706095</c:v>
                </c:pt>
                <c:pt idx="51">
                  <c:v>91589170.05594331</c:v>
                </c:pt>
                <c:pt idx="52">
                  <c:v>89835189.727180958</c:v>
                </c:pt>
                <c:pt idx="53">
                  <c:v>88081209.398418158</c:v>
                </c:pt>
                <c:pt idx="54">
                  <c:v>86327229.069655478</c:v>
                </c:pt>
                <c:pt idx="55">
                  <c:v>84573248.740892768</c:v>
                </c:pt>
                <c:pt idx="56">
                  <c:v>82819268.412130296</c:v>
                </c:pt>
                <c:pt idx="57">
                  <c:v>81065288.083367452</c:v>
                </c:pt>
                <c:pt idx="58">
                  <c:v>79311307.754604876</c:v>
                </c:pt>
                <c:pt idx="59">
                  <c:v>77557327.42584227</c:v>
                </c:pt>
                <c:pt idx="60">
                  <c:v>75803347.097079694</c:v>
                </c:pt>
                <c:pt idx="61">
                  <c:v>74049366.76831691</c:v>
                </c:pt>
                <c:pt idx="62">
                  <c:v>72295386.439554289</c:v>
                </c:pt>
                <c:pt idx="63">
                  <c:v>70541406.11079146</c:v>
                </c:pt>
                <c:pt idx="64">
                  <c:v>68787425.782028899</c:v>
                </c:pt>
                <c:pt idx="65">
                  <c:v>67033445.453266226</c:v>
                </c:pt>
                <c:pt idx="66">
                  <c:v>65279465.124503523</c:v>
                </c:pt>
                <c:pt idx="67">
                  <c:v>63525484.795740873</c:v>
                </c:pt>
                <c:pt idx="68">
                  <c:v>61771504.466978244</c:v>
                </c:pt>
                <c:pt idx="69">
                  <c:v>60017524.138215534</c:v>
                </c:pt>
                <c:pt idx="70">
                  <c:v>58263543.809452899</c:v>
                </c:pt>
                <c:pt idx="71">
                  <c:v>56509563.480690233</c:v>
                </c:pt>
                <c:pt idx="72">
                  <c:v>54755583.151927702</c:v>
                </c:pt>
                <c:pt idx="73">
                  <c:v>53001602.82316491</c:v>
                </c:pt>
                <c:pt idx="74">
                  <c:v>51247622.494402327</c:v>
                </c:pt>
                <c:pt idx="75">
                  <c:v>49493642.165639549</c:v>
                </c:pt>
                <c:pt idx="76">
                  <c:v>47739661.836876839</c:v>
                </c:pt>
                <c:pt idx="77">
                  <c:v>45985681.508114271</c:v>
                </c:pt>
                <c:pt idx="78">
                  <c:v>44231701.179351635</c:v>
                </c:pt>
                <c:pt idx="79">
                  <c:v>42477720.850588977</c:v>
                </c:pt>
                <c:pt idx="80">
                  <c:v>40723740.521826178</c:v>
                </c:pt>
                <c:pt idx="81">
                  <c:v>38969760.193063632</c:v>
                </c:pt>
                <c:pt idx="82">
                  <c:v>37215779.864300974</c:v>
                </c:pt>
                <c:pt idx="83">
                  <c:v>35461799.535538323</c:v>
                </c:pt>
                <c:pt idx="84">
                  <c:v>33707819.206775539</c:v>
                </c:pt>
                <c:pt idx="85">
                  <c:v>31953838.878012955</c:v>
                </c:pt>
                <c:pt idx="86">
                  <c:v>30199858.549250271</c:v>
                </c:pt>
                <c:pt idx="87">
                  <c:v>28445878.220487624</c:v>
                </c:pt>
                <c:pt idx="88">
                  <c:v>26691897.891724978</c:v>
                </c:pt>
                <c:pt idx="89">
                  <c:v>24937917.562962279</c:v>
                </c:pt>
                <c:pt idx="90">
                  <c:v>23183937.234199632</c:v>
                </c:pt>
                <c:pt idx="91">
                  <c:v>21429956.905436978</c:v>
                </c:pt>
                <c:pt idx="92">
                  <c:v>19675976.576674309</c:v>
                </c:pt>
                <c:pt idx="93">
                  <c:v>17921996.247911606</c:v>
                </c:pt>
                <c:pt idx="94">
                  <c:v>16168015.919148987</c:v>
                </c:pt>
                <c:pt idx="95">
                  <c:v>14414035.590386333</c:v>
                </c:pt>
                <c:pt idx="96">
                  <c:v>12660055.261623623</c:v>
                </c:pt>
                <c:pt idx="97">
                  <c:v>10906074.932860978</c:v>
                </c:pt>
                <c:pt idx="98">
                  <c:v>9152094.6040983442</c:v>
                </c:pt>
                <c:pt idx="99">
                  <c:v>7398114.2753356863</c:v>
                </c:pt>
                <c:pt idx="100">
                  <c:v>5644133.9465729911</c:v>
                </c:pt>
              </c:numCache>
            </c:numRef>
          </c:xVal>
          <c:yVal>
            <c:numRef>
              <c:f>'G27 105L (AccuEkin,velo)'!$O$2:$O$102</c:f>
              <c:numCache>
                <c:formatCode>0</c:formatCode>
                <c:ptCount val="101"/>
                <c:pt idx="0">
                  <c:v>97.47538033418401</c:v>
                </c:pt>
                <c:pt idx="1">
                  <c:v>97.584717023985547</c:v>
                </c:pt>
                <c:pt idx="2">
                  <c:v>97.695253088494184</c:v>
                </c:pt>
                <c:pt idx="3">
                  <c:v>97.807013730453377</c:v>
                </c:pt>
                <c:pt idx="4">
                  <c:v>97.920024940409689</c:v>
                </c:pt>
                <c:pt idx="5">
                  <c:v>98.03431352957405</c:v>
                </c:pt>
                <c:pt idx="6">
                  <c:v>98.14990716440299</c:v>
                </c:pt>
                <c:pt idx="7">
                  <c:v>98.266834403011345</c:v>
                </c:pt>
                <c:pt idx="8">
                  <c:v>98.385124733531299</c:v>
                </c:pt>
                <c:pt idx="9">
                  <c:v>98.5048086145447</c:v>
                </c:pt>
                <c:pt idx="10">
                  <c:v>98.625917517723011</c:v>
                </c:pt>
                <c:pt idx="11">
                  <c:v>98.748483972822328</c:v>
                </c:pt>
                <c:pt idx="12">
                  <c:v>98.872541615188368</c:v>
                </c:pt>
                <c:pt idx="13">
                  <c:v>98.998125235942737</c:v>
                </c:pt>
                <c:pt idx="14">
                  <c:v>99.125270835031927</c:v>
                </c:pt>
                <c:pt idx="15">
                  <c:v>99.254015677337577</c:v>
                </c:pt>
                <c:pt idx="16">
                  <c:v>99.384398352060657</c:v>
                </c:pt>
                <c:pt idx="17">
                  <c:v>99.516458835611019</c:v>
                </c:pt>
                <c:pt idx="18">
                  <c:v>99.650238558253136</c:v>
                </c:pt>
                <c:pt idx="19">
                  <c:v>99.785780474778079</c:v>
                </c:pt>
                <c:pt idx="20">
                  <c:v>99.923129139496993</c:v>
                </c:pt>
                <c:pt idx="21">
                  <c:v>100.06233078587626</c:v>
                </c:pt>
                <c:pt idx="22">
                  <c:v>100.20343341116015</c:v>
                </c:pt>
                <c:pt idx="23">
                  <c:v>100.34648686636089</c:v>
                </c:pt>
                <c:pt idx="24">
                  <c:v>100.49154295202823</c:v>
                </c:pt>
                <c:pt idx="25">
                  <c:v>100.63865552024527</c:v>
                </c:pt>
                <c:pt idx="26">
                  <c:v>100.78788058334523</c:v>
                </c:pt>
                <c:pt idx="27">
                  <c:v>100.93927642988064</c:v>
                </c:pt>
                <c:pt idx="28">
                  <c:v>101.09290374843535</c:v>
                </c:pt>
                <c:pt idx="29">
                  <c:v>101.24882575991803</c:v>
                </c:pt>
                <c:pt idx="30">
                  <c:v>101.40710835904504</c:v>
                </c:pt>
                <c:pt idx="31">
                  <c:v>101.56782026578232</c:v>
                </c:pt>
                <c:pt idx="32">
                  <c:v>101.7310331876003</c:v>
                </c:pt>
                <c:pt idx="33">
                  <c:v>101.89682199347342</c:v>
                </c:pt>
                <c:pt idx="34">
                  <c:v>102.06526490065922</c:v>
                </c:pt>
                <c:pt idx="35">
                  <c:v>102.23644367539323</c:v>
                </c:pt>
                <c:pt idx="36">
                  <c:v>102.41044384875705</c:v>
                </c:pt>
                <c:pt idx="37">
                  <c:v>102.58735494911389</c:v>
                </c:pt>
                <c:pt idx="38">
                  <c:v>102.76727075265275</c:v>
                </c:pt>
                <c:pt idx="39">
                  <c:v>102.95028955375429</c:v>
                </c:pt>
                <c:pt idx="40">
                  <c:v>103.13651445708433</c:v>
                </c:pt>
                <c:pt idx="41">
                  <c:v>103.32605369353284</c:v>
                </c:pt>
                <c:pt idx="42">
                  <c:v>103.51902096236734</c:v>
                </c:pt>
                <c:pt idx="43">
                  <c:v>103.71553580223907</c:v>
                </c:pt>
                <c:pt idx="44">
                  <c:v>103.91572399400498</c:v>
                </c:pt>
                <c:pt idx="45">
                  <c:v>104.11971799867742</c:v>
                </c:pt>
                <c:pt idx="46">
                  <c:v>104.32765743423221</c:v>
                </c:pt>
                <c:pt idx="47">
                  <c:v>104.53968959546694</c:v>
                </c:pt>
                <c:pt idx="48">
                  <c:v>104.75597002163987</c:v>
                </c:pt>
                <c:pt idx="49">
                  <c:v>104.97666311723778</c:v>
                </c:pt>
                <c:pt idx="50">
                  <c:v>105.20194283192558</c:v>
                </c:pt>
                <c:pt idx="51">
                  <c:v>105.43199340655497</c:v>
                </c:pt>
                <c:pt idx="52">
                  <c:v>105.66701019304911</c:v>
                </c:pt>
                <c:pt idx="53">
                  <c:v>105.90720055708587</c:v>
                </c:pt>
                <c:pt idx="54">
                  <c:v>106.1527848737762</c:v>
                </c:pt>
                <c:pt idx="55">
                  <c:v>106.40399762802507</c:v>
                </c:pt>
                <c:pt idx="56">
                  <c:v>106.66108863301389</c:v>
                </c:pt>
                <c:pt idx="57">
                  <c:v>106.92432438228255</c:v>
                </c:pt>
                <c:pt idx="58">
                  <c:v>107.19398955331386</c:v>
                </c:pt>
                <c:pt idx="59">
                  <c:v>107.47038868336546</c:v>
                </c:pt>
                <c:pt idx="60">
                  <c:v>107.75384804168336</c:v>
                </c:pt>
                <c:pt idx="61">
                  <c:v>108.04471772625428</c:v>
                </c:pt>
                <c:pt idx="62">
                  <c:v>108.34337401806465</c:v>
                </c:pt>
                <c:pt idx="63">
                  <c:v>108.6502220316075</c:v>
                </c:pt>
                <c:pt idx="64">
                  <c:v>108.96569870732684</c:v>
                </c:pt>
                <c:pt idx="65">
                  <c:v>109.29027620010547</c:v>
                </c:pt>
                <c:pt idx="66">
                  <c:v>109.62446572812607</c:v>
                </c:pt>
                <c:pt idx="67">
                  <c:v>109.96882195892576</c:v>
                </c:pt>
                <c:pt idx="68">
                  <c:v>110.32394802479901</c:v>
                </c:pt>
                <c:pt idx="69">
                  <c:v>110.69050127863035</c:v>
                </c:pt>
                <c:pt idx="70">
                  <c:v>111.06919992473028</c:v>
                </c:pt>
                <c:pt idx="71">
                  <c:v>111.46083068857767</c:v>
                </c:pt>
                <c:pt idx="72">
                  <c:v>111.86625772623077</c:v>
                </c:pt>
                <c:pt idx="73">
                  <c:v>112.28643302078045</c:v>
                </c:pt>
                <c:pt idx="74">
                  <c:v>112.72240857260003</c:v>
                </c:pt>
                <c:pt idx="75">
                  <c:v>113.17535076635185</c:v>
                </c:pt>
                <c:pt idx="76">
                  <c:v>113.64655739628259</c:v>
                </c:pt>
                <c:pt idx="77">
                  <c:v>114.1374779599572</c:v>
                </c:pt>
                <c:pt idx="78">
                  <c:v>114.64973799988996</c:v>
                </c:pt>
                <c:pt idx="79">
                  <c:v>115.1851684976312</c:v>
                </c:pt>
                <c:pt idx="80">
                  <c:v>115.74584162723228</c:v>
                </c:pt>
                <c:pt idx="81">
                  <c:v>116.33411458579886</c:v>
                </c:pt>
                <c:pt idx="82">
                  <c:v>116.9526837837075</c:v>
                </c:pt>
                <c:pt idx="83">
                  <c:v>117.60465246410007</c:v>
                </c:pt>
                <c:pt idx="84">
                  <c:v>118.29361593365029</c:v>
                </c:pt>
                <c:pt idx="85">
                  <c:v>119.02377018350441</c:v>
                </c:pt>
                <c:pt idx="86">
                  <c:v>119.80005201132379</c:v>
                </c:pt>
                <c:pt idx="87">
                  <c:v>120.6283222255344</c:v>
                </c:pt>
                <c:pt idx="88">
                  <c:v>121.51560878529341</c:v>
                </c:pt>
                <c:pt idx="89">
                  <c:v>122.47043492788879</c:v>
                </c:pt>
                <c:pt idx="90">
                  <c:v>123.50327041759554</c:v>
                </c:pt>
                <c:pt idx="91">
                  <c:v>124.62716554525086</c:v>
                </c:pt>
                <c:pt idx="92">
                  <c:v>125.85866401932692</c:v>
                </c:pt>
                <c:pt idx="93">
                  <c:v>127.21915531805776</c:v>
                </c:pt>
                <c:pt idx="94">
                  <c:v>128.7369459091658</c:v>
                </c:pt>
                <c:pt idx="95">
                  <c:v>130.45055964674521</c:v>
                </c:pt>
                <c:pt idx="96">
                  <c:v>132.41425510039625</c:v>
                </c:pt>
                <c:pt idx="97">
                  <c:v>134.70781259015456</c:v>
                </c:pt>
                <c:pt idx="98">
                  <c:v>137.45525583276049</c:v>
                </c:pt>
                <c:pt idx="99">
                  <c:v>140.86441724541785</c:v>
                </c:pt>
                <c:pt idx="100">
                  <c:v>145.32300029655488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FA-4592-8416-7A1D9390EFC3}"/>
            </c:ext>
          </c:extLst>
        </c:ser>
        <c:ser>
          <c:idx val="6"/>
          <c:order val="2"/>
          <c:tx>
            <c:v>1.90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xVal>
            <c:numRef>
              <c:f>'G30 85L (AccuEkin;velo)'!$A$2:$A$42</c:f>
              <c:numCache>
                <c:formatCode>0.00E+00</c:formatCode>
                <c:ptCount val="41"/>
                <c:pt idx="0">
                  <c:v>154683062.1829651</c:v>
                </c:pt>
                <c:pt idx="1">
                  <c:v>27390127.780705929</c:v>
                </c:pt>
                <c:pt idx="2">
                  <c:v>43575171.979870513</c:v>
                </c:pt>
                <c:pt idx="3">
                  <c:v>47692347.193818092</c:v>
                </c:pt>
                <c:pt idx="4">
                  <c:v>61117683.009050615</c:v>
                </c:pt>
                <c:pt idx="5">
                  <c:v>62849423.713265508</c:v>
                </c:pt>
                <c:pt idx="6">
                  <c:v>67274619.992483333</c:v>
                </c:pt>
                <c:pt idx="7">
                  <c:v>85876583.658990681</c:v>
                </c:pt>
                <c:pt idx="8">
                  <c:v>24161477.4124493</c:v>
                </c:pt>
                <c:pt idx="9">
                  <c:v>29069358.788639963</c:v>
                </c:pt>
                <c:pt idx="10">
                  <c:v>41906223.153261527</c:v>
                </c:pt>
                <c:pt idx="11">
                  <c:v>54161118.259237923</c:v>
                </c:pt>
                <c:pt idx="12">
                  <c:v>53774805.874960035</c:v>
                </c:pt>
                <c:pt idx="13">
                  <c:v>86754746.444520593</c:v>
                </c:pt>
                <c:pt idx="14">
                  <c:v>25035837.301246908</c:v>
                </c:pt>
                <c:pt idx="15">
                  <c:v>29478149.249495689</c:v>
                </c:pt>
                <c:pt idx="16">
                  <c:v>34849281.642519154</c:v>
                </c:pt>
                <c:pt idx="17">
                  <c:v>45535343.92474518</c:v>
                </c:pt>
                <c:pt idx="18">
                  <c:v>56398557.382573754</c:v>
                </c:pt>
                <c:pt idx="19">
                  <c:v>61517824.911866777</c:v>
                </c:pt>
                <c:pt idx="20">
                  <c:v>64730039.120014131</c:v>
                </c:pt>
                <c:pt idx="21">
                  <c:v>68270327.081449658</c:v>
                </c:pt>
                <c:pt idx="22">
                  <c:v>87323875.30227685</c:v>
                </c:pt>
                <c:pt idx="23">
                  <c:v>95925527.564071923</c:v>
                </c:pt>
                <c:pt idx="24">
                  <c:v>9640069.5369110331</c:v>
                </c:pt>
                <c:pt idx="25">
                  <c:v>12867582.253041573</c:v>
                </c:pt>
                <c:pt idx="26">
                  <c:v>15852135.372631654</c:v>
                </c:pt>
                <c:pt idx="27">
                  <c:v>21716930.38660118</c:v>
                </c:pt>
                <c:pt idx="28">
                  <c:v>25670354.022995848</c:v>
                </c:pt>
                <c:pt idx="29">
                  <c:v>10164885.353591194</c:v>
                </c:pt>
                <c:pt idx="30">
                  <c:v>13568950.853746526</c:v>
                </c:pt>
                <c:pt idx="31">
                  <c:v>17488125.918772288</c:v>
                </c:pt>
                <c:pt idx="32">
                  <c:v>19219616.28159871</c:v>
                </c:pt>
                <c:pt idx="33">
                  <c:v>26089063.531276155</c:v>
                </c:pt>
                <c:pt idx="34">
                  <c:v>29097094.765391678</c:v>
                </c:pt>
                <c:pt idx="35">
                  <c:v>5278116.5340490183</c:v>
                </c:pt>
                <c:pt idx="36">
                  <c:v>10123151.57601279</c:v>
                </c:pt>
                <c:pt idx="37">
                  <c:v>13977649.613742437</c:v>
                </c:pt>
                <c:pt idx="38">
                  <c:v>16897754.651038818</c:v>
                </c:pt>
                <c:pt idx="39">
                  <c:v>24185718.369531747</c:v>
                </c:pt>
                <c:pt idx="40">
                  <c:v>28257526.503535755</c:v>
                </c:pt>
              </c:numCache>
            </c:numRef>
          </c:xVal>
          <c:yVal>
            <c:numRef>
              <c:f>'G30 85L (AccuEkin;velo)'!$B$2:$B$42</c:f>
              <c:numCache>
                <c:formatCode>#,##0.000</c:formatCode>
                <c:ptCount val="41"/>
                <c:pt idx="0">
                  <c:v>100.92286507311093</c:v>
                </c:pt>
                <c:pt idx="1">
                  <c:v>117.92779020417348</c:v>
                </c:pt>
                <c:pt idx="2">
                  <c:v>117.59224858897701</c:v>
                </c:pt>
                <c:pt idx="3">
                  <c:v>115.98644228767971</c:v>
                </c:pt>
                <c:pt idx="4">
                  <c:v>113.70955275598949</c:v>
                </c:pt>
                <c:pt idx="5">
                  <c:v>110.78554725213468</c:v>
                </c:pt>
                <c:pt idx="6">
                  <c:v>110.45000563693822</c:v>
                </c:pt>
                <c:pt idx="7">
                  <c:v>107.11855674320198</c:v>
                </c:pt>
                <c:pt idx="8">
                  <c:v>123.83285370717226</c:v>
                </c:pt>
                <c:pt idx="9">
                  <c:v>121.48897208098484</c:v>
                </c:pt>
                <c:pt idx="10">
                  <c:v>115.31834494014291</c:v>
                </c:pt>
                <c:pt idx="11">
                  <c:v>111.80252250868433</c:v>
                </c:pt>
                <c:pt idx="12">
                  <c:v>106.66033323073361</c:v>
                </c:pt>
                <c:pt idx="13">
                  <c:v>107.66485392543608</c:v>
                </c:pt>
                <c:pt idx="14">
                  <c:v>126.05358399617073</c:v>
                </c:pt>
                <c:pt idx="15">
                  <c:v>122.3402146342103</c:v>
                </c:pt>
                <c:pt idx="16">
                  <c:v>121.42984020955707</c:v>
                </c:pt>
                <c:pt idx="17">
                  <c:v>120.2080219034444</c:v>
                </c:pt>
                <c:pt idx="18">
                  <c:v>119.65700580491604</c:v>
                </c:pt>
                <c:pt idx="19">
                  <c:v>119.15390415001005</c:v>
                </c:pt>
                <c:pt idx="20">
                  <c:v>117.02171141820115</c:v>
                </c:pt>
                <c:pt idx="21">
                  <c:v>115.46449200568877</c:v>
                </c:pt>
                <c:pt idx="22">
                  <c:v>114.19475925699673</c:v>
                </c:pt>
                <c:pt idx="23">
                  <c:v>113.21251317212499</c:v>
                </c:pt>
                <c:pt idx="24">
                  <c:v>142.93996264007947</c:v>
                </c:pt>
                <c:pt idx="25">
                  <c:v>134.83928095904344</c:v>
                </c:pt>
                <c:pt idx="26">
                  <c:v>129.61118143440314</c:v>
                </c:pt>
                <c:pt idx="27">
                  <c:v>123.86601712161163</c:v>
                </c:pt>
                <c:pt idx="28">
                  <c:v>116.62711008749434</c:v>
                </c:pt>
                <c:pt idx="29">
                  <c:v>146.77930375930265</c:v>
                </c:pt>
                <c:pt idx="30">
                  <c:v>138.46534309984125</c:v>
                </c:pt>
                <c:pt idx="31">
                  <c:v>136.13513267246216</c:v>
                </c:pt>
                <c:pt idx="32">
                  <c:v>127.64856384573423</c:v>
                </c:pt>
                <c:pt idx="33">
                  <c:v>125.692337807626</c:v>
                </c:pt>
                <c:pt idx="34">
                  <c:v>124.16763221579347</c:v>
                </c:pt>
                <c:pt idx="35">
                  <c:v>149.57811851645184</c:v>
                </c:pt>
                <c:pt idx="36">
                  <c:v>146.47767934153356</c:v>
                </c:pt>
                <c:pt idx="37">
                  <c:v>140.53517091794299</c:v>
                </c:pt>
                <c:pt idx="38">
                  <c:v>133.81755271061729</c:v>
                </c:pt>
                <c:pt idx="39">
                  <c:v>130.7171135332004</c:v>
                </c:pt>
                <c:pt idx="40">
                  <c:v>122.36315241384239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FA-4592-8416-7A1D9390EFC3}"/>
            </c:ext>
          </c:extLst>
        </c:ser>
        <c:ser>
          <c:idx val="7"/>
          <c:order val="3"/>
          <c:tx>
            <c:v>Fit 1.90 mm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'G30 85L (AccuEkin;velo)'!$N$2:$N$102</c:f>
              <c:numCache>
                <c:formatCode>0.000</c:formatCode>
                <c:ptCount val="101"/>
                <c:pt idx="0">
                  <c:v>154683062.18296623</c:v>
                </c:pt>
                <c:pt idx="1">
                  <c:v>153189012.72647673</c:v>
                </c:pt>
                <c:pt idx="2">
                  <c:v>151694963.26998729</c:v>
                </c:pt>
                <c:pt idx="3">
                  <c:v>150200913.81349865</c:v>
                </c:pt>
                <c:pt idx="4">
                  <c:v>148706864.35700962</c:v>
                </c:pt>
                <c:pt idx="5">
                  <c:v>147212814.90052009</c:v>
                </c:pt>
                <c:pt idx="6">
                  <c:v>145718765.44403112</c:v>
                </c:pt>
                <c:pt idx="7">
                  <c:v>144224715.98754144</c:v>
                </c:pt>
                <c:pt idx="8">
                  <c:v>142730666.53105259</c:v>
                </c:pt>
                <c:pt idx="9">
                  <c:v>141236617.07456332</c:v>
                </c:pt>
                <c:pt idx="10">
                  <c:v>139742567.61807433</c:v>
                </c:pt>
                <c:pt idx="11">
                  <c:v>138248518.16158494</c:v>
                </c:pt>
                <c:pt idx="12">
                  <c:v>136754468.70509619</c:v>
                </c:pt>
                <c:pt idx="13">
                  <c:v>135260419.24860647</c:v>
                </c:pt>
                <c:pt idx="14">
                  <c:v>133766369.79211754</c:v>
                </c:pt>
                <c:pt idx="15">
                  <c:v>132272320.33562842</c:v>
                </c:pt>
                <c:pt idx="16">
                  <c:v>130778270.87913927</c:v>
                </c:pt>
                <c:pt idx="17">
                  <c:v>129284221.42265035</c:v>
                </c:pt>
                <c:pt idx="18">
                  <c:v>127790171.96616095</c:v>
                </c:pt>
                <c:pt idx="19">
                  <c:v>126296122.50967154</c:v>
                </c:pt>
                <c:pt idx="20">
                  <c:v>124802073.05318214</c:v>
                </c:pt>
                <c:pt idx="21">
                  <c:v>123308023.59669319</c:v>
                </c:pt>
                <c:pt idx="22">
                  <c:v>121813974.14020431</c:v>
                </c:pt>
                <c:pt idx="23">
                  <c:v>120319924.68371534</c:v>
                </c:pt>
                <c:pt idx="24">
                  <c:v>118825875.22722596</c:v>
                </c:pt>
                <c:pt idx="25">
                  <c:v>117331825.77073675</c:v>
                </c:pt>
                <c:pt idx="26">
                  <c:v>115837776.31424733</c:v>
                </c:pt>
                <c:pt idx="27">
                  <c:v>114343726.85775831</c:v>
                </c:pt>
                <c:pt idx="28">
                  <c:v>112849677.40126909</c:v>
                </c:pt>
                <c:pt idx="29">
                  <c:v>111355627.9447799</c:v>
                </c:pt>
                <c:pt idx="30">
                  <c:v>109861578.48829067</c:v>
                </c:pt>
                <c:pt idx="31">
                  <c:v>108367529.03180178</c:v>
                </c:pt>
                <c:pt idx="32">
                  <c:v>106873479.57531251</c:v>
                </c:pt>
                <c:pt idx="33">
                  <c:v>105379430.11882316</c:v>
                </c:pt>
                <c:pt idx="34">
                  <c:v>103885380.66233446</c:v>
                </c:pt>
                <c:pt idx="35">
                  <c:v>102391331.20584521</c:v>
                </c:pt>
                <c:pt idx="36">
                  <c:v>100897281.74935563</c:v>
                </c:pt>
                <c:pt idx="37">
                  <c:v>99403232.292866826</c:v>
                </c:pt>
                <c:pt idx="38">
                  <c:v>97909182.836377695</c:v>
                </c:pt>
                <c:pt idx="39">
                  <c:v>96415133.379888371</c:v>
                </c:pt>
                <c:pt idx="40">
                  <c:v>94921083.923399016</c:v>
                </c:pt>
                <c:pt idx="41">
                  <c:v>93427034.46691002</c:v>
                </c:pt>
                <c:pt idx="42">
                  <c:v>91932985.010420769</c:v>
                </c:pt>
                <c:pt idx="43">
                  <c:v>90438935.553931475</c:v>
                </c:pt>
                <c:pt idx="44">
                  <c:v>88944886.097442508</c:v>
                </c:pt>
                <c:pt idx="45">
                  <c:v>87450836.640953332</c:v>
                </c:pt>
                <c:pt idx="46">
                  <c:v>85956787.184463963</c:v>
                </c:pt>
                <c:pt idx="47">
                  <c:v>84462737.727975085</c:v>
                </c:pt>
                <c:pt idx="48">
                  <c:v>82968688.271485835</c:v>
                </c:pt>
                <c:pt idx="49">
                  <c:v>81474638.814996734</c:v>
                </c:pt>
                <c:pt idx="50">
                  <c:v>79980589.358507395</c:v>
                </c:pt>
                <c:pt idx="51">
                  <c:v>78486539.902018368</c:v>
                </c:pt>
                <c:pt idx="52">
                  <c:v>76992490.445529133</c:v>
                </c:pt>
                <c:pt idx="53">
                  <c:v>75498440.989039928</c:v>
                </c:pt>
                <c:pt idx="54">
                  <c:v>74004391.532550976</c:v>
                </c:pt>
                <c:pt idx="55">
                  <c:v>72510342.076061472</c:v>
                </c:pt>
                <c:pt idx="56">
                  <c:v>71016292.619572476</c:v>
                </c:pt>
                <c:pt idx="57">
                  <c:v>69522243.163083419</c:v>
                </c:pt>
                <c:pt idx="58">
                  <c:v>68028193.706594214</c:v>
                </c:pt>
                <c:pt idx="59">
                  <c:v>66534144.250105053</c:v>
                </c:pt>
                <c:pt idx="60">
                  <c:v>65040094.793615729</c:v>
                </c:pt>
                <c:pt idx="61">
                  <c:v>63546045.337126702</c:v>
                </c:pt>
                <c:pt idx="62">
                  <c:v>62051995.880637474</c:v>
                </c:pt>
                <c:pt idx="63">
                  <c:v>60557946.424148306</c:v>
                </c:pt>
                <c:pt idx="64">
                  <c:v>59063896.96765919</c:v>
                </c:pt>
                <c:pt idx="65">
                  <c:v>57569847.511169985</c:v>
                </c:pt>
                <c:pt idx="66">
                  <c:v>56075798.054680735</c:v>
                </c:pt>
                <c:pt idx="67">
                  <c:v>54581748.598191649</c:v>
                </c:pt>
                <c:pt idx="68">
                  <c:v>53087699.141702369</c:v>
                </c:pt>
                <c:pt idx="69">
                  <c:v>51593649.685213305</c:v>
                </c:pt>
                <c:pt idx="70">
                  <c:v>50099600.228724174</c:v>
                </c:pt>
                <c:pt idx="71">
                  <c:v>48605550.772234879</c:v>
                </c:pt>
                <c:pt idx="72">
                  <c:v>47111501.315745741</c:v>
                </c:pt>
                <c:pt idx="73">
                  <c:v>45617451.859256566</c:v>
                </c:pt>
                <c:pt idx="74">
                  <c:v>44123402.40276742</c:v>
                </c:pt>
                <c:pt idx="75">
                  <c:v>42629352.946278319</c:v>
                </c:pt>
                <c:pt idx="76">
                  <c:v>41135303.489789173</c:v>
                </c:pt>
                <c:pt idx="77">
                  <c:v>39641254.033299968</c:v>
                </c:pt>
                <c:pt idx="78">
                  <c:v>38147204.57681071</c:v>
                </c:pt>
                <c:pt idx="79">
                  <c:v>36653155.120321549</c:v>
                </c:pt>
                <c:pt idx="80">
                  <c:v>35159105.663832404</c:v>
                </c:pt>
                <c:pt idx="81">
                  <c:v>33665056.207343251</c:v>
                </c:pt>
                <c:pt idx="82">
                  <c:v>32171006.750854071</c:v>
                </c:pt>
                <c:pt idx="83">
                  <c:v>30676957.29436494</c:v>
                </c:pt>
                <c:pt idx="84">
                  <c:v>29182907.837875705</c:v>
                </c:pt>
                <c:pt idx="85">
                  <c:v>27688858.381386608</c:v>
                </c:pt>
                <c:pt idx="86">
                  <c:v>26194808.924897447</c:v>
                </c:pt>
                <c:pt idx="87">
                  <c:v>24700759.468408238</c:v>
                </c:pt>
                <c:pt idx="88">
                  <c:v>23206710.011919096</c:v>
                </c:pt>
                <c:pt idx="89">
                  <c:v>21712660.555429909</c:v>
                </c:pt>
                <c:pt idx="90">
                  <c:v>20218611.098940749</c:v>
                </c:pt>
                <c:pt idx="91">
                  <c:v>18724561.642451596</c:v>
                </c:pt>
                <c:pt idx="92">
                  <c:v>17230512.185962386</c:v>
                </c:pt>
                <c:pt idx="93">
                  <c:v>15736462.729473224</c:v>
                </c:pt>
                <c:pt idx="94">
                  <c:v>14242413.272984032</c:v>
                </c:pt>
                <c:pt idx="95">
                  <c:v>12748363.816494888</c:v>
                </c:pt>
                <c:pt idx="96">
                  <c:v>11254314.360005697</c:v>
                </c:pt>
                <c:pt idx="97">
                  <c:v>9760264.9035165422</c:v>
                </c:pt>
                <c:pt idx="98">
                  <c:v>8266215.4470273731</c:v>
                </c:pt>
                <c:pt idx="99">
                  <c:v>6772165.9905382134</c:v>
                </c:pt>
                <c:pt idx="100">
                  <c:v>5278116.5340490462</c:v>
                </c:pt>
              </c:numCache>
            </c:numRef>
          </c:xVal>
          <c:yVal>
            <c:numRef>
              <c:f>'G30 85L (AccuEkin;velo)'!$O$2:$O$102</c:f>
              <c:numCache>
                <c:formatCode>0</c:formatCode>
                <c:ptCount val="101"/>
                <c:pt idx="0">
                  <c:v>101.66014024147464</c:v>
                </c:pt>
                <c:pt idx="1">
                  <c:v>101.77705202910133</c:v>
                </c:pt>
                <c:pt idx="2">
                  <c:v>101.89524609615115</c:v>
                </c:pt>
                <c:pt idx="3">
                  <c:v>102.01474934539763</c:v>
                </c:pt>
                <c:pt idx="4">
                  <c:v>102.13558951880273</c:v>
                </c:pt>
                <c:pt idx="5">
                  <c:v>102.25779523243861</c:v>
                </c:pt>
                <c:pt idx="6">
                  <c:v>102.3813960132328</c:v>
                </c:pt>
                <c:pt idx="7">
                  <c:v>102.50642233765318</c:v>
                </c:pt>
                <c:pt idx="8">
                  <c:v>102.63290567245673</c:v>
                </c:pt>
                <c:pt idx="9">
                  <c:v>102.7608785176339</c:v>
                </c:pt>
                <c:pt idx="10">
                  <c:v>102.89037445169186</c:v>
                </c:pt>
                <c:pt idx="11">
                  <c:v>103.02142817943236</c:v>
                </c:pt>
                <c:pt idx="12">
                  <c:v>103.15407558238594</c:v>
                </c:pt>
                <c:pt idx="13">
                  <c:v>103.28835377208721</c:v>
                </c:pt>
                <c:pt idx="14">
                  <c:v>103.4243011463774</c:v>
                </c:pt>
                <c:pt idx="15">
                  <c:v>103.56195744894953</c:v>
                </c:pt>
                <c:pt idx="16">
                  <c:v>103.7013638323555</c:v>
                </c:pt>
                <c:pt idx="17">
                  <c:v>103.84256292472264</c:v>
                </c:pt>
                <c:pt idx="18">
                  <c:v>103.98559890044268</c:v>
                </c:pt>
                <c:pt idx="19">
                  <c:v>104.13051755511789</c:v>
                </c:pt>
                <c:pt idx="20">
                  <c:v>104.27736638507646</c:v>
                </c:pt>
                <c:pt idx="21">
                  <c:v>104.4261946717935</c:v>
                </c:pt>
                <c:pt idx="22">
                  <c:v>104.57705357158297</c:v>
                </c:pt>
                <c:pt idx="23">
                  <c:v>104.72999621095965</c:v>
                </c:pt>
                <c:pt idx="24">
                  <c:v>104.88507778810518</c:v>
                </c:pt>
                <c:pt idx="25">
                  <c:v>105.04235568091075</c:v>
                </c:pt>
                <c:pt idx="26">
                  <c:v>105.20188956211165</c:v>
                </c:pt>
                <c:pt idx="27">
                  <c:v>105.36374152207974</c:v>
                </c:pt>
                <c:pt idx="28">
                  <c:v>105.52797619988836</c:v>
                </c:pt>
                <c:pt idx="29">
                  <c:v>105.69466092332543</c:v>
                </c:pt>
                <c:pt idx="30">
                  <c:v>105.86386585859644</c:v>
                </c:pt>
                <c:pt idx="31">
                  <c:v>106.03566417052654</c:v>
                </c:pt>
                <c:pt idx="32">
                  <c:v>106.21013219415899</c:v>
                </c:pt>
                <c:pt idx="33">
                  <c:v>106.3873496187275</c:v>
                </c:pt>
                <c:pt idx="34">
                  <c:v>106.56739968508826</c:v>
                </c:pt>
                <c:pt idx="35">
                  <c:v>106.75036939780443</c:v>
                </c:pt>
                <c:pt idx="36">
                  <c:v>106.93634975320148</c:v>
                </c:pt>
                <c:pt idx="37">
                  <c:v>107.1254359848536</c:v>
                </c:pt>
                <c:pt idx="38">
                  <c:v>107.31772782811842</c:v>
                </c:pt>
                <c:pt idx="39">
                  <c:v>107.51332980551086</c:v>
                </c:pt>
                <c:pt idx="40">
                  <c:v>107.71235153491399</c:v>
                </c:pt>
                <c:pt idx="41">
                  <c:v>107.91490806284304</c:v>
                </c:pt>
                <c:pt idx="42">
                  <c:v>108.12112022523571</c:v>
                </c:pt>
                <c:pt idx="43">
                  <c:v>108.33111503853426</c:v>
                </c:pt>
                <c:pt idx="44">
                  <c:v>108.54502612414733</c:v>
                </c:pt>
                <c:pt idx="45">
                  <c:v>108.76299416975631</c:v>
                </c:pt>
                <c:pt idx="46">
                  <c:v>108.98516743135528</c:v>
                </c:pt>
                <c:pt idx="47">
                  <c:v>109.21170228039959</c:v>
                </c:pt>
                <c:pt idx="48">
                  <c:v>109.44276380099416</c:v>
                </c:pt>
                <c:pt idx="49">
                  <c:v>109.67852644269234</c:v>
                </c:pt>
                <c:pt idx="50">
                  <c:v>109.91917473521026</c:v>
                </c:pt>
                <c:pt idx="51">
                  <c:v>110.16490407220887</c:v>
                </c:pt>
                <c:pt idx="52">
                  <c:v>110.41592157227585</c:v>
                </c:pt>
                <c:pt idx="53">
                  <c:v>110.67244702637645</c:v>
                </c:pt>
                <c:pt idx="54">
                  <c:v>110.93471394236049</c:v>
                </c:pt>
                <c:pt idx="55">
                  <c:v>111.20297069865504</c:v>
                </c:pt>
                <c:pt idx="56">
                  <c:v>111.47748182107048</c:v>
                </c:pt>
                <c:pt idx="57">
                  <c:v>111.75852939875892</c:v>
                </c:pt>
                <c:pt idx="58">
                  <c:v>112.0464146578482</c:v>
                </c:pt>
                <c:pt idx="59">
                  <c:v>112.34145971421027</c:v>
                </c:pt>
                <c:pt idx="60">
                  <c:v>112.64400953029016</c:v>
                </c:pt>
                <c:pt idx="61">
                  <c:v>112.95443410506105</c:v>
                </c:pt>
                <c:pt idx="62">
                  <c:v>113.27313093109473</c:v>
                </c:pt>
                <c:pt idx="63">
                  <c:v>113.60052775864769</c:v>
                </c:pt>
                <c:pt idx="64">
                  <c:v>113.93708571376781</c:v>
                </c:pt>
                <c:pt idx="65">
                  <c:v>114.28330282601976</c:v>
                </c:pt>
                <c:pt idx="66">
                  <c:v>114.63971803184603</c:v>
                </c:pt>
                <c:pt idx="67">
                  <c:v>115.00691573230577</c:v>
                </c:pt>
                <c:pt idx="68">
                  <c:v>115.38553099950974</c:v>
                </c:pt>
                <c:pt idx="69">
                  <c:v>115.7762555452868</c:v>
                </c:pt>
                <c:pt idx="70">
                  <c:v>116.17984458940946</c:v>
                </c:pt>
                <c:pt idx="71">
                  <c:v>116.59712479437174</c:v>
                </c:pt>
                <c:pt idx="72">
                  <c:v>117.02900347090726</c:v>
                </c:pt>
                <c:pt idx="73">
                  <c:v>117.47647930539291</c:v>
                </c:pt>
                <c:pt idx="74">
                  <c:v>117.94065491996055</c:v>
                </c:pt>
                <c:pt idx="75">
                  <c:v>118.42275165255208</c:v>
                </c:pt>
                <c:pt idx="76">
                  <c:v>118.92412704276376</c:v>
                </c:pt>
                <c:pt idx="77">
                  <c:v>119.44629563763196</c:v>
                </c:pt>
                <c:pt idx="78">
                  <c:v>119.99095389996094</c:v>
                </c:pt>
                <c:pt idx="79">
                  <c:v>120.56001022505778</c:v>
                </c:pt>
                <c:pt idx="80">
                  <c:v>121.15562137067403</c:v>
                </c:pt>
                <c:pt idx="81">
                  <c:v>121.78023700965197</c:v>
                </c:pt>
                <c:pt idx="82">
                  <c:v>122.43665466916757</c:v>
                </c:pt>
                <c:pt idx="83">
                  <c:v>123.12808808971937</c:v>
                </c:pt>
                <c:pt idx="84">
                  <c:v>123.85825311939612</c:v>
                </c:pt>
                <c:pt idx="85">
                  <c:v>124.6314768051771</c:v>
                </c:pt>
                <c:pt idx="86">
                  <c:v>125.45283758885284</c:v>
                </c:pt>
                <c:pt idx="87">
                  <c:v>126.32834783721221</c:v>
                </c:pt>
                <c:pt idx="88">
                  <c:v>127.26519495019983</c:v>
                </c:pt>
                <c:pt idx="89">
                  <c:v>128.27206502986058</c:v>
                </c:pt>
                <c:pt idx="90">
                  <c:v>129.35958534051161</c:v>
                </c:pt>
                <c:pt idx="91">
                  <c:v>130.54094172615274</c:v>
                </c:pt>
                <c:pt idx="92">
                  <c:v>131.83276065203819</c:v>
                </c:pt>
                <c:pt idx="93">
                  <c:v>133.25640392656715</c:v>
                </c:pt>
                <c:pt idx="94">
                  <c:v>134.83993031309183</c:v>
                </c:pt>
                <c:pt idx="95">
                  <c:v>136.62118100566641</c:v>
                </c:pt>
                <c:pt idx="96">
                  <c:v>138.65285666988424</c:v>
                </c:pt>
                <c:pt idx="97">
                  <c:v>141.01134705426762</c:v>
                </c:pt>
                <c:pt idx="98">
                  <c:v>143.81319615170571</c:v>
                </c:pt>
                <c:pt idx="99">
                  <c:v>147.24872838637748</c:v>
                </c:pt>
                <c:pt idx="100">
                  <c:v>151.65980659841682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FA-4592-8416-7A1D9390EFC3}"/>
            </c:ext>
          </c:extLst>
        </c:ser>
        <c:ser>
          <c:idx val="0"/>
          <c:order val="4"/>
          <c:tx>
            <c:v>2.38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'G27 60L (AccuEkin;velo)'!$A$2:$A$44</c:f>
              <c:numCache>
                <c:formatCode>0.00E+00</c:formatCode>
                <c:ptCount val="43"/>
                <c:pt idx="0">
                  <c:v>124384811.61346856</c:v>
                </c:pt>
                <c:pt idx="1">
                  <c:v>99553900.25718385</c:v>
                </c:pt>
                <c:pt idx="2">
                  <c:v>8077929.0323742339</c:v>
                </c:pt>
                <c:pt idx="3">
                  <c:v>10494720.143733464</c:v>
                </c:pt>
                <c:pt idx="4">
                  <c:v>11609689.303569306</c:v>
                </c:pt>
                <c:pt idx="5">
                  <c:v>13724164.597168224</c:v>
                </c:pt>
                <c:pt idx="6">
                  <c:v>15634845.797376247</c:v>
                </c:pt>
                <c:pt idx="7">
                  <c:v>17304930.485877611</c:v>
                </c:pt>
                <c:pt idx="8">
                  <c:v>18414565.117305208</c:v>
                </c:pt>
                <c:pt idx="9">
                  <c:v>17529950.539411567</c:v>
                </c:pt>
                <c:pt idx="10">
                  <c:v>19018482.329735789</c:v>
                </c:pt>
                <c:pt idx="11">
                  <c:v>9814497.8823463861</c:v>
                </c:pt>
                <c:pt idx="12">
                  <c:v>12110267.858035419</c:v>
                </c:pt>
                <c:pt idx="13">
                  <c:v>14332022.872563673</c:v>
                </c:pt>
                <c:pt idx="14">
                  <c:v>16600944.751284983</c:v>
                </c:pt>
                <c:pt idx="15">
                  <c:v>18138124.13923401</c:v>
                </c:pt>
                <c:pt idx="16">
                  <c:v>20141071.679637287</c:v>
                </c:pt>
                <c:pt idx="17">
                  <c:v>21986345.086432938</c:v>
                </c:pt>
                <c:pt idx="18">
                  <c:v>23021189.281967986</c:v>
                </c:pt>
                <c:pt idx="19">
                  <c:v>12977294.165116822</c:v>
                </c:pt>
                <c:pt idx="20">
                  <c:v>14549383.251407405</c:v>
                </c:pt>
                <c:pt idx="21">
                  <c:v>15636055.232893724</c:v>
                </c:pt>
                <c:pt idx="22">
                  <c:v>17659741.12372699</c:v>
                </c:pt>
                <c:pt idx="23">
                  <c:v>19304089.761817481</c:v>
                </c:pt>
                <c:pt idx="24">
                  <c:v>20224598.756835319</c:v>
                </c:pt>
                <c:pt idx="25">
                  <c:v>29853302.245149177</c:v>
                </c:pt>
                <c:pt idx="26">
                  <c:v>32793154.281533718</c:v>
                </c:pt>
                <c:pt idx="27">
                  <c:v>32631014.326100044</c:v>
                </c:pt>
                <c:pt idx="28">
                  <c:v>45263189.123875178</c:v>
                </c:pt>
                <c:pt idx="29">
                  <c:v>25851155.384653624</c:v>
                </c:pt>
                <c:pt idx="30">
                  <c:v>27125671.706013426</c:v>
                </c:pt>
                <c:pt idx="31">
                  <c:v>28994893.593562044</c:v>
                </c:pt>
                <c:pt idx="32">
                  <c:v>29469138.504333045</c:v>
                </c:pt>
                <c:pt idx="33">
                  <c:v>29554427.344967149</c:v>
                </c:pt>
                <c:pt idx="34">
                  <c:v>38202116.018411316</c:v>
                </c:pt>
                <c:pt idx="35">
                  <c:v>41622663.307938986</c:v>
                </c:pt>
                <c:pt idx="36">
                  <c:v>23734886.174415272</c:v>
                </c:pt>
                <c:pt idx="37">
                  <c:v>25310061.436563414</c:v>
                </c:pt>
                <c:pt idx="38">
                  <c:v>27103714.652555063</c:v>
                </c:pt>
                <c:pt idx="39">
                  <c:v>28759048.043847542</c:v>
                </c:pt>
                <c:pt idx="40">
                  <c:v>30768839.276789855</c:v>
                </c:pt>
                <c:pt idx="41">
                  <c:v>35829002.114322841</c:v>
                </c:pt>
                <c:pt idx="42">
                  <c:v>46702668.447361588</c:v>
                </c:pt>
              </c:numCache>
            </c:numRef>
          </c:xVal>
          <c:yVal>
            <c:numRef>
              <c:f>'G27 60L (AccuEkin;velo)'!$B$2:$B$44</c:f>
              <c:numCache>
                <c:formatCode>#,##0.000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FA-4592-8416-7A1D9390EFC3}"/>
            </c:ext>
          </c:extLst>
        </c:ser>
        <c:ser>
          <c:idx val="1"/>
          <c:order val="5"/>
          <c:tx>
            <c:v>Fit 2.38 mm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'G27 60L (AccuEkin;velo)'!$N$2:$N$102</c:f>
              <c:numCache>
                <c:formatCode>0.000</c:formatCode>
                <c:ptCount val="101"/>
                <c:pt idx="0">
                  <c:v>124384811.61346863</c:v>
                </c:pt>
                <c:pt idx="1">
                  <c:v>123221742.78765815</c:v>
                </c:pt>
                <c:pt idx="2">
                  <c:v>122058673.96184678</c:v>
                </c:pt>
                <c:pt idx="3">
                  <c:v>120895605.1360361</c:v>
                </c:pt>
                <c:pt idx="4">
                  <c:v>119732536.31022543</c:v>
                </c:pt>
                <c:pt idx="5">
                  <c:v>118569467.48441432</c:v>
                </c:pt>
                <c:pt idx="6">
                  <c:v>117406398.65860324</c:v>
                </c:pt>
                <c:pt idx="7">
                  <c:v>116243329.83279209</c:v>
                </c:pt>
                <c:pt idx="8">
                  <c:v>115080261.0069814</c:v>
                </c:pt>
                <c:pt idx="9">
                  <c:v>113917192.18117039</c:v>
                </c:pt>
                <c:pt idx="10">
                  <c:v>112754123.35535954</c:v>
                </c:pt>
                <c:pt idx="11">
                  <c:v>111591054.52954823</c:v>
                </c:pt>
                <c:pt idx="12">
                  <c:v>110427985.70373745</c:v>
                </c:pt>
                <c:pt idx="13">
                  <c:v>109264916.87792651</c:v>
                </c:pt>
                <c:pt idx="14">
                  <c:v>108101848.05211574</c:v>
                </c:pt>
                <c:pt idx="15">
                  <c:v>106938779.22630459</c:v>
                </c:pt>
                <c:pt idx="16">
                  <c:v>105775710.40049389</c:v>
                </c:pt>
                <c:pt idx="17">
                  <c:v>104612641.57468264</c:v>
                </c:pt>
                <c:pt idx="18">
                  <c:v>103449572.74887174</c:v>
                </c:pt>
                <c:pt idx="19">
                  <c:v>102286503.92306098</c:v>
                </c:pt>
                <c:pt idx="20">
                  <c:v>101123435.0972501</c:v>
                </c:pt>
                <c:pt idx="21">
                  <c:v>99960366.27143915</c:v>
                </c:pt>
                <c:pt idx="22">
                  <c:v>98797297.445628032</c:v>
                </c:pt>
                <c:pt idx="23">
                  <c:v>97634228.619817078</c:v>
                </c:pt>
                <c:pt idx="24">
                  <c:v>96471159.794006065</c:v>
                </c:pt>
                <c:pt idx="25">
                  <c:v>95308090.968195349</c:v>
                </c:pt>
                <c:pt idx="26">
                  <c:v>94145022.142384231</c:v>
                </c:pt>
                <c:pt idx="27">
                  <c:v>92981953.316573441</c:v>
                </c:pt>
                <c:pt idx="28">
                  <c:v>91818884.490762159</c:v>
                </c:pt>
                <c:pt idx="29">
                  <c:v>90655815.66495128</c:v>
                </c:pt>
                <c:pt idx="30">
                  <c:v>89492746.839140564</c:v>
                </c:pt>
                <c:pt idx="31">
                  <c:v>88329678.013329536</c:v>
                </c:pt>
                <c:pt idx="32">
                  <c:v>87166609.187518507</c:v>
                </c:pt>
                <c:pt idx="33">
                  <c:v>86003540.361707702</c:v>
                </c:pt>
                <c:pt idx="34">
                  <c:v>84840471.535896778</c:v>
                </c:pt>
                <c:pt idx="35">
                  <c:v>83677402.710085675</c:v>
                </c:pt>
                <c:pt idx="36">
                  <c:v>82514333.884274632</c:v>
                </c:pt>
                <c:pt idx="37">
                  <c:v>81351265.058463827</c:v>
                </c:pt>
                <c:pt idx="38">
                  <c:v>80188196.232652992</c:v>
                </c:pt>
                <c:pt idx="39">
                  <c:v>79025127.406841904</c:v>
                </c:pt>
                <c:pt idx="40">
                  <c:v>77862058.581030846</c:v>
                </c:pt>
                <c:pt idx="41">
                  <c:v>76698989.755219966</c:v>
                </c:pt>
                <c:pt idx="42">
                  <c:v>75535920.929409087</c:v>
                </c:pt>
                <c:pt idx="43">
                  <c:v>74372852.103598073</c:v>
                </c:pt>
                <c:pt idx="44">
                  <c:v>73209783.277787253</c:v>
                </c:pt>
                <c:pt idx="45">
                  <c:v>72046714.451976418</c:v>
                </c:pt>
                <c:pt idx="46">
                  <c:v>70883645.62616539</c:v>
                </c:pt>
                <c:pt idx="47">
                  <c:v>69720576.80035454</c:v>
                </c:pt>
                <c:pt idx="48">
                  <c:v>68557507.974543437</c:v>
                </c:pt>
                <c:pt idx="49">
                  <c:v>67394439.148732513</c:v>
                </c:pt>
                <c:pt idx="50">
                  <c:v>66231370.32292141</c:v>
                </c:pt>
                <c:pt idx="51">
                  <c:v>65068301.49711071</c:v>
                </c:pt>
                <c:pt idx="52">
                  <c:v>63905232.671299726</c:v>
                </c:pt>
                <c:pt idx="53">
                  <c:v>62742163.845488742</c:v>
                </c:pt>
                <c:pt idx="54">
                  <c:v>61579095.019677706</c:v>
                </c:pt>
                <c:pt idx="55">
                  <c:v>60416026.193866849</c:v>
                </c:pt>
                <c:pt idx="56">
                  <c:v>59252957.368055798</c:v>
                </c:pt>
                <c:pt idx="57">
                  <c:v>58089888.542244896</c:v>
                </c:pt>
                <c:pt idx="58">
                  <c:v>56926819.716433898</c:v>
                </c:pt>
                <c:pt idx="59">
                  <c:v>55763750.890623085</c:v>
                </c:pt>
                <c:pt idx="60">
                  <c:v>54600682.064812109</c:v>
                </c:pt>
                <c:pt idx="61">
                  <c:v>53437613.239001215</c:v>
                </c:pt>
                <c:pt idx="62">
                  <c:v>52274544.413190156</c:v>
                </c:pt>
                <c:pt idx="63">
                  <c:v>51111475.587379344</c:v>
                </c:pt>
                <c:pt idx="64">
                  <c:v>49948406.761568233</c:v>
                </c:pt>
                <c:pt idx="65">
                  <c:v>48785337.935757428</c:v>
                </c:pt>
                <c:pt idx="66">
                  <c:v>47622269.109946437</c:v>
                </c:pt>
                <c:pt idx="67">
                  <c:v>46459200.284135528</c:v>
                </c:pt>
                <c:pt idx="68">
                  <c:v>45296131.458324485</c:v>
                </c:pt>
                <c:pt idx="69">
                  <c:v>44133062.63251362</c:v>
                </c:pt>
                <c:pt idx="70">
                  <c:v>42969993.806702718</c:v>
                </c:pt>
                <c:pt idx="71">
                  <c:v>41806924.98089166</c:v>
                </c:pt>
                <c:pt idx="72">
                  <c:v>40643856.155080736</c:v>
                </c:pt>
                <c:pt idx="73">
                  <c:v>39480787.329269841</c:v>
                </c:pt>
                <c:pt idx="74">
                  <c:v>38317718.503458753</c:v>
                </c:pt>
                <c:pt idx="75">
                  <c:v>37154649.677647904</c:v>
                </c:pt>
                <c:pt idx="76">
                  <c:v>35991580.85183692</c:v>
                </c:pt>
                <c:pt idx="77">
                  <c:v>34828512.026026092</c:v>
                </c:pt>
                <c:pt idx="78">
                  <c:v>33665443.200215019</c:v>
                </c:pt>
                <c:pt idx="79">
                  <c:v>32502374.374404117</c:v>
                </c:pt>
                <c:pt idx="80">
                  <c:v>31339305.548593201</c:v>
                </c:pt>
                <c:pt idx="81">
                  <c:v>30176236.722782254</c:v>
                </c:pt>
                <c:pt idx="82">
                  <c:v>29013167.896971326</c:v>
                </c:pt>
                <c:pt idx="83">
                  <c:v>27850099.071160294</c:v>
                </c:pt>
                <c:pt idx="84">
                  <c:v>26687030.245349351</c:v>
                </c:pt>
                <c:pt idx="85">
                  <c:v>25523961.41953839</c:v>
                </c:pt>
                <c:pt idx="86">
                  <c:v>24360892.59372744</c:v>
                </c:pt>
                <c:pt idx="87">
                  <c:v>23197823.767916556</c:v>
                </c:pt>
                <c:pt idx="88">
                  <c:v>22034754.942105614</c:v>
                </c:pt>
                <c:pt idx="89">
                  <c:v>20871686.116294648</c:v>
                </c:pt>
                <c:pt idx="90">
                  <c:v>19708617.290483706</c:v>
                </c:pt>
                <c:pt idx="91">
                  <c:v>18545548.464672737</c:v>
                </c:pt>
                <c:pt idx="92">
                  <c:v>17382479.638861798</c:v>
                </c:pt>
                <c:pt idx="93">
                  <c:v>16219410.8130509</c:v>
                </c:pt>
                <c:pt idx="94">
                  <c:v>15056341.987239929</c:v>
                </c:pt>
                <c:pt idx="95">
                  <c:v>13893273.16142899</c:v>
                </c:pt>
                <c:pt idx="96">
                  <c:v>12730204.335617993</c:v>
                </c:pt>
                <c:pt idx="97">
                  <c:v>11567135.509807097</c:v>
                </c:pt>
                <c:pt idx="98">
                  <c:v>10404066.683996137</c:v>
                </c:pt>
                <c:pt idx="99">
                  <c:v>9240997.8581851907</c:v>
                </c:pt>
                <c:pt idx="100">
                  <c:v>8077929.0323742395</c:v>
                </c:pt>
              </c:numCache>
            </c:numRef>
          </c:xVal>
          <c:yVal>
            <c:numRef>
              <c:f>'G27 60L (AccuEkin;velo)'!$O$2:$O$102</c:f>
              <c:numCache>
                <c:formatCode>0</c:formatCode>
                <c:ptCount val="101"/>
                <c:pt idx="0">
                  <c:v>93.916707294184562</c:v>
                </c:pt>
                <c:pt idx="1">
                  <c:v>94.064933700216685</c:v>
                </c:pt>
                <c:pt idx="2">
                  <c:v>94.214803126646558</c:v>
                </c:pt>
                <c:pt idx="3">
                  <c:v>94.366349704091135</c:v>
                </c:pt>
                <c:pt idx="4">
                  <c:v>94.519608609245509</c:v>
                </c:pt>
                <c:pt idx="5">
                  <c:v>94.674616107477561</c:v>
                </c:pt>
                <c:pt idx="6">
                  <c:v>94.831409597594572</c:v>
                </c:pt>
                <c:pt idx="7">
                  <c:v>94.990027658914499</c:v>
                </c:pt>
                <c:pt idx="8">
                  <c:v>95.150510100786875</c:v>
                </c:pt>
                <c:pt idx="9">
                  <c:v>95.312898014714207</c:v>
                </c:pt>
                <c:pt idx="10">
                  <c:v>95.477233829240689</c:v>
                </c:pt>
                <c:pt idx="11">
                  <c:v>95.643561367785125</c:v>
                </c:pt>
                <c:pt idx="12">
                  <c:v>95.811925909606998</c:v>
                </c:pt>
                <c:pt idx="13">
                  <c:v>95.982374254113054</c:v>
                </c:pt>
                <c:pt idx="14">
                  <c:v>96.154954788722037</c:v>
                </c:pt>
                <c:pt idx="15">
                  <c:v>96.32971756052855</c:v>
                </c:pt>
                <c:pt idx="16">
                  <c:v>96.50671435201906</c:v>
                </c:pt>
                <c:pt idx="17">
                  <c:v>96.685998761119933</c:v>
                </c:pt>
                <c:pt idx="18">
                  <c:v>96.867626285873513</c:v>
                </c:pt>
                <c:pt idx="19">
                  <c:v>97.051654414068295</c:v>
                </c:pt>
                <c:pt idx="20">
                  <c:v>97.238142718170565</c:v>
                </c:pt>
                <c:pt idx="21">
                  <c:v>97.42715295593662</c:v>
                </c:pt>
                <c:pt idx="22">
                  <c:v>97.618749177117905</c:v>
                </c:pt>
                <c:pt idx="23">
                  <c:v>97.812997836701797</c:v>
                </c:pt>
                <c:pt idx="24">
                  <c:v>98.009967915173931</c:v>
                </c:pt>
                <c:pt idx="25">
                  <c:v>98.209731046326098</c:v>
                </c:pt>
                <c:pt idx="26">
                  <c:v>98.412361653183751</c:v>
                </c:pt>
                <c:pt idx="27">
                  <c:v>98.617937092674211</c:v>
                </c:pt>
                <c:pt idx="28">
                  <c:v>98.826537809716967</c:v>
                </c:pt>
                <c:pt idx="29">
                  <c:v>99.038247501475851</c:v>
                </c:pt>
                <c:pt idx="30">
                  <c:v>99.253153292585012</c:v>
                </c:pt>
                <c:pt idx="31">
                  <c:v>99.47134592223415</c:v>
                </c:pt>
                <c:pt idx="32">
                  <c:v>99.692919944083854</c:v>
                </c:pt>
                <c:pt idx="33">
                  <c:v>99.917973940075527</c:v>
                </c:pt>
                <c:pt idx="34">
                  <c:v>100.14661074930382</c:v>
                </c:pt>
                <c:pt idx="35">
                  <c:v>100.37893771323641</c:v>
                </c:pt>
                <c:pt idx="36">
                  <c:v>100.61506693869316</c:v>
                </c:pt>
                <c:pt idx="37">
                  <c:v>100.8551155801415</c:v>
                </c:pt>
                <c:pt idx="38">
                  <c:v>101.09920614302838</c:v>
                </c:pt>
                <c:pt idx="39">
                  <c:v>101.34746681004198</c:v>
                </c:pt>
                <c:pt idx="40">
                  <c:v>101.6000317924087</c:v>
                </c:pt>
                <c:pt idx="41">
                  <c:v>101.85704170854915</c:v>
                </c:pt>
                <c:pt idx="42">
                  <c:v>102.11864399267394</c:v>
                </c:pt>
                <c:pt idx="43">
                  <c:v>102.38499333619373</c:v>
                </c:pt>
                <c:pt idx="44">
                  <c:v>102.65625216513295</c:v>
                </c:pt>
                <c:pt idx="45">
                  <c:v>102.93259115711125</c:v>
                </c:pt>
                <c:pt idx="46">
                  <c:v>103.21418980187073</c:v>
                </c:pt>
                <c:pt idx="47">
                  <c:v>103.50123700979738</c:v>
                </c:pt>
                <c:pt idx="48">
                  <c:v>103.79393177342565</c:v>
                </c:pt>
                <c:pt idx="49">
                  <c:v>104.09248388752545</c:v>
                </c:pt>
                <c:pt idx="50">
                  <c:v>104.3971147340727</c:v>
                </c:pt>
                <c:pt idx="51">
                  <c:v>104.70805813920377</c:v>
                </c:pt>
                <c:pt idx="52">
                  <c:v>105.02556131017606</c:v>
                </c:pt>
                <c:pt idx="53">
                  <c:v>105.349885861411</c:v>
                </c:pt>
                <c:pt idx="54">
                  <c:v>105.6813089399238</c:v>
                </c:pt>
                <c:pt idx="55">
                  <c:v>106.02012446184126</c:v>
                </c:pt>
                <c:pt idx="56">
                  <c:v>106.36664447335643</c:v>
                </c:pt>
                <c:pt idx="57">
                  <c:v>106.72120065136053</c:v>
                </c:pt>
                <c:pt idx="58">
                  <c:v>107.08414596120863</c:v>
                </c:pt>
                <c:pt idx="59">
                  <c:v>107.45585649166385</c:v>
                </c:pt>
                <c:pt idx="60">
                  <c:v>107.83673349009929</c:v>
                </c:pt>
                <c:pt idx="61">
                  <c:v>108.2272056246035</c:v>
                </c:pt>
                <c:pt idx="62">
                  <c:v>108.62773150385168</c:v>
                </c:pt>
                <c:pt idx="63">
                  <c:v>109.03880249058855</c:v>
                </c:pt>
                <c:pt idx="64">
                  <c:v>109.46094585049622</c:v>
                </c:pt>
                <c:pt idx="65">
                  <c:v>109.8947282852956</c:v>
                </c:pt>
                <c:pt idx="66">
                  <c:v>110.34075990738992</c:v>
                </c:pt>
                <c:pt idx="67">
                  <c:v>110.79969872354776</c:v>
                </c:pt>
                <c:pt idx="68">
                  <c:v>111.27225570741349</c:v>
                </c:pt>
                <c:pt idx="69">
                  <c:v>111.75920055554705</c:v>
                </c:pt>
                <c:pt idx="70">
                  <c:v>112.2613682398748</c:v>
                </c:pt>
                <c:pt idx="71">
                  <c:v>112.77966649168813</c:v>
                </c:pt>
                <c:pt idx="72">
                  <c:v>113.31508437973375</c:v>
                </c:pt>
                <c:pt idx="73">
                  <c:v>113.86870217886242</c:v>
                </c:pt>
                <c:pt idx="74">
                  <c:v>114.44170276793217</c:v>
                </c:pt>
                <c:pt idx="75">
                  <c:v>115.0353848485553</c:v>
                </c:pt>
                <c:pt idx="76">
                  <c:v>115.65117834296588</c:v>
                </c:pt>
                <c:pt idx="77">
                  <c:v>116.29066241390511</c:v>
                </c:pt>
                <c:pt idx="78">
                  <c:v>116.95558665761455</c:v>
                </c:pt>
                <c:pt idx="79">
                  <c:v>117.64789616038995</c:v>
                </c:pt>
                <c:pt idx="80">
                  <c:v>118.36976129015117</c:v>
                </c:pt>
                <c:pt idx="81">
                  <c:v>119.12361333160571</c:v>
                </c:pt>
                <c:pt idx="82">
                  <c:v>119.91218738714456</c:v>
                </c:pt>
                <c:pt idx="83">
                  <c:v>120.73857438439867</c:v>
                </c:pt>
                <c:pt idx="84">
                  <c:v>121.60628459673073</c:v>
                </c:pt>
                <c:pt idx="85">
                  <c:v>122.51932585502766</c:v>
                </c:pt>
                <c:pt idx="86">
                  <c:v>123.48230069680305</c:v>
                </c:pt>
                <c:pt idx="87">
                  <c:v>124.50052819509861</c:v>
                </c:pt>
                <c:pt idx="88">
                  <c:v>125.58019833836974</c:v>
                </c:pt>
                <c:pt idx="89">
                  <c:v>126.72856990962096</c:v>
                </c:pt>
                <c:pt idx="90">
                  <c:v>127.9542273403099</c:v>
                </c:pt>
                <c:pt idx="91">
                  <c:v>129.26741880621759</c:v>
                </c:pt>
                <c:pt idx="92">
                  <c:v>130.68050824320676</c:v>
                </c:pt>
                <c:pt idx="93">
                  <c:v>132.20859030697324</c:v>
                </c:pt>
                <c:pt idx="94">
                  <c:v>133.87034366739098</c:v>
                </c:pt>
                <c:pt idx="95">
                  <c:v>135.68924187219554</c:v>
                </c:pt>
                <c:pt idx="96">
                  <c:v>137.69531649649682</c:v>
                </c:pt>
                <c:pt idx="97">
                  <c:v>139.92780253951526</c:v>
                </c:pt>
                <c:pt idx="98">
                  <c:v>142.43924989576328</c:v>
                </c:pt>
                <c:pt idx="99">
                  <c:v>145.30218816852164</c:v>
                </c:pt>
                <c:pt idx="100">
                  <c:v>148.62049857872131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FA-4592-8416-7A1D9390EFC3}"/>
            </c:ext>
          </c:extLst>
        </c:ser>
        <c:ser>
          <c:idx val="2"/>
          <c:order val="6"/>
          <c:tx>
            <c:v>3.50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'G20 120L (AccuEkin;velo)'!$A$2:$A$32</c:f>
              <c:numCache>
                <c:formatCode>0.00E+00</c:formatCode>
                <c:ptCount val="31"/>
                <c:pt idx="0">
                  <c:v>13977574.747182118</c:v>
                </c:pt>
                <c:pt idx="1">
                  <c:v>20197922.549470805</c:v>
                </c:pt>
                <c:pt idx="2">
                  <c:v>20917606.81088499</c:v>
                </c:pt>
                <c:pt idx="3">
                  <c:v>10109525.458900744</c:v>
                </c:pt>
                <c:pt idx="4">
                  <c:v>14470913.272516044</c:v>
                </c:pt>
                <c:pt idx="5">
                  <c:v>16288023.038008833</c:v>
                </c:pt>
                <c:pt idx="6">
                  <c:v>22452455.285122048</c:v>
                </c:pt>
                <c:pt idx="7">
                  <c:v>9870546.9109358415</c:v>
                </c:pt>
                <c:pt idx="8">
                  <c:v>12982792.320875306</c:v>
                </c:pt>
                <c:pt idx="9">
                  <c:v>15117174.762536354</c:v>
                </c:pt>
                <c:pt idx="10">
                  <c:v>22379092.088151079</c:v>
                </c:pt>
                <c:pt idx="11">
                  <c:v>28566701.973071992</c:v>
                </c:pt>
                <c:pt idx="12">
                  <c:v>28849422.785649415</c:v>
                </c:pt>
                <c:pt idx="13">
                  <c:v>31589759.018365614</c:v>
                </c:pt>
                <c:pt idx="14">
                  <c:v>34137295.841809817</c:v>
                </c:pt>
                <c:pt idx="15">
                  <c:v>38787291.893262208</c:v>
                </c:pt>
                <c:pt idx="16">
                  <c:v>41492936.792937681</c:v>
                </c:pt>
                <c:pt idx="17">
                  <c:v>18294468.505622923</c:v>
                </c:pt>
                <c:pt idx="18">
                  <c:v>21312287.2536062</c:v>
                </c:pt>
                <c:pt idx="19">
                  <c:v>25175767.751475215</c:v>
                </c:pt>
                <c:pt idx="20">
                  <c:v>28403747.09112335</c:v>
                </c:pt>
                <c:pt idx="21">
                  <c:v>35889354.556029454</c:v>
                </c:pt>
                <c:pt idx="22">
                  <c:v>39183425.385658704</c:v>
                </c:pt>
                <c:pt idx="23">
                  <c:v>38664355.264964215</c:v>
                </c:pt>
                <c:pt idx="24">
                  <c:v>21415652.508545797</c:v>
                </c:pt>
                <c:pt idx="25">
                  <c:v>24168071.446572632</c:v>
                </c:pt>
                <c:pt idx="26">
                  <c:v>30724494.184445988</c:v>
                </c:pt>
                <c:pt idx="27">
                  <c:v>33669872.359292693</c:v>
                </c:pt>
                <c:pt idx="28">
                  <c:v>37246463.248498172</c:v>
                </c:pt>
                <c:pt idx="29">
                  <c:v>79902062.515633449</c:v>
                </c:pt>
                <c:pt idx="30">
                  <c:v>64477087.890320711</c:v>
                </c:pt>
              </c:numCache>
            </c:numRef>
          </c:xVal>
          <c:yVal>
            <c:numRef>
              <c:f>'G20 120L (AccuEkin;velo)'!$B$2:$B$32</c:f>
              <c:numCache>
                <c:formatCode>#,##0.000</c:formatCode>
                <c:ptCount val="31"/>
                <c:pt idx="0">
                  <c:v>138.47528590532582</c:v>
                </c:pt>
                <c:pt idx="1">
                  <c:v>128.9393080514532</c:v>
                </c:pt>
                <c:pt idx="2">
                  <c:v>119.78359925310309</c:v>
                </c:pt>
                <c:pt idx="3">
                  <c:v>144.23390887684323</c:v>
                </c:pt>
                <c:pt idx="4">
                  <c:v>140.89783799974145</c:v>
                </c:pt>
                <c:pt idx="5">
                  <c:v>129.45570016687481</c:v>
                </c:pt>
                <c:pt idx="6">
                  <c:v>124.10042849573773</c:v>
                </c:pt>
                <c:pt idx="7">
                  <c:v>142.5189443282251</c:v>
                </c:pt>
                <c:pt idx="8">
                  <c:v>133.45670982827062</c:v>
                </c:pt>
                <c:pt idx="9">
                  <c:v>124.71603849452865</c:v>
                </c:pt>
                <c:pt idx="10">
                  <c:v>123.89751408438963</c:v>
                </c:pt>
                <c:pt idx="11">
                  <c:v>125.0881979570498</c:v>
                </c:pt>
                <c:pt idx="12">
                  <c:v>116.38083086759765</c:v>
                </c:pt>
                <c:pt idx="13">
                  <c:v>113.91740208566142</c:v>
                </c:pt>
                <c:pt idx="14">
                  <c:v>111.6490963684362</c:v>
                </c:pt>
                <c:pt idx="15">
                  <c:v>107.64907339062384</c:v>
                </c:pt>
                <c:pt idx="16">
                  <c:v>106.60028688260051</c:v>
                </c:pt>
                <c:pt idx="17">
                  <c:v>122.60037878831164</c:v>
                </c:pt>
                <c:pt idx="18">
                  <c:v>118.35645197110961</c:v>
                </c:pt>
                <c:pt idx="19">
                  <c:v>117.42961737884711</c:v>
                </c:pt>
                <c:pt idx="20">
                  <c:v>115.47838665829444</c:v>
                </c:pt>
                <c:pt idx="21">
                  <c:v>114.47838091401121</c:v>
                </c:pt>
                <c:pt idx="22">
                  <c:v>113.47837516972798</c:v>
                </c:pt>
                <c:pt idx="23">
                  <c:v>107.47834070402855</c:v>
                </c:pt>
                <c:pt idx="24">
                  <c:v>118.64312103662732</c:v>
                </c:pt>
                <c:pt idx="25">
                  <c:v>115.05547298976759</c:v>
                </c:pt>
                <c:pt idx="26">
                  <c:v>112.3464326278531</c:v>
                </c:pt>
                <c:pt idx="27">
                  <c:v>110.88208648627773</c:v>
                </c:pt>
                <c:pt idx="28">
                  <c:v>110.63802879601515</c:v>
                </c:pt>
                <c:pt idx="29">
                  <c:v>101.0765920893912</c:v>
                </c:pt>
                <c:pt idx="30">
                  <c:v>99.463772200994654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FA-4592-8416-7A1D9390EFC3}"/>
            </c:ext>
          </c:extLst>
        </c:ser>
        <c:ser>
          <c:idx val="3"/>
          <c:order val="7"/>
          <c:tx>
            <c:v>Fit 3.50 mm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'G20 120L (AccuEkin;velo)'!$N$2:$N$102</c:f>
              <c:numCache>
                <c:formatCode>0.000</c:formatCode>
                <c:ptCount val="101"/>
                <c:pt idx="0">
                  <c:v>79902062.515633941</c:v>
                </c:pt>
                <c:pt idx="1">
                  <c:v>79201747.359586701</c:v>
                </c:pt>
                <c:pt idx="2">
                  <c:v>78501432.203539819</c:v>
                </c:pt>
                <c:pt idx="3">
                  <c:v>77801117.047493026</c:v>
                </c:pt>
                <c:pt idx="4">
                  <c:v>77100801.891446009</c:v>
                </c:pt>
                <c:pt idx="5">
                  <c:v>76400486.735398859</c:v>
                </c:pt>
                <c:pt idx="6">
                  <c:v>75700171.579351962</c:v>
                </c:pt>
                <c:pt idx="7">
                  <c:v>74999856.423305079</c:v>
                </c:pt>
                <c:pt idx="8">
                  <c:v>74299541.267258078</c:v>
                </c:pt>
                <c:pt idx="9">
                  <c:v>73599226.111210912</c:v>
                </c:pt>
                <c:pt idx="10">
                  <c:v>72898910.955164045</c:v>
                </c:pt>
                <c:pt idx="11">
                  <c:v>72198595.799116895</c:v>
                </c:pt>
                <c:pt idx="12">
                  <c:v>71498280.643070057</c:v>
                </c:pt>
                <c:pt idx="13">
                  <c:v>70797965.48702313</c:v>
                </c:pt>
                <c:pt idx="14">
                  <c:v>70097650.330976024</c:v>
                </c:pt>
                <c:pt idx="15">
                  <c:v>69397335.174929217</c:v>
                </c:pt>
                <c:pt idx="16">
                  <c:v>68697020.01888226</c:v>
                </c:pt>
                <c:pt idx="17">
                  <c:v>67996704.862835169</c:v>
                </c:pt>
                <c:pt idx="18">
                  <c:v>67296389.706788123</c:v>
                </c:pt>
                <c:pt idx="19">
                  <c:v>66596074.550741144</c:v>
                </c:pt>
                <c:pt idx="20">
                  <c:v>65895759.394694202</c:v>
                </c:pt>
                <c:pt idx="21">
                  <c:v>65195444.23864717</c:v>
                </c:pt>
                <c:pt idx="22">
                  <c:v>64495129.082600236</c:v>
                </c:pt>
                <c:pt idx="23">
                  <c:v>63794813.926553361</c:v>
                </c:pt>
                <c:pt idx="24">
                  <c:v>63094498.770506233</c:v>
                </c:pt>
                <c:pt idx="25">
                  <c:v>62394183.614459403</c:v>
                </c:pt>
                <c:pt idx="26">
                  <c:v>61693868.458412372</c:v>
                </c:pt>
                <c:pt idx="27">
                  <c:v>60993553.302365489</c:v>
                </c:pt>
                <c:pt idx="28">
                  <c:v>60293238.146318391</c:v>
                </c:pt>
                <c:pt idx="29">
                  <c:v>59592922.990271345</c:v>
                </c:pt>
                <c:pt idx="30">
                  <c:v>58892607.834224463</c:v>
                </c:pt>
                <c:pt idx="31">
                  <c:v>58192292.678177536</c:v>
                </c:pt>
                <c:pt idx="32">
                  <c:v>57491977.522130504</c:v>
                </c:pt>
                <c:pt idx="33">
                  <c:v>56791662.366083555</c:v>
                </c:pt>
                <c:pt idx="34">
                  <c:v>56091347.210036613</c:v>
                </c:pt>
                <c:pt idx="35">
                  <c:v>55391032.053989545</c:v>
                </c:pt>
                <c:pt idx="36">
                  <c:v>54690716.897942618</c:v>
                </c:pt>
                <c:pt idx="37">
                  <c:v>53990401.741895519</c:v>
                </c:pt>
                <c:pt idx="38">
                  <c:v>53290086.585848637</c:v>
                </c:pt>
                <c:pt idx="39">
                  <c:v>52589771.429801509</c:v>
                </c:pt>
                <c:pt idx="40">
                  <c:v>51889456.273754515</c:v>
                </c:pt>
                <c:pt idx="41">
                  <c:v>51189141.117707603</c:v>
                </c:pt>
                <c:pt idx="42">
                  <c:v>50488825.96166072</c:v>
                </c:pt>
                <c:pt idx="43">
                  <c:v>49788510.805613793</c:v>
                </c:pt>
                <c:pt idx="44">
                  <c:v>49088195.649566688</c:v>
                </c:pt>
                <c:pt idx="45">
                  <c:v>48387880.493519768</c:v>
                </c:pt>
                <c:pt idx="46">
                  <c:v>47687565.337472782</c:v>
                </c:pt>
                <c:pt idx="47">
                  <c:v>46987250.18142584</c:v>
                </c:pt>
                <c:pt idx="48">
                  <c:v>46286935.025378756</c:v>
                </c:pt>
                <c:pt idx="49">
                  <c:v>45586619.869331829</c:v>
                </c:pt>
                <c:pt idx="50">
                  <c:v>44886304.713284835</c:v>
                </c:pt>
                <c:pt idx="51">
                  <c:v>44185989.557237901</c:v>
                </c:pt>
                <c:pt idx="52">
                  <c:v>43485674.401190877</c:v>
                </c:pt>
                <c:pt idx="53">
                  <c:v>42785359.245143883</c:v>
                </c:pt>
                <c:pt idx="54">
                  <c:v>42085044.089096896</c:v>
                </c:pt>
                <c:pt idx="55">
                  <c:v>41384728.933049984</c:v>
                </c:pt>
                <c:pt idx="56">
                  <c:v>40684413.77700296</c:v>
                </c:pt>
                <c:pt idx="57">
                  <c:v>39984098.620955959</c:v>
                </c:pt>
                <c:pt idx="58">
                  <c:v>39283783.46490898</c:v>
                </c:pt>
                <c:pt idx="59">
                  <c:v>38583468.30886206</c:v>
                </c:pt>
                <c:pt idx="60">
                  <c:v>37883153.152815126</c:v>
                </c:pt>
                <c:pt idx="61">
                  <c:v>37182837.996768072</c:v>
                </c:pt>
                <c:pt idx="62">
                  <c:v>36482522.840721101</c:v>
                </c:pt>
                <c:pt idx="63">
                  <c:v>35782207.684674114</c:v>
                </c:pt>
                <c:pt idx="64">
                  <c:v>35081892.528627068</c:v>
                </c:pt>
                <c:pt idx="65">
                  <c:v>34381577.372580156</c:v>
                </c:pt>
                <c:pt idx="66">
                  <c:v>33681262.21653311</c:v>
                </c:pt>
                <c:pt idx="67">
                  <c:v>32980947.060486216</c:v>
                </c:pt>
                <c:pt idx="68">
                  <c:v>32280631.904439304</c:v>
                </c:pt>
                <c:pt idx="69">
                  <c:v>31580316.748392321</c:v>
                </c:pt>
                <c:pt idx="70">
                  <c:v>30880001.592345197</c:v>
                </c:pt>
                <c:pt idx="71">
                  <c:v>30179686.436298314</c:v>
                </c:pt>
                <c:pt idx="72">
                  <c:v>29479371.280251335</c:v>
                </c:pt>
                <c:pt idx="73">
                  <c:v>28779056.124204297</c:v>
                </c:pt>
                <c:pt idx="74">
                  <c:v>28078740.968157399</c:v>
                </c:pt>
                <c:pt idx="75">
                  <c:v>27378425.812110398</c:v>
                </c:pt>
                <c:pt idx="76">
                  <c:v>26678110.656063378</c:v>
                </c:pt>
                <c:pt idx="77">
                  <c:v>25977795.500016358</c:v>
                </c:pt>
                <c:pt idx="78">
                  <c:v>25277480.343969438</c:v>
                </c:pt>
                <c:pt idx="79">
                  <c:v>24577165.187922493</c:v>
                </c:pt>
                <c:pt idx="80">
                  <c:v>23876850.031875465</c:v>
                </c:pt>
                <c:pt idx="81">
                  <c:v>23176534.875828456</c:v>
                </c:pt>
                <c:pt idx="82">
                  <c:v>22476219.719781555</c:v>
                </c:pt>
                <c:pt idx="83">
                  <c:v>21775904.563734557</c:v>
                </c:pt>
                <c:pt idx="84">
                  <c:v>21075589.407687578</c:v>
                </c:pt>
                <c:pt idx="85">
                  <c:v>20375274.251640595</c:v>
                </c:pt>
                <c:pt idx="86">
                  <c:v>19674959.095593594</c:v>
                </c:pt>
                <c:pt idx="87">
                  <c:v>18974643.939546648</c:v>
                </c:pt>
                <c:pt idx="88">
                  <c:v>18274328.783499647</c:v>
                </c:pt>
                <c:pt idx="89">
                  <c:v>17574013.62745266</c:v>
                </c:pt>
                <c:pt idx="90">
                  <c:v>16873698.471405681</c:v>
                </c:pt>
                <c:pt idx="91">
                  <c:v>16173383.31535873</c:v>
                </c:pt>
                <c:pt idx="92">
                  <c:v>15473068.159311732</c:v>
                </c:pt>
                <c:pt idx="93">
                  <c:v>14772753.003264738</c:v>
                </c:pt>
                <c:pt idx="94">
                  <c:v>14072437.847217765</c:v>
                </c:pt>
                <c:pt idx="95">
                  <c:v>13372122.691170817</c:v>
                </c:pt>
                <c:pt idx="96">
                  <c:v>12671807.53512379</c:v>
                </c:pt>
                <c:pt idx="97">
                  <c:v>11971492.379076807</c:v>
                </c:pt>
                <c:pt idx="98">
                  <c:v>11271177.223029854</c:v>
                </c:pt>
                <c:pt idx="99">
                  <c:v>10570862.066982884</c:v>
                </c:pt>
                <c:pt idx="100">
                  <c:v>9870546.9109359141</c:v>
                </c:pt>
              </c:numCache>
            </c:numRef>
          </c:xVal>
          <c:yVal>
            <c:numRef>
              <c:f>'G20 120L (AccuEkin;velo)'!$O$2:$O$102</c:f>
              <c:numCache>
                <c:formatCode>0</c:formatCode>
                <c:ptCount val="101"/>
                <c:pt idx="0">
                  <c:v>96.264190500619236</c:v>
                </c:pt>
                <c:pt idx="1">
                  <c:v>96.421166204052156</c:v>
                </c:pt>
                <c:pt idx="2">
                  <c:v>96.579795493073803</c:v>
                </c:pt>
                <c:pt idx="3">
                  <c:v>96.740110773278303</c:v>
                </c:pt>
                <c:pt idx="4">
                  <c:v>96.902145384333181</c:v>
                </c:pt>
                <c:pt idx="5">
                  <c:v>97.065933635680153</c:v>
                </c:pt>
                <c:pt idx="6">
                  <c:v>97.231510843941834</c:v>
                </c:pt>
                <c:pt idx="7">
                  <c:v>97.398913372133123</c:v>
                </c:pt>
                <c:pt idx="8">
                  <c:v>97.568178670780824</c:v>
                </c:pt>
                <c:pt idx="9">
                  <c:v>97.739345321065002</c:v>
                </c:pt>
                <c:pt idx="10">
                  <c:v>97.912453080101116</c:v>
                </c:pt>
                <c:pt idx="11">
                  <c:v>98.087542928489327</c:v>
                </c:pt>
                <c:pt idx="12">
                  <c:v>98.264657120271352</c:v>
                </c:pt>
                <c:pt idx="13">
                  <c:v>98.443839235437594</c:v>
                </c:pt>
                <c:pt idx="14">
                  <c:v>98.625134235143761</c:v>
                </c:pt>
                <c:pt idx="15">
                  <c:v>98.808588519805909</c:v>
                </c:pt>
                <c:pt idx="16">
                  <c:v>98.994249990252342</c:v>
                </c:pt>
                <c:pt idx="17">
                  <c:v>99.182168112128338</c:v>
                </c:pt>
                <c:pt idx="18">
                  <c:v>99.372393983762052</c:v>
                </c:pt>
                <c:pt idx="19">
                  <c:v>99.56498040771379</c:v>
                </c:pt>
                <c:pt idx="20">
                  <c:v>99.759981966252724</c:v>
                </c:pt>
                <c:pt idx="21">
                  <c:v>99.95745510101851</c:v>
                </c:pt>
                <c:pt idx="22">
                  <c:v>100.15745819714817</c:v>
                </c:pt>
                <c:pt idx="23">
                  <c:v>100.36005167217114</c:v>
                </c:pt>
                <c:pt idx="24">
                  <c:v>100.56529806999743</c:v>
                </c:pt>
                <c:pt idx="25">
                  <c:v>100.77326216035063</c:v>
                </c:pt>
                <c:pt idx="26">
                  <c:v>100.98401104402662</c:v>
                </c:pt>
                <c:pt idx="27">
                  <c:v>101.19761426439096</c:v>
                </c:pt>
                <c:pt idx="28">
                  <c:v>101.4141439255587</c:v>
                </c:pt>
                <c:pt idx="29">
                  <c:v>101.63367481774242</c:v>
                </c:pt>
                <c:pt idx="30">
                  <c:v>101.85628455029119</c:v>
                </c:pt>
                <c:pt idx="31">
                  <c:v>102.08205369299178</c:v>
                </c:pt>
                <c:pt idx="32">
                  <c:v>102.311065926251</c:v>
                </c:pt>
                <c:pt idx="33">
                  <c:v>102.5434082008326</c:v>
                </c:pt>
                <c:pt idx="34">
                  <c:v>102.77917090788326</c:v>
                </c:pt>
                <c:pt idx="35">
                  <c:v>103.01844806004952</c:v>
                </c:pt>
                <c:pt idx="36">
                  <c:v>103.26133748455645</c:v>
                </c:pt>
                <c:pt idx="37">
                  <c:v>103.5079410292069</c:v>
                </c:pt>
                <c:pt idx="38">
                  <c:v>103.75836478234153</c:v>
                </c:pt>
                <c:pt idx="39">
                  <c:v>104.0127193079071</c:v>
                </c:pt>
                <c:pt idx="40">
                  <c:v>104.2711198968862</c:v>
                </c:pt>
                <c:pt idx="41">
                  <c:v>104.53368683646352</c:v>
                </c:pt>
                <c:pt idx="42">
                  <c:v>104.80054569844414</c:v>
                </c:pt>
                <c:pt idx="43">
                  <c:v>105.07182764858999</c:v>
                </c:pt>
                <c:pt idx="44">
                  <c:v>105.34766977870623</c:v>
                </c:pt>
                <c:pt idx="45">
                  <c:v>105.62821546350568</c:v>
                </c:pt>
                <c:pt idx="46">
                  <c:v>105.91361474448807</c:v>
                </c:pt>
                <c:pt idx="47">
                  <c:v>106.20402474330726</c:v>
                </c:pt>
                <c:pt idx="48">
                  <c:v>106.49961010737343</c:v>
                </c:pt>
                <c:pt idx="49">
                  <c:v>106.80054349073116</c:v>
                </c:pt>
                <c:pt idx="50">
                  <c:v>107.10700607359682</c:v>
                </c:pt>
                <c:pt idx="51">
                  <c:v>107.41918812432289</c:v>
                </c:pt>
                <c:pt idx="52">
                  <c:v>107.73728960798566</c:v>
                </c:pt>
                <c:pt idx="53">
                  <c:v>108.06152084628874</c:v>
                </c:pt>
                <c:pt idx="54">
                  <c:v>108.39210323402561</c:v>
                </c:pt>
                <c:pt idx="55">
                  <c:v>108.72927001798351</c:v>
                </c:pt>
                <c:pt idx="56">
                  <c:v>109.07326714489116</c:v>
                </c:pt>
                <c:pt idx="57">
                  <c:v>109.42435418583638</c:v>
                </c:pt>
                <c:pt idx="58">
                  <c:v>109.78280534552702</c:v>
                </c:pt>
                <c:pt idx="59">
                  <c:v>110.14891056585114</c:v>
                </c:pt>
                <c:pt idx="60">
                  <c:v>110.52297673443907</c:v>
                </c:pt>
                <c:pt idx="61">
                  <c:v>110.90532901036931</c:v>
                </c:pt>
                <c:pt idx="62">
                  <c:v>111.29631228081895</c:v>
                </c:pt>
                <c:pt idx="63">
                  <c:v>111.69629276438988</c:v>
                </c:pt>
                <c:pt idx="64">
                  <c:v>112.10565977907409</c:v>
                </c:pt>
                <c:pt idx="65">
                  <c:v>112.5248276954358</c:v>
                </c:pt>
                <c:pt idx="66">
                  <c:v>112.95423809863458</c:v>
                </c:pt>
                <c:pt idx="67">
                  <c:v>113.39436218648447</c:v>
                </c:pt>
                <c:pt idx="68">
                  <c:v>113.84570343495409</c:v>
                </c:pt>
                <c:pt idx="69">
                  <c:v>114.30880056746557</c:v>
                </c:pt>
                <c:pt idx="70">
                  <c:v>114.7842308702288</c:v>
                </c:pt>
                <c:pt idx="71">
                  <c:v>115.27261390281861</c:v>
                </c:pt>
                <c:pt idx="72">
                  <c:v>115.77461566153107</c:v>
                </c:pt>
                <c:pt idx="73">
                  <c:v>116.29095326300991</c:v>
                </c:pt>
                <c:pt idx="74">
                  <c:v>116.82240022762217</c:v>
                </c:pt>
                <c:pt idx="75">
                  <c:v>117.36979245651055</c:v>
                </c:pt>
                <c:pt idx="76">
                  <c:v>117.93403501379761</c:v>
                </c:pt>
                <c:pt idx="77">
                  <c:v>118.51610984677133</c:v>
                </c:pt>
                <c:pt idx="78">
                  <c:v>119.11708460304415</c:v>
                </c:pt>
                <c:pt idx="79">
                  <c:v>119.73812273586839</c:v>
                </c:pt>
                <c:pt idx="80">
                  <c:v>120.38049512861706</c:v>
                </c:pt>
                <c:pt idx="81">
                  <c:v>121.04559351901085</c:v>
                </c:pt>
                <c:pt idx="82">
                  <c:v>121.73494606572682</c:v>
                </c:pt>
                <c:pt idx="83">
                  <c:v>122.45023547821104</c:v>
                </c:pt>
                <c:pt idx="84">
                  <c:v>123.1933202297049</c:v>
                </c:pt>
                <c:pt idx="85">
                  <c:v>123.96625950020874</c:v>
                </c:pt>
                <c:pt idx="86">
                  <c:v>124.77134265924558</c:v>
                </c:pt>
                <c:pt idx="87">
                  <c:v>125.61112431000036</c:v>
                </c:pt>
                <c:pt idx="88">
                  <c:v>126.48846619358207</c:v>
                </c:pt>
                <c:pt idx="89">
                  <c:v>127.4065876183336</c:v>
                </c:pt>
                <c:pt idx="90">
                  <c:v>128.36912656776246</c:v>
                </c:pt>
                <c:pt idx="91">
                  <c:v>129.38021429962484</c:v>
                </c:pt>
                <c:pt idx="92">
                  <c:v>130.44456714763646</c:v>
                </c:pt>
                <c:pt idx="93">
                  <c:v>131.56760047878993</c:v>
                </c:pt>
                <c:pt idx="94">
                  <c:v>132.75557149705458</c:v>
                </c:pt>
                <c:pt idx="95">
                  <c:v>134.01576005238809</c:v>
                </c:pt>
                <c:pt idx="96">
                  <c:v>135.35670017568293</c:v>
                </c:pt>
                <c:pt idx="97">
                  <c:v>136.78848029045295</c:v>
                </c:pt>
                <c:pt idx="98">
                  <c:v>138.32313788129102</c:v>
                </c:pt>
                <c:pt idx="99">
                  <c:v>139.975186370871</c:v>
                </c:pt>
                <c:pt idx="100">
                  <c:v>141.76233070196884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FA-4592-8416-7A1D9390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</c:scatterChart>
      <c:valAx>
        <c:axId val="5307173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Accumulated kinetic energy [Jmm</a:t>
                </a:r>
                <a:r>
                  <a:rPr lang="da-DK" baseline="30000"/>
                  <a:t>-2</a:t>
                </a:r>
                <a:r>
                  <a:rPr lang="da-DK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Impact velocity [ms</a:t>
                </a:r>
                <a:r>
                  <a:rPr lang="da-DK" baseline="30000"/>
                  <a:t>-1</a:t>
                </a:r>
                <a:r>
                  <a:rPr lang="da-DK"/>
                  <a:t>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aseline="0"/>
      </a:pPr>
      <a:endParaRPr lang="da-DK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Impingment to incubation failure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0092048333914538"/>
          <c:y val="8.6952476603297371E-2"/>
          <c:w val="0.61945800785194172"/>
          <c:h val="0.79475455827168562"/>
        </c:manualLayout>
      </c:layout>
      <c:scatterChart>
        <c:scatterStyle val="lineMarker"/>
        <c:varyColors val="0"/>
        <c:ser>
          <c:idx val="2"/>
          <c:order val="2"/>
          <c:tx>
            <c:v>G20 120L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'G20 120L (m;velo)'!$A$2:$A$32</c:f>
              <c:numCache>
                <c:formatCode>0.00E+00</c:formatCode>
                <c:ptCount val="31"/>
                <c:pt idx="0">
                  <c:v>1.4578648939290255</c:v>
                </c:pt>
                <c:pt idx="1">
                  <c:v>2.4297748232150425</c:v>
                </c:pt>
                <c:pt idx="2">
                  <c:v>2.915729787858051</c:v>
                </c:pt>
                <c:pt idx="3">
                  <c:v>0.97190992928601705</c:v>
                </c:pt>
                <c:pt idx="4">
                  <c:v>1.4578648939290255</c:v>
                </c:pt>
                <c:pt idx="5">
                  <c:v>1.9438198585720341</c:v>
                </c:pt>
                <c:pt idx="6">
                  <c:v>2.915729787858051</c:v>
                </c:pt>
                <c:pt idx="7">
                  <c:v>0.97190992928601705</c:v>
                </c:pt>
                <c:pt idx="8">
                  <c:v>1.4578648939290255</c:v>
                </c:pt>
                <c:pt idx="9">
                  <c:v>1.9438198585720341</c:v>
                </c:pt>
                <c:pt idx="10">
                  <c:v>2.915729787858051</c:v>
                </c:pt>
                <c:pt idx="11">
                  <c:v>3.6513833219278529</c:v>
                </c:pt>
                <c:pt idx="12">
                  <c:v>4.259947208915829</c:v>
                </c:pt>
                <c:pt idx="13">
                  <c:v>4.8685110959038047</c:v>
                </c:pt>
                <c:pt idx="14">
                  <c:v>5.4770749828917795</c:v>
                </c:pt>
                <c:pt idx="15">
                  <c:v>6.6942027568677309</c:v>
                </c:pt>
                <c:pt idx="16">
                  <c:v>7.3027666438557057</c:v>
                </c:pt>
                <c:pt idx="17">
                  <c:v>2.4342555479519024</c:v>
                </c:pt>
                <c:pt idx="18">
                  <c:v>3.0428194349398776</c:v>
                </c:pt>
                <c:pt idx="19">
                  <c:v>3.6513833219278529</c:v>
                </c:pt>
                <c:pt idx="20">
                  <c:v>4.259947208915829</c:v>
                </c:pt>
                <c:pt idx="21">
                  <c:v>5.4770749828917795</c:v>
                </c:pt>
                <c:pt idx="22">
                  <c:v>6.0856388698797552</c:v>
                </c:pt>
                <c:pt idx="23">
                  <c:v>6.6942027568677309</c:v>
                </c:pt>
                <c:pt idx="24">
                  <c:v>3.0428194349398776</c:v>
                </c:pt>
                <c:pt idx="25">
                  <c:v>3.6513833219278529</c:v>
                </c:pt>
                <c:pt idx="26">
                  <c:v>4.8685110959038047</c:v>
                </c:pt>
                <c:pt idx="27">
                  <c:v>5.4770749828917795</c:v>
                </c:pt>
                <c:pt idx="28">
                  <c:v>6.0856388698797552</c:v>
                </c:pt>
                <c:pt idx="29">
                  <c:v>15.641802717763225</c:v>
                </c:pt>
                <c:pt idx="30">
                  <c:v>13.034835598136022</c:v>
                </c:pt>
              </c:numCache>
              <c:extLst xmlns:c15="http://schemas.microsoft.com/office/drawing/2012/chart"/>
            </c:numRef>
          </c:xVal>
          <c:yVal>
            <c:numRef>
              <c:f>'G20 120L (m;velo)'!$B$2:$B$32</c:f>
              <c:numCache>
                <c:formatCode>#,##0.000</c:formatCode>
                <c:ptCount val="31"/>
                <c:pt idx="0">
                  <c:v>138.47528590532582</c:v>
                </c:pt>
                <c:pt idx="1">
                  <c:v>128.9393080514532</c:v>
                </c:pt>
                <c:pt idx="2">
                  <c:v>119.78359925310309</c:v>
                </c:pt>
                <c:pt idx="3">
                  <c:v>144.23390887684323</c:v>
                </c:pt>
                <c:pt idx="4">
                  <c:v>140.89783799974145</c:v>
                </c:pt>
                <c:pt idx="5">
                  <c:v>129.45570016687481</c:v>
                </c:pt>
                <c:pt idx="6">
                  <c:v>124.10042849573773</c:v>
                </c:pt>
                <c:pt idx="7">
                  <c:v>142.5189443282251</c:v>
                </c:pt>
                <c:pt idx="8">
                  <c:v>133.45670982827062</c:v>
                </c:pt>
                <c:pt idx="9">
                  <c:v>124.71603849452865</c:v>
                </c:pt>
                <c:pt idx="10">
                  <c:v>123.89751408438963</c:v>
                </c:pt>
                <c:pt idx="11">
                  <c:v>125.0881979570498</c:v>
                </c:pt>
                <c:pt idx="12">
                  <c:v>116.38083086759765</c:v>
                </c:pt>
                <c:pt idx="13">
                  <c:v>113.91740208566142</c:v>
                </c:pt>
                <c:pt idx="14">
                  <c:v>111.6490963684362</c:v>
                </c:pt>
                <c:pt idx="15">
                  <c:v>107.64907339062384</c:v>
                </c:pt>
                <c:pt idx="16">
                  <c:v>106.60028688260051</c:v>
                </c:pt>
                <c:pt idx="17">
                  <c:v>122.60037878831164</c:v>
                </c:pt>
                <c:pt idx="18">
                  <c:v>118.35645197110961</c:v>
                </c:pt>
                <c:pt idx="19">
                  <c:v>117.42961737884711</c:v>
                </c:pt>
                <c:pt idx="20">
                  <c:v>115.47838665829444</c:v>
                </c:pt>
                <c:pt idx="21">
                  <c:v>114.47838091401121</c:v>
                </c:pt>
                <c:pt idx="22">
                  <c:v>113.47837516972798</c:v>
                </c:pt>
                <c:pt idx="23">
                  <c:v>107.47834070402855</c:v>
                </c:pt>
                <c:pt idx="24">
                  <c:v>118.64312103662732</c:v>
                </c:pt>
                <c:pt idx="25">
                  <c:v>115.05547298976759</c:v>
                </c:pt>
                <c:pt idx="26">
                  <c:v>112.3464326278531</c:v>
                </c:pt>
                <c:pt idx="27">
                  <c:v>110.88208648627773</c:v>
                </c:pt>
                <c:pt idx="28">
                  <c:v>110.63802879601515</c:v>
                </c:pt>
                <c:pt idx="29">
                  <c:v>101.0765920893912</c:v>
                </c:pt>
                <c:pt idx="30">
                  <c:v>99.463772200994654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BC7-4F95-8300-D59C651E23EB}"/>
            </c:ext>
          </c:extLst>
        </c:ser>
        <c:ser>
          <c:idx val="3"/>
          <c:order val="3"/>
          <c:tx>
            <c:v>Fit G20 120L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wer"/>
            <c:forward val="600"/>
            <c:dispRSqr val="0"/>
            <c:dispEq val="0"/>
          </c:trendline>
          <c:xVal>
            <c:numRef>
              <c:f>'G20 120L (m;velo)'!$N$2:$N$102</c:f>
              <c:numCache>
                <c:formatCode>0.000</c:formatCode>
                <c:ptCount val="101"/>
                <c:pt idx="0">
                  <c:v>15.641802717763225</c:v>
                </c:pt>
                <c:pt idx="1">
                  <c:v>15.495103789878458</c:v>
                </c:pt>
                <c:pt idx="2">
                  <c:v>15.348404861993686</c:v>
                </c:pt>
                <c:pt idx="3">
                  <c:v>15.201705934108915</c:v>
                </c:pt>
                <c:pt idx="4">
                  <c:v>15.055007006224146</c:v>
                </c:pt>
                <c:pt idx="5">
                  <c:v>14.908308078339369</c:v>
                </c:pt>
                <c:pt idx="6">
                  <c:v>14.761609150454595</c:v>
                </c:pt>
                <c:pt idx="7">
                  <c:v>14.614910222569824</c:v>
                </c:pt>
                <c:pt idx="8">
                  <c:v>14.46821129468505</c:v>
                </c:pt>
                <c:pt idx="9">
                  <c:v>14.321512366800278</c:v>
                </c:pt>
                <c:pt idx="10">
                  <c:v>14.174813438915509</c:v>
                </c:pt>
                <c:pt idx="11">
                  <c:v>14.028114511030738</c:v>
                </c:pt>
                <c:pt idx="12">
                  <c:v>13.881415583145966</c:v>
                </c:pt>
                <c:pt idx="13">
                  <c:v>13.734716655261193</c:v>
                </c:pt>
                <c:pt idx="14">
                  <c:v>13.588017727376418</c:v>
                </c:pt>
                <c:pt idx="15">
                  <c:v>13.441318799491651</c:v>
                </c:pt>
                <c:pt idx="16">
                  <c:v>13.294619871606875</c:v>
                </c:pt>
                <c:pt idx="17">
                  <c:v>13.147920943722104</c:v>
                </c:pt>
                <c:pt idx="18">
                  <c:v>13.001222015837334</c:v>
                </c:pt>
                <c:pt idx="19">
                  <c:v>12.854523087952559</c:v>
                </c:pt>
                <c:pt idx="20">
                  <c:v>12.707824160067785</c:v>
                </c:pt>
                <c:pt idx="21">
                  <c:v>12.561125232183015</c:v>
                </c:pt>
                <c:pt idx="22">
                  <c:v>12.414426304298242</c:v>
                </c:pt>
                <c:pt idx="23">
                  <c:v>12.267727376413472</c:v>
                </c:pt>
                <c:pt idx="24">
                  <c:v>12.121028448528699</c:v>
                </c:pt>
                <c:pt idx="25">
                  <c:v>11.974329520643931</c:v>
                </c:pt>
                <c:pt idx="26">
                  <c:v>11.827630592759158</c:v>
                </c:pt>
                <c:pt idx="27">
                  <c:v>11.680931664874381</c:v>
                </c:pt>
                <c:pt idx="28">
                  <c:v>11.534232736989608</c:v>
                </c:pt>
                <c:pt idx="29">
                  <c:v>11.387533809104839</c:v>
                </c:pt>
                <c:pt idx="30">
                  <c:v>11.240834881220065</c:v>
                </c:pt>
                <c:pt idx="31">
                  <c:v>11.094135953335291</c:v>
                </c:pt>
                <c:pt idx="32">
                  <c:v>10.947437025450524</c:v>
                </c:pt>
                <c:pt idx="33">
                  <c:v>10.80073809756575</c:v>
                </c:pt>
                <c:pt idx="34">
                  <c:v>10.654039169680976</c:v>
                </c:pt>
                <c:pt idx="35">
                  <c:v>10.507340241796202</c:v>
                </c:pt>
                <c:pt idx="36">
                  <c:v>10.360641313911433</c:v>
                </c:pt>
                <c:pt idx="37">
                  <c:v>10.213942386026659</c:v>
                </c:pt>
                <c:pt idx="38">
                  <c:v>10.067243458141894</c:v>
                </c:pt>
                <c:pt idx="39">
                  <c:v>9.920544530257116</c:v>
                </c:pt>
                <c:pt idx="40">
                  <c:v>9.7738456023723419</c:v>
                </c:pt>
                <c:pt idx="41">
                  <c:v>9.6271466744875696</c:v>
                </c:pt>
                <c:pt idx="42">
                  <c:v>9.4804477466027972</c:v>
                </c:pt>
                <c:pt idx="43">
                  <c:v>9.3337488187180266</c:v>
                </c:pt>
                <c:pt idx="44">
                  <c:v>9.1870498908332543</c:v>
                </c:pt>
                <c:pt idx="45">
                  <c:v>9.0403509629484837</c:v>
                </c:pt>
                <c:pt idx="46">
                  <c:v>8.8936520350637132</c:v>
                </c:pt>
                <c:pt idx="47">
                  <c:v>8.746953107178939</c:v>
                </c:pt>
                <c:pt idx="48">
                  <c:v>8.6002541792941667</c:v>
                </c:pt>
                <c:pt idx="49">
                  <c:v>8.4535552514093943</c:v>
                </c:pt>
                <c:pt idx="50">
                  <c:v>8.3068563235246202</c:v>
                </c:pt>
                <c:pt idx="51">
                  <c:v>8.1601573956398514</c:v>
                </c:pt>
                <c:pt idx="52">
                  <c:v>8.0134584677550791</c:v>
                </c:pt>
                <c:pt idx="53">
                  <c:v>7.8667595398703076</c:v>
                </c:pt>
                <c:pt idx="54">
                  <c:v>7.7200606119855335</c:v>
                </c:pt>
                <c:pt idx="55">
                  <c:v>7.5733616841007638</c:v>
                </c:pt>
                <c:pt idx="56">
                  <c:v>7.4266627562159933</c:v>
                </c:pt>
                <c:pt idx="57">
                  <c:v>7.2799638283312182</c:v>
                </c:pt>
                <c:pt idx="58">
                  <c:v>7.1332649004464468</c:v>
                </c:pt>
                <c:pt idx="59">
                  <c:v>6.9865659725616736</c:v>
                </c:pt>
                <c:pt idx="60">
                  <c:v>6.8398670446769021</c:v>
                </c:pt>
                <c:pt idx="61">
                  <c:v>6.6931681167921298</c:v>
                </c:pt>
                <c:pt idx="62">
                  <c:v>6.5464691889073592</c:v>
                </c:pt>
                <c:pt idx="63">
                  <c:v>6.3997702610225859</c:v>
                </c:pt>
                <c:pt idx="64">
                  <c:v>6.2530713331378127</c:v>
                </c:pt>
                <c:pt idx="65">
                  <c:v>6.1063724052530413</c:v>
                </c:pt>
                <c:pt idx="66">
                  <c:v>5.9596734773682689</c:v>
                </c:pt>
                <c:pt idx="67">
                  <c:v>5.8129745494834957</c:v>
                </c:pt>
                <c:pt idx="68">
                  <c:v>5.6662756215987242</c:v>
                </c:pt>
                <c:pt idx="69">
                  <c:v>5.5195766937139519</c:v>
                </c:pt>
                <c:pt idx="70">
                  <c:v>5.3728777658291786</c:v>
                </c:pt>
                <c:pt idx="71">
                  <c:v>5.226178837944409</c:v>
                </c:pt>
                <c:pt idx="72">
                  <c:v>5.0794799100596366</c:v>
                </c:pt>
                <c:pt idx="73">
                  <c:v>4.9327809821748634</c:v>
                </c:pt>
                <c:pt idx="74">
                  <c:v>4.7860820542900919</c:v>
                </c:pt>
                <c:pt idx="75">
                  <c:v>4.6393831264053196</c:v>
                </c:pt>
                <c:pt idx="76">
                  <c:v>4.4926841985205481</c:v>
                </c:pt>
                <c:pt idx="77">
                  <c:v>4.3459852706357758</c:v>
                </c:pt>
                <c:pt idx="78">
                  <c:v>4.1992863427510034</c:v>
                </c:pt>
                <c:pt idx="79">
                  <c:v>4.0525874148662311</c:v>
                </c:pt>
                <c:pt idx="80">
                  <c:v>3.9058884869814592</c:v>
                </c:pt>
                <c:pt idx="81">
                  <c:v>3.7591895590966864</c:v>
                </c:pt>
                <c:pt idx="82">
                  <c:v>3.6124906312119145</c:v>
                </c:pt>
                <c:pt idx="83">
                  <c:v>3.4657917033271421</c:v>
                </c:pt>
                <c:pt idx="84">
                  <c:v>3.3190927754423698</c:v>
                </c:pt>
                <c:pt idx="85">
                  <c:v>3.172393847557597</c:v>
                </c:pt>
                <c:pt idx="86">
                  <c:v>3.0256949196728247</c:v>
                </c:pt>
                <c:pt idx="87">
                  <c:v>2.8789959917880528</c:v>
                </c:pt>
                <c:pt idx="88">
                  <c:v>2.7322970639032835</c:v>
                </c:pt>
                <c:pt idx="89">
                  <c:v>2.5855981360185112</c:v>
                </c:pt>
                <c:pt idx="90">
                  <c:v>2.4388992081337393</c:v>
                </c:pt>
                <c:pt idx="91">
                  <c:v>2.2922002802489665</c:v>
                </c:pt>
                <c:pt idx="92">
                  <c:v>2.1455013523641946</c:v>
                </c:pt>
                <c:pt idx="93">
                  <c:v>1.998802424479422</c:v>
                </c:pt>
                <c:pt idx="94">
                  <c:v>1.8521034965946497</c:v>
                </c:pt>
                <c:pt idx="95">
                  <c:v>1.7054045687098773</c:v>
                </c:pt>
                <c:pt idx="96">
                  <c:v>1.5587056408251048</c:v>
                </c:pt>
                <c:pt idx="97">
                  <c:v>1.4120067129403324</c:v>
                </c:pt>
                <c:pt idx="98">
                  <c:v>1.2653077850555601</c:v>
                </c:pt>
                <c:pt idx="99">
                  <c:v>1.1186088571707895</c:v>
                </c:pt>
                <c:pt idx="100">
                  <c:v>0.97190992928601894</c:v>
                </c:pt>
              </c:numCache>
              <c:extLst xmlns:c15="http://schemas.microsoft.com/office/drawing/2012/chart"/>
            </c:numRef>
          </c:xVal>
          <c:yVal>
            <c:numRef>
              <c:f>'G20 120L (m;velo)'!$O$2:$O$102</c:f>
              <c:numCache>
                <c:formatCode>0</c:formatCode>
                <c:ptCount val="101"/>
                <c:pt idx="0">
                  <c:v>97.087688831235326</c:v>
                </c:pt>
                <c:pt idx="1">
                  <c:v>97.21423216744229</c:v>
                </c:pt>
                <c:pt idx="2">
                  <c:v>97.342146558220378</c:v>
                </c:pt>
                <c:pt idx="3">
                  <c:v>97.47146017772873</c:v>
                </c:pt>
                <c:pt idx="4">
                  <c:v>97.60220205810073</c:v>
                </c:pt>
                <c:pt idx="5">
                  <c:v>97.73440212423526</c:v>
                </c:pt>
                <c:pt idx="6">
                  <c:v>97.868091230355788</c:v>
                </c:pt>
                <c:pt idx="7">
                  <c:v>98.003301198448838</c:v>
                </c:pt>
                <c:pt idx="8">
                  <c:v>98.140064858694444</c:v>
                </c:pt>
                <c:pt idx="9">
                  <c:v>98.278416092016982</c:v>
                </c:pt>
                <c:pt idx="10">
                  <c:v>98.418389874887467</c:v>
                </c:pt>
                <c:pt idx="11">
                  <c:v>98.560022326523466</c:v>
                </c:pt>
                <c:pt idx="12">
                  <c:v>98.703350758640013</c:v>
                </c:pt>
                <c:pt idx="13">
                  <c:v>98.848413727918668</c:v>
                </c:pt>
                <c:pt idx="14">
                  <c:v>98.995251091373646</c:v>
                </c:pt>
                <c:pt idx="15">
                  <c:v>99.143904064808879</c:v>
                </c:pt>
                <c:pt idx="16">
                  <c:v>99.294415284574015</c:v>
                </c:pt>
                <c:pt idx="17">
                  <c:v>99.446828872842971</c:v>
                </c:pt>
                <c:pt idx="18">
                  <c:v>99.601190506660629</c:v>
                </c:pt>
                <c:pt idx="19">
                  <c:v>99.757547491017917</c:v>
                </c:pt>
                <c:pt idx="20">
                  <c:v>99.915948836240204</c:v>
                </c:pt>
                <c:pt idx="21">
                  <c:v>100.07644533999644</c:v>
                </c:pt>
                <c:pt idx="22">
                  <c:v>100.23908967426364</c:v>
                </c:pt>
                <c:pt idx="23">
                  <c:v>100.40393647760692</c:v>
                </c:pt>
                <c:pt idx="24">
                  <c:v>100.57104245316872</c:v>
                </c:pt>
                <c:pt idx="25">
                  <c:v>100.74046647279499</c:v>
                </c:pt>
                <c:pt idx="26">
                  <c:v>100.91226968776171</c:v>
                </c:pt>
                <c:pt idx="27">
                  <c:v>101.0865156466093</c:v>
                </c:pt>
                <c:pt idx="28">
                  <c:v>101.26327042063589</c:v>
                </c:pt>
                <c:pt idx="29">
                  <c:v>101.442602737652</c:v>
                </c:pt>
                <c:pt idx="30">
                  <c:v>101.62458412465486</c:v>
                </c:pt>
                <c:pt idx="31">
                  <c:v>101.80928906014225</c:v>
                </c:pt>
                <c:pt idx="32">
                  <c:v>101.9967951368546</c:v>
                </c:pt>
                <c:pt idx="33">
                  <c:v>102.18718323580978</c:v>
                </c:pt>
                <c:pt idx="34">
                  <c:v>102.38053771257756</c:v>
                </c:pt>
                <c:pt idx="35">
                  <c:v>102.5769465968406</c:v>
                </c:pt>
                <c:pt idx="36">
                  <c:v>102.77650180638527</c:v>
                </c:pt>
                <c:pt idx="37">
                  <c:v>102.97929937679035</c:v>
                </c:pt>
                <c:pt idx="38">
                  <c:v>103.18543970820639</c:v>
                </c:pt>
                <c:pt idx="39">
                  <c:v>103.39502783076979</c:v>
                </c:pt>
                <c:pt idx="40">
                  <c:v>103.60817369035583</c:v>
                </c:pt>
                <c:pt idx="41">
                  <c:v>103.82499245656081</c:v>
                </c:pt>
                <c:pt idx="42">
                  <c:v>104.04560485501288</c:v>
                </c:pt>
                <c:pt idx="43">
                  <c:v>104.27013752634048</c:v>
                </c:pt>
                <c:pt idx="44">
                  <c:v>104.49872341439659</c:v>
                </c:pt>
                <c:pt idx="45">
                  <c:v>104.731502186629</c:v>
                </c:pt>
                <c:pt idx="46">
                  <c:v>104.96862068983408</c:v>
                </c:pt>
                <c:pt idx="47">
                  <c:v>105.21023344490602</c:v>
                </c:pt>
                <c:pt idx="48">
                  <c:v>105.45650318463832</c:v>
                </c:pt>
                <c:pt idx="49">
                  <c:v>105.70760143912933</c:v>
                </c:pt>
                <c:pt idx="50">
                  <c:v>105.96370917391309</c:v>
                </c:pt>
                <c:pt idx="51">
                  <c:v>106.22501748659084</c:v>
                </c:pt>
                <c:pt idx="52">
                  <c:v>106.49172836848744</c:v>
                </c:pt>
                <c:pt idx="53">
                  <c:v>106.76405553871398</c:v>
                </c:pt>
                <c:pt idx="54">
                  <c:v>107.04222535902014</c:v>
                </c:pt>
                <c:pt idx="55">
                  <c:v>107.32647783895982</c:v>
                </c:pt>
                <c:pt idx="56">
                  <c:v>107.61706774223308</c:v>
                </c:pt>
                <c:pt idx="57">
                  <c:v>107.91426580661188</c:v>
                </c:pt>
                <c:pt idx="58">
                  <c:v>108.21836009166573</c:v>
                </c:pt>
                <c:pt idx="59">
                  <c:v>108.52965747061434</c:v>
                </c:pt>
                <c:pt idx="60">
                  <c:v>108.84848528511223</c:v>
                </c:pt>
                <c:pt idx="61">
                  <c:v>109.1751931846849</c:v>
                </c:pt>
                <c:pt idx="62">
                  <c:v>109.5101551759799</c:v>
                </c:pt>
                <c:pt idx="63">
                  <c:v>109.85377191107006</c:v>
                </c:pt>
                <c:pt idx="64">
                  <c:v>110.2064732489021</c:v>
                </c:pt>
                <c:pt idx="65">
                  <c:v>110.56872112976444</c:v>
                </c:pt>
                <c:pt idx="66">
                  <c:v>110.94101280958728</c:v>
                </c:pt>
                <c:pt idx="67">
                  <c:v>111.32388450923423</c:v>
                </c:pt>
                <c:pt idx="68">
                  <c:v>111.7179155440249</c:v>
                </c:pt>
                <c:pt idx="69">
                  <c:v>112.12373301097533</c:v>
                </c:pt>
                <c:pt idx="70">
                  <c:v>112.54201712616999</c:v>
                </c:pt>
                <c:pt idx="71">
                  <c:v>112.97350732298592</c:v>
                </c:pt>
                <c:pt idx="72">
                  <c:v>113.41900924444532</c:v>
                </c:pt>
                <c:pt idx="73">
                  <c:v>113.87940279091434</c:v>
                </c:pt>
                <c:pt idx="74">
                  <c:v>114.35565141920709</c:v>
                </c:pt>
                <c:pt idx="75">
                  <c:v>114.84881293282233</c:v>
                </c:pt>
                <c:pt idx="76">
                  <c:v>115.36005205818402</c:v>
                </c:pt>
                <c:pt idx="77">
                  <c:v>115.89065517181785</c:v>
                </c:pt>
                <c:pt idx="78">
                  <c:v>116.44204763311224</c:v>
                </c:pt>
                <c:pt idx="79">
                  <c:v>117.01581429305966</c:v>
                </c:pt>
                <c:pt idx="80">
                  <c:v>117.61372389997007</c:v>
                </c:pt>
                <c:pt idx="81">
                  <c:v>118.23775832082042</c:v>
                </c:pt>
                <c:pt idx="82">
                  <c:v>118.89014775883521</c:v>
                </c:pt>
                <c:pt idx="83">
                  <c:v>119.57341349852298</c:v>
                </c:pt>
                <c:pt idx="84">
                  <c:v>120.29042018392775</c:v>
                </c:pt>
                <c:pt idx="85">
                  <c:v>121.04444028566404</c:v>
                </c:pt>
                <c:pt idx="86">
                  <c:v>121.83923431360157</c:v>
                </c:pt>
                <c:pt idx="87">
                  <c:v>122.67915159957485</c:v>
                </c:pt>
                <c:pt idx="88">
                  <c:v>123.56925828413632</c:v>
                </c:pt>
                <c:pt idx="89">
                  <c:v>124.51550176800914</c:v>
                </c:pt>
                <c:pt idx="90">
                  <c:v>125.5249247711447</c:v>
                </c:pt>
                <c:pt idx="91">
                  <c:v>126.60594799636512</c:v>
                </c:pt>
                <c:pt idx="92">
                  <c:v>127.7687494202832</c:v>
                </c:pt>
                <c:pt idx="93">
                  <c:v>129.02578249936866</c:v>
                </c:pt>
                <c:pt idx="94">
                  <c:v>130.39249876282358</c:v>
                </c:pt>
                <c:pt idx="95">
                  <c:v>131.88837915171533</c:v>
                </c:pt>
                <c:pt idx="96">
                  <c:v>133.53844609213243</c:v>
                </c:pt>
                <c:pt idx="97">
                  <c:v>135.37555091076521</c:v>
                </c:pt>
                <c:pt idx="98">
                  <c:v>137.44396464837254</c:v>
                </c:pt>
                <c:pt idx="99">
                  <c:v>139.80527126396703</c:v>
                </c:pt>
                <c:pt idx="100">
                  <c:v>142.54858113635109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C7-4F95-8300-D59C651E23EB}"/>
            </c:ext>
          </c:extLst>
        </c:ser>
        <c:ser>
          <c:idx val="11"/>
          <c:order val="11"/>
          <c:tx>
            <c:v>confidence interval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'G20 120L (impacts;velo)'!$N$2:$N$102</c:f>
              <c:numCache>
                <c:formatCode>0.000</c:formatCode>
                <c:ptCount val="101"/>
                <c:pt idx="0">
                  <c:v>6703.6297361842471</c:v>
                </c:pt>
                <c:pt idx="1">
                  <c:v>6640.7587670907851</c:v>
                </c:pt>
                <c:pt idx="2">
                  <c:v>6577.8877979973076</c:v>
                </c:pt>
                <c:pt idx="3">
                  <c:v>6515.0168289038256</c:v>
                </c:pt>
                <c:pt idx="4">
                  <c:v>6452.1458598103591</c:v>
                </c:pt>
                <c:pt idx="5">
                  <c:v>6389.2748907168852</c:v>
                </c:pt>
                <c:pt idx="6">
                  <c:v>6326.4039216234114</c:v>
                </c:pt>
                <c:pt idx="7">
                  <c:v>6263.5329525299348</c:v>
                </c:pt>
                <c:pt idx="8">
                  <c:v>6200.6619834364656</c:v>
                </c:pt>
                <c:pt idx="9">
                  <c:v>6137.791014342989</c:v>
                </c:pt>
                <c:pt idx="10">
                  <c:v>6074.9200452495088</c:v>
                </c:pt>
                <c:pt idx="11">
                  <c:v>6012.0490761560413</c:v>
                </c:pt>
                <c:pt idx="12">
                  <c:v>5949.1781070625611</c:v>
                </c:pt>
                <c:pt idx="13">
                  <c:v>5886.30713796909</c:v>
                </c:pt>
                <c:pt idx="14">
                  <c:v>5823.4361688756144</c:v>
                </c:pt>
                <c:pt idx="15">
                  <c:v>5760.5651997821406</c:v>
                </c:pt>
                <c:pt idx="16">
                  <c:v>5697.6942306886731</c:v>
                </c:pt>
                <c:pt idx="17">
                  <c:v>5634.8232615951974</c:v>
                </c:pt>
                <c:pt idx="18">
                  <c:v>5571.9522925017218</c:v>
                </c:pt>
                <c:pt idx="19">
                  <c:v>5509.0813234082516</c:v>
                </c:pt>
                <c:pt idx="20">
                  <c:v>5446.2103543147796</c:v>
                </c:pt>
                <c:pt idx="21">
                  <c:v>5383.3393852212994</c:v>
                </c:pt>
                <c:pt idx="22">
                  <c:v>5320.4684161278274</c:v>
                </c:pt>
                <c:pt idx="23">
                  <c:v>5257.5974470343563</c:v>
                </c:pt>
                <c:pt idx="24">
                  <c:v>5194.7264779408779</c:v>
                </c:pt>
                <c:pt idx="25">
                  <c:v>5131.8555088474031</c:v>
                </c:pt>
                <c:pt idx="26">
                  <c:v>5068.9845397539357</c:v>
                </c:pt>
                <c:pt idx="27">
                  <c:v>5006.1135706604573</c:v>
                </c:pt>
                <c:pt idx="28">
                  <c:v>4943.2426015669835</c:v>
                </c:pt>
                <c:pt idx="29">
                  <c:v>4880.3716324735042</c:v>
                </c:pt>
                <c:pt idx="30">
                  <c:v>4817.5006633800385</c:v>
                </c:pt>
                <c:pt idx="31">
                  <c:v>4754.6296942865674</c:v>
                </c:pt>
                <c:pt idx="32">
                  <c:v>4691.75872519309</c:v>
                </c:pt>
                <c:pt idx="33">
                  <c:v>4628.8877560996152</c:v>
                </c:pt>
                <c:pt idx="34">
                  <c:v>4566.0167870061423</c:v>
                </c:pt>
                <c:pt idx="35">
                  <c:v>4503.1458179126694</c:v>
                </c:pt>
                <c:pt idx="36">
                  <c:v>4440.2748488191964</c:v>
                </c:pt>
                <c:pt idx="37">
                  <c:v>4377.403879725719</c:v>
                </c:pt>
                <c:pt idx="38">
                  <c:v>4314.5329106322433</c:v>
                </c:pt>
                <c:pt idx="39">
                  <c:v>4251.6619415387731</c:v>
                </c:pt>
                <c:pt idx="40">
                  <c:v>4188.7909724452948</c:v>
                </c:pt>
                <c:pt idx="41">
                  <c:v>4125.9200033518209</c:v>
                </c:pt>
                <c:pt idx="42">
                  <c:v>4063.0490342583453</c:v>
                </c:pt>
                <c:pt idx="43">
                  <c:v>4000.1780651648774</c:v>
                </c:pt>
                <c:pt idx="44">
                  <c:v>3937.3070960714031</c:v>
                </c:pt>
                <c:pt idx="45">
                  <c:v>3874.4361269779279</c:v>
                </c:pt>
                <c:pt idx="46">
                  <c:v>3811.5651578844513</c:v>
                </c:pt>
                <c:pt idx="47">
                  <c:v>3748.6941887909838</c:v>
                </c:pt>
                <c:pt idx="48">
                  <c:v>3685.8232196975046</c:v>
                </c:pt>
                <c:pt idx="49">
                  <c:v>3622.9522506040294</c:v>
                </c:pt>
                <c:pt idx="50">
                  <c:v>3560.0812815105596</c:v>
                </c:pt>
                <c:pt idx="51">
                  <c:v>3497.2103124170853</c:v>
                </c:pt>
                <c:pt idx="52">
                  <c:v>3434.3393433236092</c:v>
                </c:pt>
                <c:pt idx="53">
                  <c:v>3371.4683742301345</c:v>
                </c:pt>
                <c:pt idx="54">
                  <c:v>3308.5974051366625</c:v>
                </c:pt>
                <c:pt idx="55">
                  <c:v>3245.72643604319</c:v>
                </c:pt>
                <c:pt idx="56">
                  <c:v>3182.8554669497153</c:v>
                </c:pt>
                <c:pt idx="57">
                  <c:v>3119.9844978562392</c:v>
                </c:pt>
                <c:pt idx="58">
                  <c:v>3057.1135287627662</c:v>
                </c:pt>
                <c:pt idx="59">
                  <c:v>2994.2425596692938</c:v>
                </c:pt>
                <c:pt idx="60">
                  <c:v>2931.3715905758195</c:v>
                </c:pt>
                <c:pt idx="61">
                  <c:v>2868.500621482347</c:v>
                </c:pt>
                <c:pt idx="62">
                  <c:v>2805.6296523888714</c:v>
                </c:pt>
                <c:pt idx="63">
                  <c:v>2742.7586832954003</c:v>
                </c:pt>
                <c:pt idx="64">
                  <c:v>2679.8877142019232</c:v>
                </c:pt>
                <c:pt idx="65">
                  <c:v>2617.0167451084494</c:v>
                </c:pt>
                <c:pt idx="66">
                  <c:v>2554.1457760149774</c:v>
                </c:pt>
                <c:pt idx="67">
                  <c:v>2491.2748069215022</c:v>
                </c:pt>
                <c:pt idx="68">
                  <c:v>2428.4038378280288</c:v>
                </c:pt>
                <c:pt idx="69">
                  <c:v>2365.5328687345559</c:v>
                </c:pt>
                <c:pt idx="70">
                  <c:v>2302.6618996410812</c:v>
                </c:pt>
                <c:pt idx="71">
                  <c:v>2239.7909305476073</c:v>
                </c:pt>
                <c:pt idx="72">
                  <c:v>2176.9199614541335</c:v>
                </c:pt>
                <c:pt idx="73">
                  <c:v>2114.0489923606597</c:v>
                </c:pt>
                <c:pt idx="74">
                  <c:v>2051.1780232671863</c:v>
                </c:pt>
                <c:pt idx="75">
                  <c:v>1988.3070541737127</c:v>
                </c:pt>
                <c:pt idx="76">
                  <c:v>1925.4360850802384</c:v>
                </c:pt>
                <c:pt idx="77">
                  <c:v>1862.5651159867634</c:v>
                </c:pt>
                <c:pt idx="78">
                  <c:v>1799.6941468932903</c:v>
                </c:pt>
                <c:pt idx="79">
                  <c:v>1736.8231777998162</c:v>
                </c:pt>
                <c:pt idx="80">
                  <c:v>1673.9522087063433</c:v>
                </c:pt>
                <c:pt idx="81">
                  <c:v>1611.0812396128676</c:v>
                </c:pt>
                <c:pt idx="82">
                  <c:v>1548.2102705193956</c:v>
                </c:pt>
                <c:pt idx="83">
                  <c:v>1485.3393014259209</c:v>
                </c:pt>
                <c:pt idx="84">
                  <c:v>1422.468332332448</c:v>
                </c:pt>
                <c:pt idx="85">
                  <c:v>1359.5973632389737</c:v>
                </c:pt>
                <c:pt idx="86">
                  <c:v>1296.7263941454983</c:v>
                </c:pt>
                <c:pt idx="87">
                  <c:v>1233.8554250520265</c:v>
                </c:pt>
                <c:pt idx="88">
                  <c:v>1170.9844559585513</c:v>
                </c:pt>
                <c:pt idx="89">
                  <c:v>1108.113486865077</c:v>
                </c:pt>
                <c:pt idx="90">
                  <c:v>1045.2425177716043</c:v>
                </c:pt>
                <c:pt idx="91">
                  <c:v>982.37154867812978</c:v>
                </c:pt>
                <c:pt idx="92">
                  <c:v>919.50057958465607</c:v>
                </c:pt>
                <c:pt idx="93">
                  <c:v>856.62961049118292</c:v>
                </c:pt>
                <c:pt idx="94">
                  <c:v>793.75864139770715</c:v>
                </c:pt>
                <c:pt idx="95">
                  <c:v>730.88767230423389</c:v>
                </c:pt>
                <c:pt idx="96">
                  <c:v>668.01670321076028</c:v>
                </c:pt>
                <c:pt idx="97">
                  <c:v>605.14573411728588</c:v>
                </c:pt>
                <c:pt idx="98">
                  <c:v>542.27476502381307</c:v>
                </c:pt>
                <c:pt idx="99">
                  <c:v>479.40379593033896</c:v>
                </c:pt>
                <c:pt idx="100">
                  <c:v>416.53282683686507</c:v>
                </c:pt>
              </c:numCache>
            </c:numRef>
          </c:xVal>
          <c:yVal>
            <c:numRef>
              <c:f>'G20 120L (impacts;velo)'!$P$2:$P$102</c:f>
              <c:numCache>
                <c:formatCode>0</c:formatCode>
                <c:ptCount val="101"/>
                <c:pt idx="0">
                  <c:v>94.576578826894362</c:v>
                </c:pt>
                <c:pt idx="1">
                  <c:v>94.713020394239635</c:v>
                </c:pt>
                <c:pt idx="2">
                  <c:v>94.850945120638087</c:v>
                </c:pt>
                <c:pt idx="3">
                  <c:v>94.990383274493169</c:v>
                </c:pt>
                <c:pt idx="4">
                  <c:v>95.131366033035221</c:v>
                </c:pt>
                <c:pt idx="5">
                  <c:v>95.273925518386619</c:v>
                </c:pt>
                <c:pt idx="6">
                  <c:v>95.418094835406819</c:v>
                </c:pt>
                <c:pt idx="7">
                  <c:v>95.563908111420787</c:v>
                </c:pt>
                <c:pt idx="8">
                  <c:v>95.711400537943277</c:v>
                </c:pt>
                <c:pt idx="9">
                  <c:v>95.860608414518225</c:v>
                </c:pt>
                <c:pt idx="10">
                  <c:v>96.011569194801922</c:v>
                </c:pt>
                <c:pt idx="11">
                  <c:v>96.164321535025493</c:v>
                </c:pt>
                <c:pt idx="12">
                  <c:v>96.318905344984884</c:v>
                </c:pt>
                <c:pt idx="13">
                  <c:v>96.475361841713877</c:v>
                </c:pt>
                <c:pt idx="14">
                  <c:v>96.633733606009002</c:v>
                </c:pt>
                <c:pt idx="15">
                  <c:v>96.794064641986921</c:v>
                </c:pt>
                <c:pt idx="16">
                  <c:v>96.956400439867053</c:v>
                </c:pt>
                <c:pt idx="17">
                  <c:v>97.120788042188835</c:v>
                </c:pt>
                <c:pt idx="18">
                  <c:v>97.287276113684726</c:v>
                </c:pt>
                <c:pt idx="19">
                  <c:v>97.455915015051048</c:v>
                </c:pt>
                <c:pt idx="20">
                  <c:v>97.626756880873216</c:v>
                </c:pt>
                <c:pt idx="21">
                  <c:v>97.799855701984612</c:v>
                </c:pt>
                <c:pt idx="22">
                  <c:v>97.975267412556136</c:v>
                </c:pt>
                <c:pt idx="23">
                  <c:v>98.153049982242109</c:v>
                </c:pt>
                <c:pt idx="24">
                  <c:v>98.33326351372547</c:v>
                </c:pt>
                <c:pt idx="25">
                  <c:v>98.515970346041442</c:v>
                </c:pt>
                <c:pt idx="26">
                  <c:v>98.70123516408222</c:v>
                </c:pt>
                <c:pt idx="27">
                  <c:v>98.889125114719121</c:v>
                </c:pt>
                <c:pt idx="28">
                  <c:v>99.079709930016691</c:v>
                </c:pt>
                <c:pt idx="29">
                  <c:v>99.27306205804588</c:v>
                </c:pt>
                <c:pt idx="30">
                  <c:v>99.469256801854186</c:v>
                </c:pt>
                <c:pt idx="31">
                  <c:v>99.668372467184213</c:v>
                </c:pt>
                <c:pt idx="32">
                  <c:v>99.87049051959535</c:v>
                </c:pt>
                <c:pt idx="33">
                  <c:v>100.07569575168534</c:v>
                </c:pt>
                <c:pt idx="34">
                  <c:v>100.28407646117599</c:v>
                </c:pt>
                <c:pt idx="35">
                  <c:v>100.49572464069011</c:v>
                </c:pt>
                <c:pt idx="36">
                  <c:v>100.71073618011208</c:v>
                </c:pt>
                <c:pt idx="37">
                  <c:v>100.929211082512</c:v>
                </c:pt>
                <c:pt idx="38">
                  <c:v>101.15125369468623</c:v>
                </c:pt>
                <c:pt idx="39">
                  <c:v>101.37697295346834</c:v>
                </c:pt>
                <c:pt idx="40">
                  <c:v>101.60648264905987</c:v>
                </c:pt>
                <c:pt idx="41">
                  <c:v>101.83990170674237</c:v>
                </c:pt>
                <c:pt idx="42">
                  <c:v>102.07735448845087</c:v>
                </c:pt>
                <c:pt idx="43">
                  <c:v>102.3189711158231</c:v>
                </c:pt>
                <c:pt idx="44">
                  <c:v>102.56488781647884</c:v>
                </c:pt>
                <c:pt idx="45">
                  <c:v>102.81524729544314</c:v>
                </c:pt>
                <c:pt idx="46">
                  <c:v>103.07019913379563</c:v>
                </c:pt>
                <c:pt idx="47">
                  <c:v>103.32990021681911</c:v>
                </c:pt>
                <c:pt idx="48">
                  <c:v>103.59451519412099</c:v>
                </c:pt>
                <c:pt idx="49">
                  <c:v>103.86421697442606</c:v>
                </c:pt>
                <c:pt idx="50">
                  <c:v>104.13918725798244</c:v>
                </c:pt>
                <c:pt idx="51">
                  <c:v>104.4196171097922</c:v>
                </c:pt>
                <c:pt idx="52">
                  <c:v>104.70570757716284</c:v>
                </c:pt>
                <c:pt idx="53">
                  <c:v>104.99767035540839</c:v>
                </c:pt>
                <c:pt idx="54">
                  <c:v>105.29572850587135</c:v>
                </c:pt>
                <c:pt idx="55">
                  <c:v>105.60011723083802</c:v>
                </c:pt>
                <c:pt idx="56">
                  <c:v>105.91108471035284</c:v>
                </c:pt>
                <c:pt idx="57">
                  <c:v>106.22889300643456</c:v>
                </c:pt>
                <c:pt idx="58">
                  <c:v>106.55381904076442</c:v>
                </c:pt>
                <c:pt idx="59">
                  <c:v>106.88615565257247</c:v>
                </c:pt>
                <c:pt idx="60">
                  <c:v>107.22621274424101</c:v>
                </c:pt>
                <c:pt idx="61">
                  <c:v>107.57431852309006</c:v>
                </c:pt>
                <c:pt idx="62">
                  <c:v>107.93082084901971</c:v>
                </c:pt>
                <c:pt idx="63">
                  <c:v>108.29608869920996</c:v>
                </c:pt>
                <c:pt idx="64">
                  <c:v>108.67051376311484</c:v>
                </c:pt>
                <c:pt idx="65">
                  <c:v>109.05451218370349</c:v>
                </c:pt>
                <c:pt idx="66">
                  <c:v>109.44852646465132</c:v>
                </c:pt>
                <c:pt idx="67">
                  <c:v>109.85302756837626</c:v>
                </c:pt>
                <c:pt idx="68">
                  <c:v>110.26851723711279</c:v>
                </c:pt>
                <c:pt idx="69">
                  <c:v>110.69553057951849</c:v>
                </c:pt>
                <c:pt idx="70">
                  <c:v>111.13463897985264</c:v>
                </c:pt>
                <c:pt idx="71">
                  <c:v>111.58645340729069</c:v>
                </c:pt>
                <c:pt idx="72">
                  <c:v>112.0516282317156</c:v>
                </c:pt>
                <c:pt idx="73">
                  <c:v>112.53086569233743</c:v>
                </c:pt>
                <c:pt idx="74">
                  <c:v>113.0249212204116</c:v>
                </c:pt>
                <c:pt idx="75">
                  <c:v>113.53460989148282</c:v>
                </c:pt>
                <c:pt idx="76">
                  <c:v>114.06081438057342</c:v>
                </c:pt>
                <c:pt idx="77">
                  <c:v>114.60449491974607</c:v>
                </c:pt>
                <c:pt idx="78">
                  <c:v>115.16670191403364</c:v>
                </c:pt>
                <c:pt idx="79">
                  <c:v>115.7485920579695</c:v>
                </c:pt>
                <c:pt idx="80">
                  <c:v>116.35144900478468</c:v>
                </c:pt>
                <c:pt idx="81">
                  <c:v>116.97670986131048</c:v>
                </c:pt>
                <c:pt idx="82">
                  <c:v>117.62599899659966</c:v>
                </c:pt>
                <c:pt idx="83">
                  <c:v>118.30117084613926</c:v>
                </c:pt>
                <c:pt idx="84">
                  <c:v>119.0043635676105</c:v>
                </c:pt>
                <c:pt idx="85">
                  <c:v>119.73806559824362</c:v>
                </c:pt>
                <c:pt idx="86">
                  <c:v>120.50519748168951</c:v>
                </c:pt>
                <c:pt idx="87">
                  <c:v>121.30921196132059</c:v>
                </c:pt>
                <c:pt idx="88">
                  <c:v>122.1542165524807</c:v>
                </c:pt>
                <c:pt idx="89">
                  <c:v>123.04512496299068</c:v>
                </c:pt>
                <c:pt idx="90">
                  <c:v>123.98784726277181</c:v>
                </c:pt>
                <c:pt idx="91">
                  <c:v>124.9895341789091</c:v>
                </c:pt>
                <c:pt idx="92">
                  <c:v>126.05889919281645</c:v>
                </c:pt>
                <c:pt idx="93">
                  <c:v>127.20665480701143</c:v>
                </c:pt>
                <c:pt idx="94">
                  <c:v>128.44611937546995</c:v>
                </c:pt>
                <c:pt idx="95">
                  <c:v>129.79408388564877</c:v>
                </c:pt>
                <c:pt idx="96">
                  <c:v>131.27208500853308</c:v>
                </c:pt>
                <c:pt idx="97">
                  <c:v>132.90833370049444</c:v>
                </c:pt>
                <c:pt idx="98">
                  <c:v>134.74074453552583</c:v>
                </c:pt>
                <c:pt idx="99">
                  <c:v>136.8219058515354</c:v>
                </c:pt>
                <c:pt idx="100">
                  <c:v>139.22768419302017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47-4CE2-8E74-1A671094C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G27 60L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'G27 60L (m;velo)'!$A$2:$A$44</c15:sqref>
                        </c15:formulaRef>
                      </c:ext>
                    </c:extLst>
                    <c:numCache>
                      <c:formatCode>0.00E+00</c:formatCode>
                      <c:ptCount val="43"/>
                      <c:pt idx="0">
                        <c:v>25.003021597856595</c:v>
                      </c:pt>
                      <c:pt idx="1">
                        <c:v>21.606186818762051</c:v>
                      </c:pt>
                      <c:pt idx="2">
                        <c:v>0.74584062256687</c:v>
                      </c:pt>
                      <c:pt idx="3">
                        <c:v>0.99445416342249338</c:v>
                      </c:pt>
                      <c:pt idx="4">
                        <c:v>1.2430677042781166</c:v>
                      </c:pt>
                      <c:pt idx="5">
                        <c:v>1.49168124513374</c:v>
                      </c:pt>
                      <c:pt idx="6">
                        <c:v>1.7402947859893634</c:v>
                      </c:pt>
                      <c:pt idx="7">
                        <c:v>1.9889083268449868</c:v>
                      </c:pt>
                      <c:pt idx="8">
                        <c:v>2.2375218677006097</c:v>
                      </c:pt>
                      <c:pt idx="9">
                        <c:v>2.4861354085562333</c:v>
                      </c:pt>
                      <c:pt idx="10">
                        <c:v>2.7347489494118569</c:v>
                      </c:pt>
                      <c:pt idx="11">
                        <c:v>0.99445416342249338</c:v>
                      </c:pt>
                      <c:pt idx="12">
                        <c:v>1.2430677042781166</c:v>
                      </c:pt>
                      <c:pt idx="13">
                        <c:v>1.49168124513374</c:v>
                      </c:pt>
                      <c:pt idx="14">
                        <c:v>1.7402947859893634</c:v>
                      </c:pt>
                      <c:pt idx="15">
                        <c:v>1.9889083268449868</c:v>
                      </c:pt>
                      <c:pt idx="16">
                        <c:v>2.2375218677006097</c:v>
                      </c:pt>
                      <c:pt idx="17">
                        <c:v>2.7347489494118569</c:v>
                      </c:pt>
                      <c:pt idx="18">
                        <c:v>2.98336249026748</c:v>
                      </c:pt>
                      <c:pt idx="19">
                        <c:v>1.2430677042781166</c:v>
                      </c:pt>
                      <c:pt idx="20">
                        <c:v>1.49168124513374</c:v>
                      </c:pt>
                      <c:pt idx="21">
                        <c:v>1.7402947859893634</c:v>
                      </c:pt>
                      <c:pt idx="22">
                        <c:v>1.9889083268449868</c:v>
                      </c:pt>
                      <c:pt idx="23">
                        <c:v>2.2375218677006097</c:v>
                      </c:pt>
                      <c:pt idx="24">
                        <c:v>2.4861354085562333</c:v>
                      </c:pt>
                      <c:pt idx="25">
                        <c:v>4.0474201093863513</c:v>
                      </c:pt>
                      <c:pt idx="26">
                        <c:v>4.6701001262150204</c:v>
                      </c:pt>
                      <c:pt idx="27">
                        <c:v>4.9814401346293558</c:v>
                      </c:pt>
                      <c:pt idx="28">
                        <c:v>7.1608201935296982</c:v>
                      </c:pt>
                      <c:pt idx="29">
                        <c:v>3.4247400925576819</c:v>
                      </c:pt>
                      <c:pt idx="30">
                        <c:v>3.7360801009720164</c:v>
                      </c:pt>
                      <c:pt idx="31">
                        <c:v>4.0474201093863513</c:v>
                      </c:pt>
                      <c:pt idx="32">
                        <c:v>4.3587601178006858</c:v>
                      </c:pt>
                      <c:pt idx="33">
                        <c:v>4.6701001262150204</c:v>
                      </c:pt>
                      <c:pt idx="34">
                        <c:v>6.2268001682866947</c:v>
                      </c:pt>
                      <c:pt idx="35">
                        <c:v>7.1608201935296982</c:v>
                      </c:pt>
                      <c:pt idx="36">
                        <c:v>3.1134000841433473</c:v>
                      </c:pt>
                      <c:pt idx="37">
                        <c:v>3.4247400925576819</c:v>
                      </c:pt>
                      <c:pt idx="38">
                        <c:v>3.7360801009720164</c:v>
                      </c:pt>
                      <c:pt idx="39">
                        <c:v>4.0474201093863513</c:v>
                      </c:pt>
                      <c:pt idx="40">
                        <c:v>4.3587601178006858</c:v>
                      </c:pt>
                      <c:pt idx="41">
                        <c:v>5.2927801430436903</c:v>
                      </c:pt>
                      <c:pt idx="42">
                        <c:v>7.1608201935296982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'G27 60L (m;velo)'!$B$2:$B$44</c15:sqref>
                        </c15:formulaRef>
                      </c:ext>
                    </c:extLst>
                    <c:numCache>
                      <c:formatCode>#,##0.000</c:formatCode>
                      <c:ptCount val="43"/>
                      <c:pt idx="0">
                        <c:v>99.747593372498528</c:v>
                      </c:pt>
                      <c:pt idx="1">
                        <c:v>95.996428134623116</c:v>
                      </c:pt>
                      <c:pt idx="2">
                        <c:v>147.17769522532859</c:v>
                      </c:pt>
                      <c:pt idx="3">
                        <c:v>145.28074012362984</c:v>
                      </c:pt>
                      <c:pt idx="4">
                        <c:v>136.67148235438162</c:v>
                      </c:pt>
                      <c:pt idx="5">
                        <c:v>135.65004499192844</c:v>
                      </c:pt>
                      <c:pt idx="6">
                        <c:v>134.0449291366449</c:v>
                      </c:pt>
                      <c:pt idx="7">
                        <c:v>131.914502637814</c:v>
                      </c:pt>
                      <c:pt idx="8">
                        <c:v>128.29569598226558</c:v>
                      </c:pt>
                      <c:pt idx="9">
                        <c:v>118.75255262448876</c:v>
                      </c:pt>
                      <c:pt idx="10">
                        <c:v>117.93540273452622</c:v>
                      </c:pt>
                      <c:pt idx="11">
                        <c:v>140.49363704278807</c:v>
                      </c:pt>
                      <c:pt idx="12">
                        <c:v>139.58684160747444</c:v>
                      </c:pt>
                      <c:pt idx="13">
                        <c:v>138.62154323923824</c:v>
                      </c:pt>
                      <c:pt idx="14">
                        <c:v>138.1242683093964</c:v>
                      </c:pt>
                      <c:pt idx="15">
                        <c:v>135.05286440592008</c:v>
                      </c:pt>
                      <c:pt idx="16">
                        <c:v>134.17532043706771</c:v>
                      </c:pt>
                      <c:pt idx="17">
                        <c:v>126.80395105123425</c:v>
                      </c:pt>
                      <c:pt idx="18">
                        <c:v>124.2298220526136</c:v>
                      </c:pt>
                      <c:pt idx="19">
                        <c:v>144.49728289345654</c:v>
                      </c:pt>
                      <c:pt idx="20">
                        <c:v>139.66875925554606</c:v>
                      </c:pt>
                      <c:pt idx="21">
                        <c:v>134.05011356779568</c:v>
                      </c:pt>
                      <c:pt idx="22">
                        <c:v>133.2599915179558</c:v>
                      </c:pt>
                      <c:pt idx="23">
                        <c:v>131.35784584241532</c:v>
                      </c:pt>
                      <c:pt idx="24">
                        <c:v>127.55355449133431</c:v>
                      </c:pt>
                      <c:pt idx="25">
                        <c:v>121.45685861059646</c:v>
                      </c:pt>
                      <c:pt idx="26">
                        <c:v>118.50686190062923</c:v>
                      </c:pt>
                      <c:pt idx="27">
                        <c:v>114.45975897621136</c:v>
                      </c:pt>
                      <c:pt idx="28">
                        <c:v>112.43620751400243</c:v>
                      </c:pt>
                      <c:pt idx="29">
                        <c:v>122.86867301238763</c:v>
                      </c:pt>
                      <c:pt idx="30">
                        <c:v>120.50280576371755</c:v>
                      </c:pt>
                      <c:pt idx="31">
                        <c:v>119.69792309148957</c:v>
                      </c:pt>
                      <c:pt idx="32">
                        <c:v>116.28326933052243</c:v>
                      </c:pt>
                      <c:pt idx="33">
                        <c:v>112.50275980945165</c:v>
                      </c:pt>
                      <c:pt idx="34">
                        <c:v>110.77104254496116</c:v>
                      </c:pt>
                      <c:pt idx="35">
                        <c:v>107.81980608012526</c:v>
                      </c:pt>
                      <c:pt idx="36">
                        <c:v>123.47843261256035</c:v>
                      </c:pt>
                      <c:pt idx="37">
                        <c:v>121.5759826600215</c:v>
                      </c:pt>
                      <c:pt idx="38">
                        <c:v>120.45402499570373</c:v>
                      </c:pt>
                      <c:pt idx="39">
                        <c:v>119.21011541135141</c:v>
                      </c:pt>
                      <c:pt idx="40">
                        <c:v>118.81986926724086</c:v>
                      </c:pt>
                      <c:pt idx="41">
                        <c:v>116.35644048254314</c:v>
                      </c:pt>
                      <c:pt idx="42">
                        <c:v>114.21008668993522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BC7-4F95-8300-D59C651E23E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Fit G27 60L</c:v>
                </c:tx>
                <c:spPr>
                  <a:ln w="254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60L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25.003021597856609</c:v>
                      </c:pt>
                      <c:pt idx="1">
                        <c:v>24.760449788103706</c:v>
                      </c:pt>
                      <c:pt idx="2">
                        <c:v>24.517877978350814</c:v>
                      </c:pt>
                      <c:pt idx="3">
                        <c:v>24.275306168597922</c:v>
                      </c:pt>
                      <c:pt idx="4">
                        <c:v>24.032734358845012</c:v>
                      </c:pt>
                      <c:pt idx="5">
                        <c:v>23.790162549092116</c:v>
                      </c:pt>
                      <c:pt idx="6">
                        <c:v>23.547590739339228</c:v>
                      </c:pt>
                      <c:pt idx="7">
                        <c:v>23.305018929586325</c:v>
                      </c:pt>
                      <c:pt idx="8">
                        <c:v>23.062447119833426</c:v>
                      </c:pt>
                      <c:pt idx="9">
                        <c:v>22.819875310080533</c:v>
                      </c:pt>
                      <c:pt idx="10">
                        <c:v>22.577303500327631</c:v>
                      </c:pt>
                      <c:pt idx="11">
                        <c:v>22.334731690574724</c:v>
                      </c:pt>
                      <c:pt idx="12">
                        <c:v>22.092159880821836</c:v>
                      </c:pt>
                      <c:pt idx="13">
                        <c:v>21.84958807106894</c:v>
                      </c:pt>
                      <c:pt idx="14">
                        <c:v>21.607016261316048</c:v>
                      </c:pt>
                      <c:pt idx="15">
                        <c:v>21.364444451563145</c:v>
                      </c:pt>
                      <c:pt idx="16">
                        <c:v>21.121872641810242</c:v>
                      </c:pt>
                      <c:pt idx="17">
                        <c:v>20.879300832057357</c:v>
                      </c:pt>
                      <c:pt idx="18">
                        <c:v>20.636729022304451</c:v>
                      </c:pt>
                      <c:pt idx="19">
                        <c:v>20.394157212551548</c:v>
                      </c:pt>
                      <c:pt idx="20">
                        <c:v>20.151585402798656</c:v>
                      </c:pt>
                      <c:pt idx="21">
                        <c:v>19.909013593045771</c:v>
                      </c:pt>
                      <c:pt idx="22">
                        <c:v>19.666441783292864</c:v>
                      </c:pt>
                      <c:pt idx="23">
                        <c:v>19.423869973539972</c:v>
                      </c:pt>
                      <c:pt idx="24">
                        <c:v>19.181298163787069</c:v>
                      </c:pt>
                      <c:pt idx="25">
                        <c:v>18.938726354034173</c:v>
                      </c:pt>
                      <c:pt idx="26">
                        <c:v>18.696154544281281</c:v>
                      </c:pt>
                      <c:pt idx="27">
                        <c:v>18.453582734528371</c:v>
                      </c:pt>
                      <c:pt idx="28">
                        <c:v>18.211010924775479</c:v>
                      </c:pt>
                      <c:pt idx="29">
                        <c:v>17.96843911502258</c:v>
                      </c:pt>
                      <c:pt idx="30">
                        <c:v>17.725867305269684</c:v>
                      </c:pt>
                      <c:pt idx="31">
                        <c:v>17.483295495516792</c:v>
                      </c:pt>
                      <c:pt idx="32">
                        <c:v>17.240723685763886</c:v>
                      </c:pt>
                      <c:pt idx="33">
                        <c:v>16.99815187601099</c:v>
                      </c:pt>
                      <c:pt idx="34">
                        <c:v>16.755580066258091</c:v>
                      </c:pt>
                      <c:pt idx="35">
                        <c:v>16.513008256505202</c:v>
                      </c:pt>
                      <c:pt idx="36">
                        <c:v>16.270436446752299</c:v>
                      </c:pt>
                      <c:pt idx="37">
                        <c:v>16.027864636999404</c:v>
                      </c:pt>
                      <c:pt idx="38">
                        <c:v>15.785292827246508</c:v>
                      </c:pt>
                      <c:pt idx="39">
                        <c:v>15.542721017493612</c:v>
                      </c:pt>
                      <c:pt idx="40">
                        <c:v>15.300149207740711</c:v>
                      </c:pt>
                      <c:pt idx="41">
                        <c:v>15.057577397987812</c:v>
                      </c:pt>
                      <c:pt idx="42">
                        <c:v>14.815005588234916</c:v>
                      </c:pt>
                      <c:pt idx="43">
                        <c:v>14.572433778482015</c:v>
                      </c:pt>
                      <c:pt idx="44">
                        <c:v>14.329861968729118</c:v>
                      </c:pt>
                      <c:pt idx="45">
                        <c:v>14.08729015897622</c:v>
                      </c:pt>
                      <c:pt idx="46">
                        <c:v>13.84471834922333</c:v>
                      </c:pt>
                      <c:pt idx="47">
                        <c:v>13.60214653947043</c:v>
                      </c:pt>
                      <c:pt idx="48">
                        <c:v>13.359574729717535</c:v>
                      </c:pt>
                      <c:pt idx="49">
                        <c:v>13.117002919964634</c:v>
                      </c:pt>
                      <c:pt idx="50">
                        <c:v>12.874431110211738</c:v>
                      </c:pt>
                      <c:pt idx="51">
                        <c:v>12.631859300458837</c:v>
                      </c:pt>
                      <c:pt idx="52">
                        <c:v>12.389287490705943</c:v>
                      </c:pt>
                      <c:pt idx="53">
                        <c:v>12.146715680953044</c:v>
                      </c:pt>
                      <c:pt idx="54">
                        <c:v>11.904143871200146</c:v>
                      </c:pt>
                      <c:pt idx="55">
                        <c:v>11.66157206144725</c:v>
                      </c:pt>
                      <c:pt idx="56">
                        <c:v>11.419000251694353</c:v>
                      </c:pt>
                      <c:pt idx="57">
                        <c:v>11.176428441941455</c:v>
                      </c:pt>
                      <c:pt idx="58">
                        <c:v>10.933856632188556</c:v>
                      </c:pt>
                      <c:pt idx="59">
                        <c:v>10.691284822435664</c:v>
                      </c:pt>
                      <c:pt idx="60">
                        <c:v>10.448713012682765</c:v>
                      </c:pt>
                      <c:pt idx="61">
                        <c:v>10.206141202929865</c:v>
                      </c:pt>
                      <c:pt idx="62">
                        <c:v>9.9635693931769715</c:v>
                      </c:pt>
                      <c:pt idx="63">
                        <c:v>9.7209975834240723</c:v>
                      </c:pt>
                      <c:pt idx="64">
                        <c:v>9.4784257736711748</c:v>
                      </c:pt>
                      <c:pt idx="65">
                        <c:v>9.2358539639182773</c:v>
                      </c:pt>
                      <c:pt idx="66">
                        <c:v>8.9932821541653816</c:v>
                      </c:pt>
                      <c:pt idx="67">
                        <c:v>8.7507103444124787</c:v>
                      </c:pt>
                      <c:pt idx="68">
                        <c:v>8.5081385346595848</c:v>
                      </c:pt>
                      <c:pt idx="69">
                        <c:v>8.2655667249066873</c:v>
                      </c:pt>
                      <c:pt idx="70">
                        <c:v>8.0229949151537916</c:v>
                      </c:pt>
                      <c:pt idx="71">
                        <c:v>7.7804231054008923</c:v>
                      </c:pt>
                      <c:pt idx="72">
                        <c:v>7.5378512956479975</c:v>
                      </c:pt>
                      <c:pt idx="73">
                        <c:v>7.2952794858950973</c:v>
                      </c:pt>
                      <c:pt idx="74">
                        <c:v>7.0527076761422034</c:v>
                      </c:pt>
                      <c:pt idx="75">
                        <c:v>6.810135866389305</c:v>
                      </c:pt>
                      <c:pt idx="76">
                        <c:v>6.5675640566364049</c:v>
                      </c:pt>
                      <c:pt idx="77">
                        <c:v>6.3249922468835091</c:v>
                      </c:pt>
                      <c:pt idx="78">
                        <c:v>6.0824204371306134</c:v>
                      </c:pt>
                      <c:pt idx="79">
                        <c:v>5.8398486273777133</c:v>
                      </c:pt>
                      <c:pt idx="80">
                        <c:v>5.5972768176248175</c:v>
                      </c:pt>
                      <c:pt idx="81">
                        <c:v>5.3547050078719218</c:v>
                      </c:pt>
                      <c:pt idx="82">
                        <c:v>5.1121331981190226</c:v>
                      </c:pt>
                      <c:pt idx="83">
                        <c:v>4.8695613883661224</c:v>
                      </c:pt>
                      <c:pt idx="84">
                        <c:v>4.6269895786132267</c:v>
                      </c:pt>
                      <c:pt idx="85">
                        <c:v>4.3844177688603283</c:v>
                      </c:pt>
                      <c:pt idx="86">
                        <c:v>4.1418459591074361</c:v>
                      </c:pt>
                      <c:pt idx="87">
                        <c:v>3.8992741493545364</c:v>
                      </c:pt>
                      <c:pt idx="88">
                        <c:v>3.6567023396016372</c:v>
                      </c:pt>
                      <c:pt idx="89">
                        <c:v>3.4141305298487414</c:v>
                      </c:pt>
                      <c:pt idx="90">
                        <c:v>3.1715587200958417</c:v>
                      </c:pt>
                      <c:pt idx="91">
                        <c:v>2.928986910342946</c:v>
                      </c:pt>
                      <c:pt idx="92">
                        <c:v>2.6864151005900503</c:v>
                      </c:pt>
                      <c:pt idx="93">
                        <c:v>2.443843290837151</c:v>
                      </c:pt>
                      <c:pt idx="94">
                        <c:v>2.2012714810842517</c:v>
                      </c:pt>
                      <c:pt idx="95">
                        <c:v>1.9586996713313598</c:v>
                      </c:pt>
                      <c:pt idx="96">
                        <c:v>1.7161278615784605</c:v>
                      </c:pt>
                      <c:pt idx="97">
                        <c:v>1.473556051825561</c:v>
                      </c:pt>
                      <c:pt idx="98">
                        <c:v>1.2309842420726653</c:v>
                      </c:pt>
                      <c:pt idx="99">
                        <c:v>0.98841243231976605</c:v>
                      </c:pt>
                      <c:pt idx="100">
                        <c:v>0.74584062256687034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60L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94.749439849174451</c:v>
                      </c:pt>
                      <c:pt idx="1">
                        <c:v>94.868325258857965</c:v>
                      </c:pt>
                      <c:pt idx="2">
                        <c:v>94.98853249094654</c:v>
                      </c:pt>
                      <c:pt idx="3">
                        <c:v>95.110089539787666</c:v>
                      </c:pt>
                      <c:pt idx="4">
                        <c:v>95.233025279901796</c:v>
                      </c:pt>
                      <c:pt idx="5">
                        <c:v>95.357369502872061</c:v>
                      </c:pt>
                      <c:pt idx="6">
                        <c:v>95.483152956174237</c:v>
                      </c:pt>
                      <c:pt idx="7">
                        <c:v>95.610407384071024</c:v>
                      </c:pt>
                      <c:pt idx="8">
                        <c:v>95.739165570701374</c:v>
                      </c:pt>
                      <c:pt idx="9">
                        <c:v>95.86946138550887</c:v>
                      </c:pt>
                      <c:pt idx="10">
                        <c:v>96.001329831161271</c:v>
                      </c:pt>
                      <c:pt idx="11">
                        <c:v>96.134807094127538</c:v>
                      </c:pt>
                      <c:pt idx="12">
                        <c:v>96.269930598088266</c:v>
                      </c:pt>
                      <c:pt idx="13">
                        <c:v>96.406739060374193</c:v>
                      </c:pt>
                      <c:pt idx="14">
                        <c:v>96.545272551637325</c:v>
                      </c:pt>
                      <c:pt idx="15">
                        <c:v>96.685572558980837</c:v>
                      </c:pt>
                      <c:pt idx="16">
                        <c:v>96.82768205278812</c:v>
                      </c:pt>
                      <c:pt idx="17">
                        <c:v>96.971645557514577</c:v>
                      </c:pt>
                      <c:pt idx="18">
                        <c:v>97.117509226724707</c:v>
                      </c:pt>
                      <c:pt idx="19">
                        <c:v>97.265320922684509</c:v>
                      </c:pt>
                      <c:pt idx="20">
                        <c:v>97.415130300840687</c:v>
                      </c:pt>
                      <c:pt idx="21">
                        <c:v>97.566988899552229</c:v>
                      </c:pt>
                      <c:pt idx="22">
                        <c:v>97.720950235467654</c:v>
                      </c:pt>
                      <c:pt idx="23">
                        <c:v>97.877069904978867</c:v>
                      </c:pt>
                      <c:pt idx="24">
                        <c:v>98.035405692219172</c:v>
                      </c:pt>
                      <c:pt idx="25">
                        <c:v>98.196017684116299</c:v>
                      </c:pt>
                      <c:pt idx="26">
                        <c:v>98.358968393059484</c:v>
                      </c:pt>
                      <c:pt idx="27">
                        <c:v>98.524322887789182</c:v>
                      </c:pt>
                      <c:pt idx="28">
                        <c:v>98.692148933177535</c:v>
                      </c:pt>
                      <c:pt idx="29">
                        <c:v>98.862517139630498</c:v>
                      </c:pt>
                      <c:pt idx="30">
                        <c:v>99.035501122915207</c:v>
                      </c:pt>
                      <c:pt idx="31">
                        <c:v>99.211177675291168</c:v>
                      </c:pt>
                      <c:pt idx="32">
                        <c:v>99.389626948917325</c:v>
                      </c:pt>
                      <c:pt idx="33">
                        <c:v>99.570932652599581</c:v>
                      </c:pt>
                      <c:pt idx="34">
                        <c:v>99.755182263056156</c:v>
                      </c:pt>
                      <c:pt idx="35">
                        <c:v>99.942467251999929</c:v>
                      </c:pt>
                      <c:pt idx="36">
                        <c:v>100.13288333047291</c:v>
                      </c:pt>
                      <c:pt idx="37">
                        <c:v>100.32653071202364</c:v>
                      </c:pt>
                      <c:pt idx="38">
                        <c:v>100.52351439648916</c:v>
                      </c:pt>
                      <c:pt idx="39">
                        <c:v>100.7239444763417</c:v>
                      </c:pt>
                      <c:pt idx="40">
                        <c:v>100.92793646777429</c:v>
                      </c:pt>
                      <c:pt idx="41">
                        <c:v>101.13561166895522</c:v>
                      </c:pt>
                      <c:pt idx="42">
                        <c:v>101.34709754815424</c:v>
                      </c:pt>
                      <c:pt idx="43">
                        <c:v>101.56252816477043</c:v>
                      </c:pt>
                      <c:pt idx="44">
                        <c:v>101.78204462664785</c:v>
                      </c:pt>
                      <c:pt idx="45">
                        <c:v>102.00579558748117</c:v>
                      </c:pt>
                      <c:pt idx="46">
                        <c:v>102.23393778858498</c:v>
                      </c:pt>
                      <c:pt idx="47">
                        <c:v>102.46663664983787</c:v>
                      </c:pt>
                      <c:pt idx="48">
                        <c:v>102.70406691523128</c:v>
                      </c:pt>
                      <c:pt idx="49">
                        <c:v>102.94641335916366</c:v>
                      </c:pt>
                      <c:pt idx="50">
                        <c:v>103.19387156043898</c:v>
                      </c:pt>
                      <c:pt idx="51">
                        <c:v>103.44664875187148</c:v>
                      </c:pt>
                      <c:pt idx="52">
                        <c:v>103.70496475449492</c:v>
                      </c:pt>
                      <c:pt idx="53">
                        <c:v>103.96905300664378</c:v>
                      </c:pt>
                      <c:pt idx="54">
                        <c:v>104.2391616996518</c:v>
                      </c:pt>
                      <c:pt idx="55">
                        <c:v>104.5155550336399</c:v>
                      </c:pt>
                      <c:pt idx="56">
                        <c:v>104.79851460889004</c:v>
                      </c:pt>
                      <c:pt idx="57">
                        <c:v>105.08834097067175</c:v>
                      </c:pt>
                      <c:pt idx="58">
                        <c:v>105.38535532819334</c:v>
                      </c:pt>
                      <c:pt idx="59">
                        <c:v>105.68990147165793</c:v>
                      </c:pt>
                      <c:pt idx="60">
                        <c:v>106.00234791533461</c:v>
                      </c:pt>
                      <c:pt idx="61">
                        <c:v>106.32309029923977</c:v>
                      </c:pt>
                      <c:pt idx="62">
                        <c:v>106.65255408761725</c:v>
                      </c:pt>
                      <c:pt idx="63">
                        <c:v>106.9911976091345</c:v>
                      </c:pt>
                      <c:pt idx="64">
                        <c:v>107.33951549181586</c:v>
                      </c:pt>
                      <c:pt idx="65">
                        <c:v>107.69804255555077</c:v>
                      </c:pt>
                      <c:pt idx="66">
                        <c:v>108.06735823696468</c:v>
                      </c:pt>
                      <c:pt idx="67">
                        <c:v>108.4480916360469</c:v>
                      </c:pt>
                      <c:pt idx="68">
                        <c:v>108.84092729188131</c:v>
                      </c:pt>
                      <c:pt idx="69">
                        <c:v>109.2466118170147</c:v>
                      </c:pt>
                      <c:pt idx="70">
                        <c:v>109.66596154755895</c:v>
                      </c:pt>
                      <c:pt idx="71">
                        <c:v>110.09987140059499</c:v>
                      </c:pt>
                      <c:pt idx="72">
                        <c:v>110.54932517380317</c:v>
                      </c:pt>
                      <c:pt idx="73">
                        <c:v>111.01540757716798</c:v>
                      </c:pt>
                      <c:pt idx="74">
                        <c:v>111.49931835666007</c:v>
                      </c:pt>
                      <c:pt idx="75">
                        <c:v>112.00238895985383</c:v>
                      </c:pt>
                      <c:pt idx="76">
                        <c:v>112.52610231010308</c:v>
                      </c:pt>
                      <c:pt idx="77">
                        <c:v>113.07211640838682</c:v>
                      </c:pt>
                      <c:pt idx="78">
                        <c:v>113.64229268303804</c:v>
                      </c:pt>
                      <c:pt idx="79">
                        <c:v>114.23873027543932</c:v>
                      </c:pt>
                      <c:pt idx="80">
                        <c:v>114.86380781034379</c:v>
                      </c:pt>
                      <c:pt idx="81">
                        <c:v>115.52023469041049</c:v>
                      </c:pt>
                      <c:pt idx="82">
                        <c:v>116.21111463121174</c:v>
                      </c:pt>
                      <c:pt idx="83">
                        <c:v>116.94002509817855</c:v>
                      </c:pt>
                      <c:pt idx="84">
                        <c:v>117.7111176465304</c:v>
                      </c:pt>
                      <c:pt idx="85">
                        <c:v>118.52924609401978</c:v>
                      </c:pt>
                      <c:pt idx="86">
                        <c:v>119.4001322820795</c:v>
                      </c:pt>
                      <c:pt idx="87">
                        <c:v>120.33058340068528</c:v>
                      </c:pt>
                      <c:pt idx="88">
                        <c:v>121.32878128833823</c:v>
                      </c:pt>
                      <c:pt idx="89">
                        <c:v>122.40467416915922</c:v>
                      </c:pt>
                      <c:pt idx="90">
                        <c:v>123.57051740392396</c:v>
                      </c:pt>
                      <c:pt idx="91">
                        <c:v>124.84163645160963</c:v>
                      </c:pt>
                      <c:pt idx="92">
                        <c:v>126.23753072806871</c:v>
                      </c:pt>
                      <c:pt idx="93">
                        <c:v>127.7835178771884</c:v>
                      </c:pt>
                      <c:pt idx="94">
                        <c:v>129.5132682520167</c:v>
                      </c:pt>
                      <c:pt idx="95">
                        <c:v>131.47287415548462</c:v>
                      </c:pt>
                      <c:pt idx="96">
                        <c:v>133.7277147234779</c:v>
                      </c:pt>
                      <c:pt idx="97">
                        <c:v>136.37477110572928</c:v>
                      </c:pt>
                      <c:pt idx="98">
                        <c:v>139.56652443437952</c:v>
                      </c:pt>
                      <c:pt idx="99">
                        <c:v>143.56243422306031</c:v>
                      </c:pt>
                      <c:pt idx="100">
                        <c:v>148.85736298171247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BC7-4F95-8300-D59C651E23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G27 105L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(m;velo)'!$A$2:$A$52</c15:sqref>
                        </c15:formulaRef>
                      </c:ext>
                    </c:extLst>
                    <c:numCache>
                      <c:formatCode>0.00E+00</c:formatCode>
                      <c:ptCount val="51"/>
                      <c:pt idx="0">
                        <c:v>30.854470482189271</c:v>
                      </c:pt>
                      <c:pt idx="1">
                        <c:v>33.939917530408195</c:v>
                      </c:pt>
                      <c:pt idx="2">
                        <c:v>33.939917530408195</c:v>
                      </c:pt>
                      <c:pt idx="3">
                        <c:v>38.568088102736588</c:v>
                      </c:pt>
                      <c:pt idx="4">
                        <c:v>40.110811626846051</c:v>
                      </c:pt>
                      <c:pt idx="5">
                        <c:v>27.769023433970343</c:v>
                      </c:pt>
                      <c:pt idx="6">
                        <c:v>29.311746958079805</c:v>
                      </c:pt>
                      <c:pt idx="7">
                        <c:v>38.568088102736588</c:v>
                      </c:pt>
                      <c:pt idx="8">
                        <c:v>3.8413815750325635</c:v>
                      </c:pt>
                      <c:pt idx="9">
                        <c:v>4.8017269687907049</c:v>
                      </c:pt>
                      <c:pt idx="10">
                        <c:v>6.722417756306986</c:v>
                      </c:pt>
                      <c:pt idx="11">
                        <c:v>9.6034539375814099</c:v>
                      </c:pt>
                      <c:pt idx="12">
                        <c:v>10.563799331339549</c:v>
                      </c:pt>
                      <c:pt idx="13">
                        <c:v>15.365526300130254</c:v>
                      </c:pt>
                      <c:pt idx="14">
                        <c:v>17.286217087646538</c:v>
                      </c:pt>
                      <c:pt idx="15">
                        <c:v>18.246562481404677</c:v>
                      </c:pt>
                      <c:pt idx="16">
                        <c:v>19.20690787516282</c:v>
                      </c:pt>
                      <c:pt idx="17">
                        <c:v>2.8810361812744225</c:v>
                      </c:pt>
                      <c:pt idx="18">
                        <c:v>3.8413815750325635</c:v>
                      </c:pt>
                      <c:pt idx="19">
                        <c:v>4.8017269687907049</c:v>
                      </c:pt>
                      <c:pt idx="20">
                        <c:v>9.6034539375814099</c:v>
                      </c:pt>
                      <c:pt idx="21">
                        <c:v>10.563799331339549</c:v>
                      </c:pt>
                      <c:pt idx="22">
                        <c:v>11.52414472509769</c:v>
                      </c:pt>
                      <c:pt idx="23">
                        <c:v>14.405180906372113</c:v>
                      </c:pt>
                      <c:pt idx="24">
                        <c:v>19.20690787516282</c:v>
                      </c:pt>
                      <c:pt idx="25">
                        <c:v>3.8413815750325635</c:v>
                      </c:pt>
                      <c:pt idx="26">
                        <c:v>5.762072362548845</c:v>
                      </c:pt>
                      <c:pt idx="27">
                        <c:v>6.722417756306986</c:v>
                      </c:pt>
                      <c:pt idx="28">
                        <c:v>9.6034539375814099</c:v>
                      </c:pt>
                      <c:pt idx="29">
                        <c:v>14.405180906372113</c:v>
                      </c:pt>
                      <c:pt idx="30">
                        <c:v>18.246562481404677</c:v>
                      </c:pt>
                      <c:pt idx="31">
                        <c:v>0.57514661383205934</c:v>
                      </c:pt>
                      <c:pt idx="32">
                        <c:v>1.1502932276641187</c:v>
                      </c:pt>
                      <c:pt idx="33">
                        <c:v>1.725439841496178</c:v>
                      </c:pt>
                      <c:pt idx="34">
                        <c:v>2.3005864553282374</c:v>
                      </c:pt>
                      <c:pt idx="35">
                        <c:v>2.8757330691602965</c:v>
                      </c:pt>
                      <c:pt idx="36">
                        <c:v>3.450879682992356</c:v>
                      </c:pt>
                      <c:pt idx="37">
                        <c:v>4.0260262968244147</c:v>
                      </c:pt>
                      <c:pt idx="38">
                        <c:v>5.1763195244885329</c:v>
                      </c:pt>
                      <c:pt idx="39">
                        <c:v>0.57514661383205934</c:v>
                      </c:pt>
                      <c:pt idx="40">
                        <c:v>1.1502932276641187</c:v>
                      </c:pt>
                      <c:pt idx="41">
                        <c:v>1.725439841496178</c:v>
                      </c:pt>
                      <c:pt idx="42">
                        <c:v>2.3005864553282374</c:v>
                      </c:pt>
                      <c:pt idx="43">
                        <c:v>3.450879682992356</c:v>
                      </c:pt>
                      <c:pt idx="44">
                        <c:v>5.7514661383205929</c:v>
                      </c:pt>
                      <c:pt idx="45">
                        <c:v>1.1502932276641187</c:v>
                      </c:pt>
                      <c:pt idx="46">
                        <c:v>1.725439841496178</c:v>
                      </c:pt>
                      <c:pt idx="47">
                        <c:v>2.3005864553282374</c:v>
                      </c:pt>
                      <c:pt idx="48">
                        <c:v>3.450879682992356</c:v>
                      </c:pt>
                      <c:pt idx="49">
                        <c:v>4.6011729106564747</c:v>
                      </c:pt>
                      <c:pt idx="50">
                        <c:v>5.1763195244885329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(m;velo)'!$B$2:$B$52</c15:sqref>
                        </c15:formulaRef>
                      </c:ext>
                    </c:extLst>
                    <c:numCache>
                      <c:formatCode>#,##0.000</c:formatCode>
                      <c:ptCount val="51"/>
                      <c:pt idx="0">
                        <c:v>96.398686048416309</c:v>
                      </c:pt>
                      <c:pt idx="1">
                        <c:v>93.377574558440898</c:v>
                      </c:pt>
                      <c:pt idx="2">
                        <c:v>98.202523299837239</c:v>
                      </c:pt>
                      <c:pt idx="3">
                        <c:v>96.892645099435484</c:v>
                      </c:pt>
                      <c:pt idx="4">
                        <c:v>91.075244856474768</c:v>
                      </c:pt>
                      <c:pt idx="5">
                        <c:v>98.226747141076572</c:v>
                      </c:pt>
                      <c:pt idx="6">
                        <c:v>96.129287571603214</c:v>
                      </c:pt>
                      <c:pt idx="7">
                        <c:v>95.109421909382206</c:v>
                      </c:pt>
                      <c:pt idx="8">
                        <c:v>119.13563169228982</c:v>
                      </c:pt>
                      <c:pt idx="9">
                        <c:v>114.99363409754525</c:v>
                      </c:pt>
                      <c:pt idx="10">
                        <c:v>113.98806242714483</c:v>
                      </c:pt>
                      <c:pt idx="11">
                        <c:v>111.52201761640093</c:v>
                      </c:pt>
                      <c:pt idx="12">
                        <c:v>109.94183356291457</c:v>
                      </c:pt>
                      <c:pt idx="13">
                        <c:v>109.0080884403999</c:v>
                      </c:pt>
                      <c:pt idx="14">
                        <c:v>108.07434331788519</c:v>
                      </c:pt>
                      <c:pt idx="15">
                        <c:v>105.75195160291281</c:v>
                      </c:pt>
                      <c:pt idx="16">
                        <c:v>105.56041414188415</c:v>
                      </c:pt>
                      <c:pt idx="17">
                        <c:v>126.17252703498713</c:v>
                      </c:pt>
                      <c:pt idx="18">
                        <c:v>122.38570023480405</c:v>
                      </c:pt>
                      <c:pt idx="19">
                        <c:v>116.53768922634551</c:v>
                      </c:pt>
                      <c:pt idx="20">
                        <c:v>114.28476694963702</c:v>
                      </c:pt>
                      <c:pt idx="21">
                        <c:v>111.64836854649269</c:v>
                      </c:pt>
                      <c:pt idx="22">
                        <c:v>108.77229755650337</c:v>
                      </c:pt>
                      <c:pt idx="23">
                        <c:v>107.07062222328031</c:v>
                      </c:pt>
                      <c:pt idx="24">
                        <c:v>106.04003012696514</c:v>
                      </c:pt>
                      <c:pt idx="25">
                        <c:v>122.25432118368342</c:v>
                      </c:pt>
                      <c:pt idx="26">
                        <c:v>120.29311410924292</c:v>
                      </c:pt>
                      <c:pt idx="27">
                        <c:v>116.89687746813868</c:v>
                      </c:pt>
                      <c:pt idx="28">
                        <c:v>111.82643966592674</c:v>
                      </c:pt>
                      <c:pt idx="29">
                        <c:v>111.41984795537198</c:v>
                      </c:pt>
                      <c:pt idx="30">
                        <c:v>110.00873554815261</c:v>
                      </c:pt>
                      <c:pt idx="31">
                        <c:v>140.09555954729694</c:v>
                      </c:pt>
                      <c:pt idx="32">
                        <c:v>125.70535893441595</c:v>
                      </c:pt>
                      <c:pt idx="33">
                        <c:v>123.2687711812389</c:v>
                      </c:pt>
                      <c:pt idx="34">
                        <c:v>121.06150933424321</c:v>
                      </c:pt>
                      <c:pt idx="35">
                        <c:v>120.63152326015314</c:v>
                      </c:pt>
                      <c:pt idx="36">
                        <c:v>120.05820849469971</c:v>
                      </c:pt>
                      <c:pt idx="37">
                        <c:v>118.13760403043072</c:v>
                      </c:pt>
                      <c:pt idx="38">
                        <c:v>116.90497728470585</c:v>
                      </c:pt>
                      <c:pt idx="39">
                        <c:v>151.18427342926574</c:v>
                      </c:pt>
                      <c:pt idx="40">
                        <c:v>140.46954198969809</c:v>
                      </c:pt>
                      <c:pt idx="41">
                        <c:v>133.86260302177348</c:v>
                      </c:pt>
                      <c:pt idx="42">
                        <c:v>126.30771195903883</c:v>
                      </c:pt>
                      <c:pt idx="43">
                        <c:v>121.05088661287125</c:v>
                      </c:pt>
                      <c:pt idx="44">
                        <c:v>119.21243402712456</c:v>
                      </c:pt>
                      <c:pt idx="45">
                        <c:v>138.21626111911107</c:v>
                      </c:pt>
                      <c:pt idx="46">
                        <c:v>129.98058130777247</c:v>
                      </c:pt>
                      <c:pt idx="47">
                        <c:v>127.25448519557391</c:v>
                      </c:pt>
                      <c:pt idx="48">
                        <c:v>124.93012956898552</c:v>
                      </c:pt>
                      <c:pt idx="49">
                        <c:v>121.94577173299243</c:v>
                      </c:pt>
                      <c:pt idx="50">
                        <c:v>120.56837580196087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BC7-4F95-8300-D59C651E23E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Fit G27 105L</c:v>
                </c:tx>
                <c:spPr>
                  <a:ln w="2540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40.110811626846086</c:v>
                      </c:pt>
                      <c:pt idx="1">
                        <c:v>39.715454976715939</c:v>
                      </c:pt>
                      <c:pt idx="2">
                        <c:v>39.3200983265858</c:v>
                      </c:pt>
                      <c:pt idx="3">
                        <c:v>38.924741676455668</c:v>
                      </c:pt>
                      <c:pt idx="4">
                        <c:v>38.529385026325507</c:v>
                      </c:pt>
                      <c:pt idx="5">
                        <c:v>38.134028376195381</c:v>
                      </c:pt>
                      <c:pt idx="6">
                        <c:v>37.738671726065242</c:v>
                      </c:pt>
                      <c:pt idx="7">
                        <c:v>37.343315075935088</c:v>
                      </c:pt>
                      <c:pt idx="8">
                        <c:v>36.947958425804956</c:v>
                      </c:pt>
                      <c:pt idx="9">
                        <c:v>36.552601775674809</c:v>
                      </c:pt>
                      <c:pt idx="10">
                        <c:v>36.157245125544677</c:v>
                      </c:pt>
                      <c:pt idx="11">
                        <c:v>35.76188847541453</c:v>
                      </c:pt>
                      <c:pt idx="12">
                        <c:v>35.366531825284397</c:v>
                      </c:pt>
                      <c:pt idx="13">
                        <c:v>34.971175175154265</c:v>
                      </c:pt>
                      <c:pt idx="14">
                        <c:v>34.575818525024118</c:v>
                      </c:pt>
                      <c:pt idx="15">
                        <c:v>34.180461874893979</c:v>
                      </c:pt>
                      <c:pt idx="16">
                        <c:v>33.785105224763832</c:v>
                      </c:pt>
                      <c:pt idx="17">
                        <c:v>33.389748574633693</c:v>
                      </c:pt>
                      <c:pt idx="18">
                        <c:v>32.994391924503567</c:v>
                      </c:pt>
                      <c:pt idx="19">
                        <c:v>32.599035274373414</c:v>
                      </c:pt>
                      <c:pt idx="20">
                        <c:v>32.203678624243281</c:v>
                      </c:pt>
                      <c:pt idx="21">
                        <c:v>31.808321974113131</c:v>
                      </c:pt>
                      <c:pt idx="22">
                        <c:v>31.412965323983002</c:v>
                      </c:pt>
                      <c:pt idx="23">
                        <c:v>31.017608673852862</c:v>
                      </c:pt>
                      <c:pt idx="24">
                        <c:v>30.622252023722726</c:v>
                      </c:pt>
                      <c:pt idx="25">
                        <c:v>30.226895373592569</c:v>
                      </c:pt>
                      <c:pt idx="26">
                        <c:v>29.831538723462437</c:v>
                      </c:pt>
                      <c:pt idx="27">
                        <c:v>29.436182073332297</c:v>
                      </c:pt>
                      <c:pt idx="28">
                        <c:v>29.040825423202161</c:v>
                      </c:pt>
                      <c:pt idx="29">
                        <c:v>28.645468773072011</c:v>
                      </c:pt>
                      <c:pt idx="30">
                        <c:v>28.250112122941886</c:v>
                      </c:pt>
                      <c:pt idx="31">
                        <c:v>27.854755472811746</c:v>
                      </c:pt>
                      <c:pt idx="32">
                        <c:v>27.459398822681582</c:v>
                      </c:pt>
                      <c:pt idx="33">
                        <c:v>27.064042172551449</c:v>
                      </c:pt>
                      <c:pt idx="34">
                        <c:v>26.668685522421317</c:v>
                      </c:pt>
                      <c:pt idx="35">
                        <c:v>26.27332887229117</c:v>
                      </c:pt>
                      <c:pt idx="36">
                        <c:v>25.877972222161031</c:v>
                      </c:pt>
                      <c:pt idx="37">
                        <c:v>25.482615572030898</c:v>
                      </c:pt>
                      <c:pt idx="38">
                        <c:v>25.087258921900752</c:v>
                      </c:pt>
                      <c:pt idx="39">
                        <c:v>24.691902271770612</c:v>
                      </c:pt>
                      <c:pt idx="40">
                        <c:v>24.296545621640458</c:v>
                      </c:pt>
                      <c:pt idx="41">
                        <c:v>23.901188971510326</c:v>
                      </c:pt>
                      <c:pt idx="42">
                        <c:v>23.50583232138019</c:v>
                      </c:pt>
                      <c:pt idx="43">
                        <c:v>23.110475671250047</c:v>
                      </c:pt>
                      <c:pt idx="44">
                        <c:v>22.715119021119911</c:v>
                      </c:pt>
                      <c:pt idx="45">
                        <c:v>22.319762370989764</c:v>
                      </c:pt>
                      <c:pt idx="46">
                        <c:v>21.924405720859639</c:v>
                      </c:pt>
                      <c:pt idx="47">
                        <c:v>21.529049070729485</c:v>
                      </c:pt>
                      <c:pt idx="48">
                        <c:v>21.133692420599345</c:v>
                      </c:pt>
                      <c:pt idx="49">
                        <c:v>20.73833577046921</c:v>
                      </c:pt>
                      <c:pt idx="50">
                        <c:v>20.34297912033907</c:v>
                      </c:pt>
                      <c:pt idx="51">
                        <c:v>19.947622470208938</c:v>
                      </c:pt>
                      <c:pt idx="52">
                        <c:v>19.552265820078791</c:v>
                      </c:pt>
                      <c:pt idx="53">
                        <c:v>19.156909169948644</c:v>
                      </c:pt>
                      <c:pt idx="54">
                        <c:v>18.761552519818508</c:v>
                      </c:pt>
                      <c:pt idx="55">
                        <c:v>18.366195869688365</c:v>
                      </c:pt>
                      <c:pt idx="56">
                        <c:v>17.970839219558222</c:v>
                      </c:pt>
                      <c:pt idx="57">
                        <c:v>17.57548256942809</c:v>
                      </c:pt>
                      <c:pt idx="58">
                        <c:v>17.18012591929795</c:v>
                      </c:pt>
                      <c:pt idx="59">
                        <c:v>16.784769269167803</c:v>
                      </c:pt>
                      <c:pt idx="60">
                        <c:v>16.389412619037664</c:v>
                      </c:pt>
                      <c:pt idx="61">
                        <c:v>15.994055968907521</c:v>
                      </c:pt>
                      <c:pt idx="62">
                        <c:v>15.598699318777388</c:v>
                      </c:pt>
                      <c:pt idx="63">
                        <c:v>15.203342668647249</c:v>
                      </c:pt>
                      <c:pt idx="64">
                        <c:v>14.807986018517109</c:v>
                      </c:pt>
                      <c:pt idx="65">
                        <c:v>14.412629368386964</c:v>
                      </c:pt>
                      <c:pt idx="66">
                        <c:v>14.017272718256821</c:v>
                      </c:pt>
                      <c:pt idx="67">
                        <c:v>13.621916068126687</c:v>
                      </c:pt>
                      <c:pt idx="68">
                        <c:v>13.226559417996542</c:v>
                      </c:pt>
                      <c:pt idx="69">
                        <c:v>12.831202767866404</c:v>
                      </c:pt>
                      <c:pt idx="70">
                        <c:v>12.435846117736261</c:v>
                      </c:pt>
                      <c:pt idx="71">
                        <c:v>12.040489467606125</c:v>
                      </c:pt>
                      <c:pt idx="72">
                        <c:v>11.645132817475986</c:v>
                      </c:pt>
                      <c:pt idx="73">
                        <c:v>11.249776167345845</c:v>
                      </c:pt>
                      <c:pt idx="74">
                        <c:v>10.854419517215701</c:v>
                      </c:pt>
                      <c:pt idx="75">
                        <c:v>10.459062867085564</c:v>
                      </c:pt>
                      <c:pt idx="76">
                        <c:v>10.063706216955426</c:v>
                      </c:pt>
                      <c:pt idx="77">
                        <c:v>9.6683495668252828</c:v>
                      </c:pt>
                      <c:pt idx="78">
                        <c:v>9.2729929166951433</c:v>
                      </c:pt>
                      <c:pt idx="79">
                        <c:v>8.8776362665650055</c:v>
                      </c:pt>
                      <c:pt idx="80">
                        <c:v>8.4822796164348588</c:v>
                      </c:pt>
                      <c:pt idx="81">
                        <c:v>8.0869229663047211</c:v>
                      </c:pt>
                      <c:pt idx="82">
                        <c:v>7.6915663161745877</c:v>
                      </c:pt>
                      <c:pt idx="83">
                        <c:v>7.2962096660444402</c:v>
                      </c:pt>
                      <c:pt idx="84">
                        <c:v>6.9008530159143007</c:v>
                      </c:pt>
                      <c:pt idx="85">
                        <c:v>6.5054963657841611</c:v>
                      </c:pt>
                      <c:pt idx="86">
                        <c:v>6.1101397156540225</c:v>
                      </c:pt>
                      <c:pt idx="87">
                        <c:v>5.7147830655238829</c:v>
                      </c:pt>
                      <c:pt idx="88">
                        <c:v>5.3194264153937434</c:v>
                      </c:pt>
                      <c:pt idx="89">
                        <c:v>4.9240697652636038</c:v>
                      </c:pt>
                      <c:pt idx="90">
                        <c:v>4.5287131151334643</c:v>
                      </c:pt>
                      <c:pt idx="91">
                        <c:v>4.1333564650033168</c:v>
                      </c:pt>
                      <c:pt idx="92">
                        <c:v>3.7379998148731852</c:v>
                      </c:pt>
                      <c:pt idx="93">
                        <c:v>3.3426431647430457</c:v>
                      </c:pt>
                      <c:pt idx="94">
                        <c:v>2.9472865146128981</c:v>
                      </c:pt>
                      <c:pt idx="95">
                        <c:v>2.551929864482759</c:v>
                      </c:pt>
                      <c:pt idx="96">
                        <c:v>2.1565732143526266</c:v>
                      </c:pt>
                      <c:pt idx="97">
                        <c:v>1.7612165642224797</c:v>
                      </c:pt>
                      <c:pt idx="98">
                        <c:v>1.36585991409234</c:v>
                      </c:pt>
                      <c:pt idx="99">
                        <c:v>0.97050326396220032</c:v>
                      </c:pt>
                      <c:pt idx="100">
                        <c:v>0.57514661383206078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96.721121538082215</c:v>
                      </c:pt>
                      <c:pt idx="1">
                        <c:v>96.812390259445195</c:v>
                      </c:pt>
                      <c:pt idx="2">
                        <c:v>96.904659517054228</c:v>
                      </c:pt>
                      <c:pt idx="3">
                        <c:v>96.997950506456334</c:v>
                      </c:pt>
                      <c:pt idx="4">
                        <c:v>97.092285093291778</c:v>
                      </c:pt>
                      <c:pt idx="5">
                        <c:v>97.187685841612947</c:v>
                      </c:pt>
                      <c:pt idx="6">
                        <c:v>97.284176043707419</c:v>
                      </c:pt>
                      <c:pt idx="7">
                        <c:v>97.381779751522473</c:v>
                      </c:pt>
                      <c:pt idx="8">
                        <c:v>97.480521809794993</c:v>
                      </c:pt>
                      <c:pt idx="9">
                        <c:v>97.580427890997569</c:v>
                      </c:pt>
                      <c:pt idx="10">
                        <c:v>97.68152453222298</c:v>
                      </c:pt>
                      <c:pt idx="11">
                        <c:v>97.783839174135281</c:v>
                      </c:pt>
                      <c:pt idx="12">
                        <c:v>97.887400202129214</c:v>
                      </c:pt>
                      <c:pt idx="13">
                        <c:v>97.992236989848266</c:v>
                      </c:pt>
                      <c:pt idx="14">
                        <c:v>98.098379945224707</c:v>
                      </c:pt>
                      <c:pt idx="15">
                        <c:v>98.205860559219929</c:v>
                      </c:pt>
                      <c:pt idx="16">
                        <c:v>98.314711457455346</c:v>
                      </c:pt>
                      <c:pt idx="17">
                        <c:v>98.424966454941867</c:v>
                      </c:pt>
                      <c:pt idx="18">
                        <c:v>98.536660614132558</c:v>
                      </c:pt>
                      <c:pt idx="19">
                        <c:v>98.649830306544501</c:v>
                      </c:pt>
                      <c:pt idx="20">
                        <c:v>98.76451327821249</c:v>
                      </c:pt>
                      <c:pt idx="21">
                        <c:v>98.880748719266947</c:v>
                      </c:pt>
                      <c:pt idx="22">
                        <c:v>98.998577337946912</c:v>
                      </c:pt>
                      <c:pt idx="23">
                        <c:v>99.118041439393949</c:v>
                      </c:pt>
                      <c:pt idx="24">
                        <c:v>99.239185009598685</c:v>
                      </c:pt>
                      <c:pt idx="25">
                        <c:v>99.362053804910289</c:v>
                      </c:pt>
                      <c:pt idx="26">
                        <c:v>99.486695447553586</c:v>
                      </c:pt>
                      <c:pt idx="27">
                        <c:v>99.613159527645024</c:v>
                      </c:pt>
                      <c:pt idx="28">
                        <c:v>99.741497712240871</c:v>
                      </c:pt>
                      <c:pt idx="29">
                        <c:v>99.871763862008436</c:v>
                      </c:pt>
                      <c:pt idx="30">
                        <c:v>100.00401415616425</c:v>
                      </c:pt>
                      <c:pt idx="31">
                        <c:v>100.13830722639091</c:v>
                      </c:pt>
                      <c:pt idx="32">
                        <c:v>100.27470430051604</c:v>
                      </c:pt>
                      <c:pt idx="33">
                        <c:v>100.41326935681482</c:v>
                      </c:pt>
                      <c:pt idx="34">
                        <c:v>100.55406928989353</c:v>
                      </c:pt>
                      <c:pt idx="35">
                        <c:v>100.69717408920459</c:v>
                      </c:pt>
                      <c:pt idx="36">
                        <c:v>100.84265703136593</c:v>
                      </c:pt>
                      <c:pt idx="37">
                        <c:v>100.99059488757729</c:v>
                      </c:pt>
                      <c:pt idx="38">
                        <c:v>101.14106814757645</c:v>
                      </c:pt>
                      <c:pt idx="39">
                        <c:v>101.29416126173662</c:v>
                      </c:pt>
                      <c:pt idx="40">
                        <c:v>101.44996290309169</c:v>
                      </c:pt>
                      <c:pt idx="41">
                        <c:v>101.60856625128423</c:v>
                      </c:pt>
                      <c:pt idx="42">
                        <c:v>101.77006930066614</c:v>
                      </c:pt>
                      <c:pt idx="43">
                        <c:v>101.93457519505286</c:v>
                      </c:pt>
                      <c:pt idx="44">
                        <c:v>102.10219259193603</c:v>
                      </c:pt>
                      <c:pt idx="45">
                        <c:v>102.27303605931037</c:v>
                      </c:pt>
                      <c:pt idx="46">
                        <c:v>102.44722650867125</c:v>
                      </c:pt>
                      <c:pt idx="47">
                        <c:v>102.6248916681996</c:v>
                      </c:pt>
                      <c:pt idx="48">
                        <c:v>102.80616660067797</c:v>
                      </c:pt>
                      <c:pt idx="49">
                        <c:v>102.99119427129128</c:v>
                      </c:pt>
                      <c:pt idx="50">
                        <c:v>103.18012617117456</c:v>
                      </c:pt>
                      <c:pt idx="51">
                        <c:v>103.37312300337805</c:v>
                      </c:pt>
                      <c:pt idx="52">
                        <c:v>103.57035543887996</c:v>
                      </c:pt>
                      <c:pt idx="53">
                        <c:v>103.77200495137534</c:v>
                      </c:pt>
                      <c:pt idx="54">
                        <c:v>103.97826474086608</c:v>
                      </c:pt>
                      <c:pt idx="55">
                        <c:v>104.18934075759535</c:v>
                      </c:pt>
                      <c:pt idx="56">
                        <c:v>104.40545283965133</c:v>
                      </c:pt>
                      <c:pt idx="57">
                        <c:v>104.62683597967283</c:v>
                      </c:pt>
                      <c:pt idx="58">
                        <c:v>104.8537417385828</c:v>
                      </c:pt>
                      <c:pt idx="59">
                        <c:v>105.08643982724215</c:v>
                      </c:pt>
                      <c:pt idx="60">
                        <c:v>105.32521988045561</c:v>
                      </c:pt>
                      <c:pt idx="61">
                        <c:v>105.57039345199514</c:v>
                      </c:pt>
                      <c:pt idx="62">
                        <c:v>105.82229626441232</c:v>
                      </c:pt>
                      <c:pt idx="63">
                        <c:v>106.08129075356587</c:v>
                      </c:pt>
                      <c:pt idx="64">
                        <c:v>106.34776895527088</c:v>
                      </c:pt>
                      <c:pt idx="65">
                        <c:v>106.62215579058918</c:v>
                      </c:pt>
                      <c:pt idx="66">
                        <c:v>106.90491281745842</c:v>
                      </c:pt>
                      <c:pt idx="67">
                        <c:v>107.19654253011949</c:v>
                      </c:pt>
                      <c:pt idx="68">
                        <c:v>107.49759330485941</c:v>
                      </c:pt>
                      <c:pt idx="69">
                        <c:v>107.80866511183604</c:v>
                      </c:pt>
                      <c:pt idx="70">
                        <c:v>108.13041613940059</c:v>
                      </c:pt>
                      <c:pt idx="71">
                        <c:v>108.46357051096359</c:v>
                      </c:pt>
                      <c:pt idx="72">
                        <c:v>108.80892731719256</c:v>
                      </c:pt>
                      <c:pt idx="73">
                        <c:v>109.16737124104458</c:v>
                      </c:pt>
                      <c:pt idx="74">
                        <c:v>109.53988512374484</c:v>
                      </c:pt>
                      <c:pt idx="75">
                        <c:v>109.92756491168086</c:v>
                      </c:pt>
                      <c:pt idx="76">
                        <c:v>110.33163754477692</c:v>
                      </c:pt>
                      <c:pt idx="77">
                        <c:v>110.7534825067363</c:v>
                      </c:pt>
                      <c:pt idx="78">
                        <c:v>111.19465797153826</c:v>
                      </c:pt>
                      <c:pt idx="79">
                        <c:v>111.65693277028493</c:v>
                      </c:pt>
                      <c:pt idx="80">
                        <c:v>112.14232579938893</c:v>
                      </c:pt>
                      <c:pt idx="81">
                        <c:v>112.65315504186368</c:v>
                      </c:pt>
                      <c:pt idx="82">
                        <c:v>113.19209914855539</c:v>
                      </c:pt>
                      <c:pt idx="83">
                        <c:v>113.76227563360746</c:v>
                      </c:pt>
                      <c:pt idx="84">
                        <c:v>114.36734134743486</c:v>
                      </c:pt>
                      <c:pt idx="85">
                        <c:v>115.01162327137307</c:v>
                      </c:pt>
                      <c:pt idx="86">
                        <c:v>115.70029127336244</c:v>
                      </c:pt>
                      <c:pt idx="87">
                        <c:v>116.4395900163931</c:v>
                      </c:pt>
                      <c:pt idx="88">
                        <c:v>117.2371560048494</c:v>
                      </c:pt>
                      <c:pt idx="89">
                        <c:v>118.10246008013389</c:v>
                      </c:pt>
                      <c:pt idx="90">
                        <c:v>119.04743977916773</c:v>
                      </c:pt>
                      <c:pt idx="91">
                        <c:v>120.08742803768742</c:v>
                      </c:pt>
                      <c:pt idx="92">
                        <c:v>121.24256133967648</c:v>
                      </c:pt>
                      <c:pt idx="93">
                        <c:v>122.53999710052044</c:v>
                      </c:pt>
                      <c:pt idx="94">
                        <c:v>124.01756807830155</c:v>
                      </c:pt>
                      <c:pt idx="95">
                        <c:v>125.73015224427199</c:v>
                      </c:pt>
                      <c:pt idx="96">
                        <c:v>127.76159003469387</c:v>
                      </c:pt>
                      <c:pt idx="97">
                        <c:v>130.24914122679834</c:v>
                      </c:pt>
                      <c:pt idx="98">
                        <c:v>133.44047032382267</c:v>
                      </c:pt>
                      <c:pt idx="99">
                        <c:v>137.85381418872177</c:v>
                      </c:pt>
                      <c:pt idx="100">
                        <c:v>144.89522407938779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BC7-4F95-8300-D59C651E23E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G30 85L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C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(m;velo)'!$A$2:$A$42</c15:sqref>
                        </c15:formulaRef>
                      </c:ext>
                    </c:extLst>
                    <c:numCache>
                      <c:formatCode>0.00E+00</c:formatCode>
                      <c:ptCount val="41"/>
                      <c:pt idx="0">
                        <c:v>30.373414329104897</c:v>
                      </c:pt>
                      <c:pt idx="1">
                        <c:v>3.9390521708057915</c:v>
                      </c:pt>
                      <c:pt idx="2">
                        <c:v>6.3024834732892669</c:v>
                      </c:pt>
                      <c:pt idx="3">
                        <c:v>7.090293907450425</c:v>
                      </c:pt>
                      <c:pt idx="4">
                        <c:v>9.4537252099338982</c:v>
                      </c:pt>
                      <c:pt idx="5">
                        <c:v>10.241535644095059</c:v>
                      </c:pt>
                      <c:pt idx="6">
                        <c:v>11.029346078256216</c:v>
                      </c:pt>
                      <c:pt idx="7">
                        <c:v>14.968398249062007</c:v>
                      </c:pt>
                      <c:pt idx="8">
                        <c:v>3.1512417366446335</c:v>
                      </c:pt>
                      <c:pt idx="9">
                        <c:v>3.9390521708057915</c:v>
                      </c:pt>
                      <c:pt idx="10">
                        <c:v>6.3024834732892669</c:v>
                      </c:pt>
                      <c:pt idx="11">
                        <c:v>8.6659147757727411</c:v>
                      </c:pt>
                      <c:pt idx="12">
                        <c:v>9.4537252099338982</c:v>
                      </c:pt>
                      <c:pt idx="13">
                        <c:v>14.968398249062007</c:v>
                      </c:pt>
                      <c:pt idx="14">
                        <c:v>3.1512417366446335</c:v>
                      </c:pt>
                      <c:pt idx="15">
                        <c:v>3.9390521708057915</c:v>
                      </c:pt>
                      <c:pt idx="16">
                        <c:v>4.7268626049669491</c:v>
                      </c:pt>
                      <c:pt idx="17">
                        <c:v>6.3024834732892669</c:v>
                      </c:pt>
                      <c:pt idx="18">
                        <c:v>7.878104341611583</c:v>
                      </c:pt>
                      <c:pt idx="19">
                        <c:v>8.6659147757727411</c:v>
                      </c:pt>
                      <c:pt idx="20">
                        <c:v>9.4537252099338982</c:v>
                      </c:pt>
                      <c:pt idx="21">
                        <c:v>10.241535644095059</c:v>
                      </c:pt>
                      <c:pt idx="22">
                        <c:v>13.392777380739691</c:v>
                      </c:pt>
                      <c:pt idx="23">
                        <c:v>14.968398249062007</c:v>
                      </c:pt>
                      <c:pt idx="24">
                        <c:v>0.94363237746411799</c:v>
                      </c:pt>
                      <c:pt idx="25">
                        <c:v>1.4154485661961771</c:v>
                      </c:pt>
                      <c:pt idx="26">
                        <c:v>1.887264754928236</c:v>
                      </c:pt>
                      <c:pt idx="27">
                        <c:v>2.8308971323923542</c:v>
                      </c:pt>
                      <c:pt idx="28">
                        <c:v>3.774529509856472</c:v>
                      </c:pt>
                      <c:pt idx="29">
                        <c:v>0.94363237746411799</c:v>
                      </c:pt>
                      <c:pt idx="30">
                        <c:v>1.4154485661961771</c:v>
                      </c:pt>
                      <c:pt idx="31">
                        <c:v>1.887264754928236</c:v>
                      </c:pt>
                      <c:pt idx="32">
                        <c:v>2.3590809436602953</c:v>
                      </c:pt>
                      <c:pt idx="33">
                        <c:v>3.3027133211244135</c:v>
                      </c:pt>
                      <c:pt idx="34">
                        <c:v>3.774529509856472</c:v>
                      </c:pt>
                      <c:pt idx="35">
                        <c:v>0.47181618873205899</c:v>
                      </c:pt>
                      <c:pt idx="36">
                        <c:v>0.94363237746411799</c:v>
                      </c:pt>
                      <c:pt idx="37">
                        <c:v>1.4154485661961771</c:v>
                      </c:pt>
                      <c:pt idx="38">
                        <c:v>1.887264754928236</c:v>
                      </c:pt>
                      <c:pt idx="39">
                        <c:v>2.8308971323923542</c:v>
                      </c:pt>
                      <c:pt idx="40">
                        <c:v>3.774529509856472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(m;velo)'!$B$2:$B$42</c15:sqref>
                        </c15:formulaRef>
                      </c:ext>
                    </c:extLst>
                    <c:numCache>
                      <c:formatCode>#,##0.000</c:formatCode>
                      <c:ptCount val="41"/>
                      <c:pt idx="0">
                        <c:v>100.92286507311093</c:v>
                      </c:pt>
                      <c:pt idx="1">
                        <c:v>117.92779020417348</c:v>
                      </c:pt>
                      <c:pt idx="2">
                        <c:v>117.59224858897701</c:v>
                      </c:pt>
                      <c:pt idx="3">
                        <c:v>115.98644228767971</c:v>
                      </c:pt>
                      <c:pt idx="4">
                        <c:v>113.70955275598949</c:v>
                      </c:pt>
                      <c:pt idx="5">
                        <c:v>110.78554725213468</c:v>
                      </c:pt>
                      <c:pt idx="6">
                        <c:v>110.45000563693822</c:v>
                      </c:pt>
                      <c:pt idx="7">
                        <c:v>107.11855674320198</c:v>
                      </c:pt>
                      <c:pt idx="8">
                        <c:v>123.83285370717226</c:v>
                      </c:pt>
                      <c:pt idx="9">
                        <c:v>121.48897208098484</c:v>
                      </c:pt>
                      <c:pt idx="10">
                        <c:v>115.31834494014291</c:v>
                      </c:pt>
                      <c:pt idx="11">
                        <c:v>111.80252250868433</c:v>
                      </c:pt>
                      <c:pt idx="12">
                        <c:v>106.66033323073361</c:v>
                      </c:pt>
                      <c:pt idx="13">
                        <c:v>107.66485392543608</c:v>
                      </c:pt>
                      <c:pt idx="14">
                        <c:v>126.05358399617073</c:v>
                      </c:pt>
                      <c:pt idx="15">
                        <c:v>122.3402146342103</c:v>
                      </c:pt>
                      <c:pt idx="16">
                        <c:v>121.42984020955707</c:v>
                      </c:pt>
                      <c:pt idx="17">
                        <c:v>120.2080219034444</c:v>
                      </c:pt>
                      <c:pt idx="18">
                        <c:v>119.65700580491604</c:v>
                      </c:pt>
                      <c:pt idx="19">
                        <c:v>119.15390415001005</c:v>
                      </c:pt>
                      <c:pt idx="20">
                        <c:v>117.02171141820115</c:v>
                      </c:pt>
                      <c:pt idx="21">
                        <c:v>115.46449200568877</c:v>
                      </c:pt>
                      <c:pt idx="22">
                        <c:v>114.19475925699673</c:v>
                      </c:pt>
                      <c:pt idx="23">
                        <c:v>113.21251317212499</c:v>
                      </c:pt>
                      <c:pt idx="24">
                        <c:v>142.93996264007947</c:v>
                      </c:pt>
                      <c:pt idx="25">
                        <c:v>134.83928095904344</c:v>
                      </c:pt>
                      <c:pt idx="26">
                        <c:v>129.61118143440314</c:v>
                      </c:pt>
                      <c:pt idx="27">
                        <c:v>123.86601712161163</c:v>
                      </c:pt>
                      <c:pt idx="28">
                        <c:v>116.62711008749434</c:v>
                      </c:pt>
                      <c:pt idx="29">
                        <c:v>146.77930375930265</c:v>
                      </c:pt>
                      <c:pt idx="30">
                        <c:v>138.46534309984125</c:v>
                      </c:pt>
                      <c:pt idx="31">
                        <c:v>136.13513267246216</c:v>
                      </c:pt>
                      <c:pt idx="32">
                        <c:v>127.64856384573423</c:v>
                      </c:pt>
                      <c:pt idx="33">
                        <c:v>125.692337807626</c:v>
                      </c:pt>
                      <c:pt idx="34">
                        <c:v>124.16763221579347</c:v>
                      </c:pt>
                      <c:pt idx="35">
                        <c:v>149.57811851645184</c:v>
                      </c:pt>
                      <c:pt idx="36">
                        <c:v>146.47767934153356</c:v>
                      </c:pt>
                      <c:pt idx="37">
                        <c:v>140.53517091794299</c:v>
                      </c:pt>
                      <c:pt idx="38">
                        <c:v>133.81755271061729</c:v>
                      </c:pt>
                      <c:pt idx="39">
                        <c:v>130.7171135332004</c:v>
                      </c:pt>
                      <c:pt idx="40">
                        <c:v>122.36315241384239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BC7-4F95-8300-D59C651E23E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Fit G30 85L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30.3734143291049</c:v>
                      </c:pt>
                      <c:pt idx="1">
                        <c:v>30.074398347701177</c:v>
                      </c:pt>
                      <c:pt idx="2">
                        <c:v>29.77538236629745</c:v>
                      </c:pt>
                      <c:pt idx="3">
                        <c:v>29.476366384893716</c:v>
                      </c:pt>
                      <c:pt idx="4">
                        <c:v>29.177350403489992</c:v>
                      </c:pt>
                      <c:pt idx="5">
                        <c:v>28.878334422086272</c:v>
                      </c:pt>
                      <c:pt idx="6">
                        <c:v>28.579318440682535</c:v>
                      </c:pt>
                      <c:pt idx="7">
                        <c:v>28.280302459278808</c:v>
                      </c:pt>
                      <c:pt idx="8">
                        <c:v>27.981286477875088</c:v>
                      </c:pt>
                      <c:pt idx="9">
                        <c:v>27.68227049647135</c:v>
                      </c:pt>
                      <c:pt idx="10">
                        <c:v>27.38325451506763</c:v>
                      </c:pt>
                      <c:pt idx="11">
                        <c:v>27.084238533663889</c:v>
                      </c:pt>
                      <c:pt idx="12">
                        <c:v>26.785222552260166</c:v>
                      </c:pt>
                      <c:pt idx="13">
                        <c:v>26.486206570856449</c:v>
                      </c:pt>
                      <c:pt idx="14">
                        <c:v>26.187190589452708</c:v>
                      </c:pt>
                      <c:pt idx="15">
                        <c:v>25.888174608048981</c:v>
                      </c:pt>
                      <c:pt idx="16">
                        <c:v>25.589158626645254</c:v>
                      </c:pt>
                      <c:pt idx="17">
                        <c:v>25.290142645241531</c:v>
                      </c:pt>
                      <c:pt idx="18">
                        <c:v>24.991126663837797</c:v>
                      </c:pt>
                      <c:pt idx="19">
                        <c:v>24.692110682434063</c:v>
                      </c:pt>
                      <c:pt idx="20">
                        <c:v>24.393094701030343</c:v>
                      </c:pt>
                      <c:pt idx="21">
                        <c:v>24.094078719626623</c:v>
                      </c:pt>
                      <c:pt idx="22">
                        <c:v>23.795062738222885</c:v>
                      </c:pt>
                      <c:pt idx="23">
                        <c:v>23.496046756819158</c:v>
                      </c:pt>
                      <c:pt idx="24">
                        <c:v>23.197030775415431</c:v>
                      </c:pt>
                      <c:pt idx="25">
                        <c:v>22.898014794011697</c:v>
                      </c:pt>
                      <c:pt idx="26">
                        <c:v>22.598998812607967</c:v>
                      </c:pt>
                      <c:pt idx="27">
                        <c:v>22.29998283120424</c:v>
                      </c:pt>
                      <c:pt idx="28">
                        <c:v>22.000966849800513</c:v>
                      </c:pt>
                      <c:pt idx="29">
                        <c:v>21.701950868396793</c:v>
                      </c:pt>
                      <c:pt idx="30">
                        <c:v>21.402934886993059</c:v>
                      </c:pt>
                      <c:pt idx="31">
                        <c:v>21.103918905589328</c:v>
                      </c:pt>
                      <c:pt idx="32">
                        <c:v>20.804902924185594</c:v>
                      </c:pt>
                      <c:pt idx="33">
                        <c:v>20.505886942781871</c:v>
                      </c:pt>
                      <c:pt idx="34">
                        <c:v>20.206870961378144</c:v>
                      </c:pt>
                      <c:pt idx="35">
                        <c:v>19.907854979974413</c:v>
                      </c:pt>
                      <c:pt idx="36">
                        <c:v>19.608838998570693</c:v>
                      </c:pt>
                      <c:pt idx="37">
                        <c:v>19.309823017166952</c:v>
                      </c:pt>
                      <c:pt idx="38">
                        <c:v>19.010807035763222</c:v>
                      </c:pt>
                      <c:pt idx="39">
                        <c:v>18.711791054359495</c:v>
                      </c:pt>
                      <c:pt idx="40">
                        <c:v>18.412775072955775</c:v>
                      </c:pt>
                      <c:pt idx="41">
                        <c:v>18.113759091552037</c:v>
                      </c:pt>
                      <c:pt idx="42">
                        <c:v>17.81474311014831</c:v>
                      </c:pt>
                      <c:pt idx="43">
                        <c:v>17.51572712874459</c:v>
                      </c:pt>
                      <c:pt idx="44">
                        <c:v>17.216711147340856</c:v>
                      </c:pt>
                      <c:pt idx="45">
                        <c:v>16.917695165937126</c:v>
                      </c:pt>
                      <c:pt idx="46">
                        <c:v>16.618679184533399</c:v>
                      </c:pt>
                      <c:pt idx="47">
                        <c:v>16.319663203129672</c:v>
                      </c:pt>
                      <c:pt idx="48">
                        <c:v>16.020647221725941</c:v>
                      </c:pt>
                      <c:pt idx="49">
                        <c:v>15.721631240322209</c:v>
                      </c:pt>
                      <c:pt idx="50">
                        <c:v>15.422615258918489</c:v>
                      </c:pt>
                      <c:pt idx="51">
                        <c:v>15.123599277514757</c:v>
                      </c:pt>
                      <c:pt idx="52">
                        <c:v>14.824583296111024</c:v>
                      </c:pt>
                      <c:pt idx="53">
                        <c:v>14.525567314707299</c:v>
                      </c:pt>
                      <c:pt idx="54">
                        <c:v>14.22655133330357</c:v>
                      </c:pt>
                      <c:pt idx="55">
                        <c:v>13.927535351899841</c:v>
                      </c:pt>
                      <c:pt idx="56">
                        <c:v>13.628519370496115</c:v>
                      </c:pt>
                      <c:pt idx="57">
                        <c:v>13.329503389092389</c:v>
                      </c:pt>
                      <c:pt idx="58">
                        <c:v>13.030487407688653</c:v>
                      </c:pt>
                      <c:pt idx="59">
                        <c:v>12.73147142628493</c:v>
                      </c:pt>
                      <c:pt idx="60">
                        <c:v>12.432455444881203</c:v>
                      </c:pt>
                      <c:pt idx="61">
                        <c:v>12.133439463477471</c:v>
                      </c:pt>
                      <c:pt idx="62">
                        <c:v>11.83442348207374</c:v>
                      </c:pt>
                      <c:pt idx="63">
                        <c:v>11.535407500670011</c:v>
                      </c:pt>
                      <c:pt idx="64">
                        <c:v>11.236391519266279</c:v>
                      </c:pt>
                      <c:pt idx="65">
                        <c:v>10.937375537862561</c:v>
                      </c:pt>
                      <c:pt idx="66">
                        <c:v>10.638359556458829</c:v>
                      </c:pt>
                      <c:pt idx="67">
                        <c:v>10.339343575055098</c:v>
                      </c:pt>
                      <c:pt idx="68">
                        <c:v>10.040327593651369</c:v>
                      </c:pt>
                      <c:pt idx="69">
                        <c:v>9.7413116122476424</c:v>
                      </c:pt>
                      <c:pt idx="70">
                        <c:v>9.4422956308439137</c:v>
                      </c:pt>
                      <c:pt idx="71">
                        <c:v>9.1432796494401867</c:v>
                      </c:pt>
                      <c:pt idx="72">
                        <c:v>8.8442636680364615</c:v>
                      </c:pt>
                      <c:pt idx="73">
                        <c:v>8.5452476866327309</c:v>
                      </c:pt>
                      <c:pt idx="74">
                        <c:v>8.2462317052290022</c:v>
                      </c:pt>
                      <c:pt idx="75">
                        <c:v>7.9472157238252734</c:v>
                      </c:pt>
                      <c:pt idx="76">
                        <c:v>7.6481997424215411</c:v>
                      </c:pt>
                      <c:pt idx="77">
                        <c:v>7.3491837610178132</c:v>
                      </c:pt>
                      <c:pt idx="78">
                        <c:v>7.0501677796140871</c:v>
                      </c:pt>
                      <c:pt idx="79">
                        <c:v>6.7511517982103566</c:v>
                      </c:pt>
                      <c:pt idx="80">
                        <c:v>6.4521358168066287</c:v>
                      </c:pt>
                      <c:pt idx="81">
                        <c:v>6.1531198354029017</c:v>
                      </c:pt>
                      <c:pt idx="82">
                        <c:v>5.8541038539991712</c:v>
                      </c:pt>
                      <c:pt idx="83">
                        <c:v>5.5550878725954451</c:v>
                      </c:pt>
                      <c:pt idx="84">
                        <c:v>5.2560718911917181</c:v>
                      </c:pt>
                      <c:pt idx="85">
                        <c:v>4.9570559097879832</c:v>
                      </c:pt>
                      <c:pt idx="86">
                        <c:v>4.6580399283842562</c:v>
                      </c:pt>
                      <c:pt idx="87">
                        <c:v>4.3590239469805283</c:v>
                      </c:pt>
                      <c:pt idx="88">
                        <c:v>4.0600079655767987</c:v>
                      </c:pt>
                      <c:pt idx="89">
                        <c:v>3.7609919841730708</c:v>
                      </c:pt>
                      <c:pt idx="90">
                        <c:v>3.4619760027693434</c:v>
                      </c:pt>
                      <c:pt idx="91">
                        <c:v>3.1629600213656177</c:v>
                      </c:pt>
                      <c:pt idx="92">
                        <c:v>2.8639440399618867</c:v>
                      </c:pt>
                      <c:pt idx="93">
                        <c:v>2.5649280585581593</c:v>
                      </c:pt>
                      <c:pt idx="94">
                        <c:v>2.2659120771544328</c:v>
                      </c:pt>
                      <c:pt idx="95">
                        <c:v>1.966896095750702</c:v>
                      </c:pt>
                      <c:pt idx="96">
                        <c:v>1.6678801143469748</c:v>
                      </c:pt>
                      <c:pt idx="97">
                        <c:v>1.3688641329432478</c:v>
                      </c:pt>
                      <c:pt idx="98">
                        <c:v>1.0698481515395137</c:v>
                      </c:pt>
                      <c:pt idx="99">
                        <c:v>0.77083217013578675</c:v>
                      </c:pt>
                      <c:pt idx="100">
                        <c:v>0.47181618873205977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101.13008200049852</c:v>
                      </c:pt>
                      <c:pt idx="1">
                        <c:v>101.22788850277395</c:v>
                      </c:pt>
                      <c:pt idx="2">
                        <c:v>101.32676833995541</c:v>
                      </c:pt>
                      <c:pt idx="3">
                        <c:v>101.42674424876806</c:v>
                      </c:pt>
                      <c:pt idx="4">
                        <c:v>101.52783968443819</c:v>
                      </c:pt>
                      <c:pt idx="5">
                        <c:v>101.63007885103796</c:v>
                      </c:pt>
                      <c:pt idx="6">
                        <c:v>101.73348673344064</c:v>
                      </c:pt>
                      <c:pt idx="7">
                        <c:v>101.83808913099115</c:v>
                      </c:pt>
                      <c:pt idx="8">
                        <c:v>101.943912693001</c:v>
                      </c:pt>
                      <c:pt idx="9">
                        <c:v>102.05098495618996</c:v>
                      </c:pt>
                      <c:pt idx="10">
                        <c:v>102.15933438419952</c:v>
                      </c:pt>
                      <c:pt idx="11">
                        <c:v>102.26899040932109</c:v>
                      </c:pt>
                      <c:pt idx="12">
                        <c:v>102.37998347658687</c:v>
                      </c:pt>
                      <c:pt idx="13">
                        <c:v>102.49234509038443</c:v>
                      </c:pt>
                      <c:pt idx="14">
                        <c:v>102.60610786377202</c:v>
                      </c:pt>
                      <c:pt idx="15">
                        <c:v>102.72130557068219</c:v>
                      </c:pt>
                      <c:pt idx="16">
                        <c:v>102.83797320121872</c:v>
                      </c:pt>
                      <c:pt idx="17">
                        <c:v>102.95614702026957</c:v>
                      </c:pt>
                      <c:pt idx="18">
                        <c:v>103.07586462967495</c:v>
                      </c:pt>
                      <c:pt idx="19">
                        <c:v>103.19716503421388</c:v>
                      </c:pt>
                      <c:pt idx="20">
                        <c:v>103.32008871169053</c:v>
                      </c:pt>
                      <c:pt idx="21">
                        <c:v>103.44467768743036</c:v>
                      </c:pt>
                      <c:pt idx="22">
                        <c:v>103.57097561352268</c:v>
                      </c:pt>
                      <c:pt idx="23">
                        <c:v>103.69902785317417</c:v>
                      </c:pt>
                      <c:pt idx="24">
                        <c:v>103.82888157057413</c:v>
                      </c:pt>
                      <c:pt idx="25">
                        <c:v>103.96058582670697</c:v>
                      </c:pt>
                      <c:pt idx="26">
                        <c:v>104.09419168158985</c:v>
                      </c:pt>
                      <c:pt idx="27">
                        <c:v>104.22975230345708</c:v>
                      </c:pt>
                      <c:pt idx="28">
                        <c:v>104.36732308546379</c:v>
                      </c:pt>
                      <c:pt idx="29">
                        <c:v>104.5069617705355</c:v>
                      </c:pt>
                      <c:pt idx="30">
                        <c:v>104.64872858505652</c:v>
                      </c:pt>
                      <c:pt idx="31">
                        <c:v>104.79268638215233</c:v>
                      </c:pt>
                      <c:pt idx="32">
                        <c:v>104.93890079540303</c:v>
                      </c:pt>
                      <c:pt idx="33">
                        <c:v>105.08744040391065</c:v>
                      </c:pt>
                      <c:pt idx="34">
                        <c:v>105.23837690973528</c:v>
                      </c:pt>
                      <c:pt idx="35">
                        <c:v>105.39178532882798</c:v>
                      </c:pt>
                      <c:pt idx="36">
                        <c:v>105.54774419670579</c:v>
                      </c:pt>
                      <c:pt idx="37">
                        <c:v>105.70633579025119</c:v>
                      </c:pt>
                      <c:pt idx="38">
                        <c:v>105.86764636717255</c:v>
                      </c:pt>
                      <c:pt idx="39">
                        <c:v>106.03176642483388</c:v>
                      </c:pt>
                      <c:pt idx="40">
                        <c:v>106.19879098035774</c:v>
                      </c:pt>
                      <c:pt idx="41">
                        <c:v>106.36881987412903</c:v>
                      </c:pt>
                      <c:pt idx="42">
                        <c:v>106.54195809907422</c:v>
                      </c:pt>
                      <c:pt idx="43">
                        <c:v>106.71831615838128</c:v>
                      </c:pt>
                      <c:pt idx="44">
                        <c:v>106.89801045464858</c:v>
                      </c:pt>
                      <c:pt idx="45">
                        <c:v>107.08116371382336</c:v>
                      </c:pt>
                      <c:pt idx="46">
                        <c:v>107.2679054477171</c:v>
                      </c:pt>
                      <c:pt idx="47">
                        <c:v>107.45837245937297</c:v>
                      </c:pt>
                      <c:pt idx="48">
                        <c:v>107.65270939612215</c:v>
                      </c:pt>
                      <c:pt idx="49">
                        <c:v>107.851069355815</c:v>
                      </c:pt>
                      <c:pt idx="50">
                        <c:v>108.05361455245816</c:v>
                      </c:pt>
                      <c:pt idx="51">
                        <c:v>108.26051704835879</c:v>
                      </c:pt>
                      <c:pt idx="52">
                        <c:v>108.4719595608847</c:v>
                      </c:pt>
                      <c:pt idx="53">
                        <c:v>108.68813635312007</c:v>
                      </c:pt>
                      <c:pt idx="54">
                        <c:v>108.90925421907176</c:v>
                      </c:pt>
                      <c:pt idx="55">
                        <c:v>109.13553357568834</c:v>
                      </c:pt>
                      <c:pt idx="56">
                        <c:v>109.36720967584463</c:v>
                      </c:pt>
                      <c:pt idx="57">
                        <c:v>109.60453395867629</c:v>
                      </c:pt>
                      <c:pt idx="58">
                        <c:v>109.8477755562934</c:v>
                      </c:pt>
                      <c:pt idx="59">
                        <c:v>110.09722297903635</c:v>
                      </c:pt>
                      <c:pt idx="60">
                        <c:v>110.35318600518818</c:v>
                      </c:pt>
                      <c:pt idx="61">
                        <c:v>110.61599780553605</c:v>
                      </c:pt>
                      <c:pt idx="62">
                        <c:v>110.88601733857006</c:v>
                      </c:pt>
                      <c:pt idx="63">
                        <c:v>111.16363205861455</c:v>
                      </c:pt>
                      <c:pt idx="64">
                        <c:v>111.44926098708585</c:v>
                      </c:pt>
                      <c:pt idx="65">
                        <c:v>111.74335820669737</c:v>
                      </c:pt>
                      <c:pt idx="66">
                        <c:v>112.04641685021768</c:v>
                      </c:pt>
                      <c:pt idx="67">
                        <c:v>112.35897366990903</c:v>
                      </c:pt>
                      <c:pt idx="68">
                        <c:v>112.68161429173996</c:v>
                      </c:pt>
                      <c:pt idx="69">
                        <c:v>113.01497928085202</c:v>
                      </c:pt>
                      <c:pt idx="70">
                        <c:v>113.35977117280069</c:v>
                      </c:pt>
                      <c:pt idx="71">
                        <c:v>113.71676266045574</c:v>
                      </c:pt>
                      <c:pt idx="72">
                        <c:v>114.08680617135752</c:v>
                      </c:pt>
                      <c:pt idx="73">
                        <c:v>114.47084512776901</c:v>
                      </c:pt>
                      <c:pt idx="74">
                        <c:v>114.86992725572016</c:v>
                      </c:pt>
                      <c:pt idx="75">
                        <c:v>115.28522040559642</c:v>
                      </c:pt>
                      <c:pt idx="76">
                        <c:v>115.71803147305985</c:v>
                      </c:pt>
                      <c:pt idx="77">
                        <c:v>116.16982917619445</c:v>
                      </c:pt>
                      <c:pt idx="78">
                        <c:v>116.64227166825967</c:v>
                      </c:pt>
                      <c:pt idx="79">
                        <c:v>117.13724026758014</c:v>
                      </c:pt>
                      <c:pt idx="80">
                        <c:v>117.65688099946409</c:v>
                      </c:pt>
                      <c:pt idx="81">
                        <c:v>118.20365621777754</c:v>
                      </c:pt>
                      <c:pt idx="82">
                        <c:v>118.78040937842795</c:v>
                      </c:pt>
                      <c:pt idx="83">
                        <c:v>119.39044718458399</c:v>
                      </c:pt>
                      <c:pt idx="84">
                        <c:v>120.03764498735761</c:v>
                      </c:pt>
                      <c:pt idx="85">
                        <c:v>120.72658378232644</c:v>
                      </c:pt>
                      <c:pt idx="86">
                        <c:v>121.46273084268772</c:v>
                      </c:pt>
                      <c:pt idx="87">
                        <c:v>122.25268172888632</c:v>
                      </c:pt>
                      <c:pt idx="88">
                        <c:v>123.10449041222545</c:v>
                      </c:pt>
                      <c:pt idx="89">
                        <c:v>124.02812885738702</c:v>
                      </c:pt>
                      <c:pt idx="90">
                        <c:v>125.03614188533552</c:v>
                      </c:pt>
                      <c:pt idx="91">
                        <c:v>126.14460566192885</c:v>
                      </c:pt>
                      <c:pt idx="92">
                        <c:v>127.37457518854889</c:v>
                      </c:pt>
                      <c:pt idx="93">
                        <c:v>128.75435270442455</c:v>
                      </c:pt>
                      <c:pt idx="94">
                        <c:v>130.32320432501791</c:v>
                      </c:pt>
                      <c:pt idx="95">
                        <c:v>132.13779115623666</c:v>
                      </c:pt>
                      <c:pt idx="96">
                        <c:v>134.2840885755605</c:v>
                      </c:pt>
                      <c:pt idx="97">
                        <c:v>136.90154205156591</c:v>
                      </c:pt>
                      <c:pt idx="98">
                        <c:v>140.23836122851796</c:v>
                      </c:pt>
                      <c:pt idx="99">
                        <c:v>144.80273463377526</c:v>
                      </c:pt>
                      <c:pt idx="100">
                        <c:v>151.91716142812129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BC7-4F95-8300-D59C651E23E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60L'!$D$51</c15:sqref>
                        </c15:formulaRef>
                      </c:ext>
                    </c:extLst>
                    <c:strCache>
                      <c:ptCount val="1"/>
                      <c:pt idx="0">
                        <c:v>F0064 LM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rgbClr val="00B0F0"/>
                    </a:solidFill>
                    <a:ln w="9525">
                      <a:solidFill>
                        <a:srgbClr val="00B0F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60L'!$R$51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322.59326173051551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60L'!$T$51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124.82594810263446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BC7-4F95-8300-D59C651E23E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60L'!$D$52</c15:sqref>
                        </c15:formulaRef>
                      </c:ext>
                    </c:extLst>
                    <c:strCache>
                      <c:ptCount val="1"/>
                      <c:pt idx="0">
                        <c:v>F0064 Hempel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rgbClr val="92D050"/>
                    </a:solidFill>
                    <a:ln w="9525">
                      <a:solidFill>
                        <a:srgbClr val="92D05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60L'!$R$52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211.31109004828343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60L'!$T$52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124.82594810263446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BC7-4F95-8300-D59C651E23E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60L'!$D$53</c15:sqref>
                        </c15:formulaRef>
                      </c:ext>
                    </c:extLst>
                    <c:strCache>
                      <c:ptCount val="1"/>
                      <c:pt idx="0">
                        <c:v>F0064 SGRE 2020.11.12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8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60L'!$R$53</c15:sqref>
                        </c15:formulaRef>
                      </c:ext>
                    </c:extLst>
                    <c:numCache>
                      <c:formatCode>0.000000000</c:formatCode>
                      <c:ptCount val="1"/>
                      <c:pt idx="0">
                        <c:v>23.127519500550779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 Vestas G27 60L'!$T$53</c15:sqref>
                        </c15:formulaRef>
                      </c:ext>
                    </c:extLst>
                    <c:numCache>
                      <c:formatCode>0.0</c:formatCode>
                      <c:ptCount val="1"/>
                      <c:pt idx="0">
                        <c:v>154.78417564726669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BC7-4F95-8300-D59C651E23EB}"/>
                  </c:ext>
                </c:extLst>
              </c15:ser>
            </c15:filteredScatterSeries>
          </c:ext>
        </c:extLst>
      </c:scatterChart>
      <c:valAx>
        <c:axId val="530717344"/>
        <c:scaling>
          <c:logBase val="10"/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Impingment (accumulated impacted water column) 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speed [m/s]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da-DK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Impingment</a:t>
            </a:r>
            <a:r>
              <a:rPr lang="da-DK" baseline="0"/>
              <a:t> to incubation failure 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G27 60L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'G27 60L (impacts;velo)'!$A$2:$A$44</c:f>
              <c:numCache>
                <c:formatCode>0.00E+00</c:formatCode>
                <c:ptCount val="43"/>
                <c:pt idx="0">
                  <c:v>15758.206889405415</c:v>
                </c:pt>
                <c:pt idx="1">
                  <c:v>13617.34463367356</c:v>
                </c:pt>
                <c:pt idx="2">
                  <c:v>470.06761926483398</c:v>
                </c:pt>
                <c:pt idx="3">
                  <c:v>626.75682568644538</c:v>
                </c:pt>
                <c:pt idx="4">
                  <c:v>783.44603210805667</c:v>
                </c:pt>
                <c:pt idx="5">
                  <c:v>940.13523852966796</c:v>
                </c:pt>
                <c:pt idx="6">
                  <c:v>1096.8244449512792</c:v>
                </c:pt>
                <c:pt idx="7">
                  <c:v>1253.5136513728908</c:v>
                </c:pt>
                <c:pt idx="8">
                  <c:v>1410.2028577945018</c:v>
                </c:pt>
                <c:pt idx="9">
                  <c:v>1566.8920642161133</c:v>
                </c:pt>
                <c:pt idx="10">
                  <c:v>1723.5812706377249</c:v>
                </c:pt>
                <c:pt idx="11">
                  <c:v>626.75682568644538</c:v>
                </c:pt>
                <c:pt idx="12">
                  <c:v>783.44603210805667</c:v>
                </c:pt>
                <c:pt idx="13">
                  <c:v>940.13523852966796</c:v>
                </c:pt>
                <c:pt idx="14">
                  <c:v>1096.8244449512792</c:v>
                </c:pt>
                <c:pt idx="15">
                  <c:v>1253.5136513728908</c:v>
                </c:pt>
                <c:pt idx="16">
                  <c:v>1410.2028577945018</c:v>
                </c:pt>
                <c:pt idx="17">
                  <c:v>1723.5812706377249</c:v>
                </c:pt>
                <c:pt idx="18">
                  <c:v>1880.2704770593359</c:v>
                </c:pt>
                <c:pt idx="19">
                  <c:v>783.44603210805667</c:v>
                </c:pt>
                <c:pt idx="20">
                  <c:v>940.13523852966796</c:v>
                </c:pt>
                <c:pt idx="21">
                  <c:v>1096.8244449512792</c:v>
                </c:pt>
                <c:pt idx="22">
                  <c:v>1253.5136513728908</c:v>
                </c:pt>
                <c:pt idx="23">
                  <c:v>1410.2028577945018</c:v>
                </c:pt>
                <c:pt idx="24">
                  <c:v>1566.8920642161133</c:v>
                </c:pt>
                <c:pt idx="25">
                  <c:v>2550.8950269241709</c:v>
                </c:pt>
                <c:pt idx="26">
                  <c:v>2943.3404156817351</c:v>
                </c:pt>
                <c:pt idx="27">
                  <c:v>3139.5631100605183</c:v>
                </c:pt>
                <c:pt idx="28">
                  <c:v>4513.1219707119944</c:v>
                </c:pt>
                <c:pt idx="29">
                  <c:v>2158.4496381666058</c:v>
                </c:pt>
                <c:pt idx="30">
                  <c:v>2354.6723325453881</c:v>
                </c:pt>
                <c:pt idx="31">
                  <c:v>2550.8950269241709</c:v>
                </c:pt>
                <c:pt idx="32">
                  <c:v>2747.1177213029532</c:v>
                </c:pt>
                <c:pt idx="33">
                  <c:v>2943.3404156817351</c:v>
                </c:pt>
                <c:pt idx="34">
                  <c:v>3924.4538875756475</c:v>
                </c:pt>
                <c:pt idx="35">
                  <c:v>4513.1219707119944</c:v>
                </c:pt>
                <c:pt idx="36">
                  <c:v>1962.2269437878238</c:v>
                </c:pt>
                <c:pt idx="37">
                  <c:v>2158.4496381666058</c:v>
                </c:pt>
                <c:pt idx="38">
                  <c:v>2354.6723325453881</c:v>
                </c:pt>
                <c:pt idx="39">
                  <c:v>2550.8950269241709</c:v>
                </c:pt>
                <c:pt idx="40">
                  <c:v>2747.1177213029532</c:v>
                </c:pt>
                <c:pt idx="41">
                  <c:v>3335.7858044393001</c:v>
                </c:pt>
                <c:pt idx="42">
                  <c:v>4513.1219707119944</c:v>
                </c:pt>
              </c:numCache>
            </c:numRef>
          </c:xVal>
          <c:yVal>
            <c:numRef>
              <c:f>'New Vestas G27 60L'!$X$7:$X$49</c:f>
              <c:numCache>
                <c:formatCode>General</c:formatCode>
                <c:ptCount val="43"/>
                <c:pt idx="0" formatCode="0.00E+00">
                  <c:v>3.5115944195112589E-2</c:v>
                </c:pt>
                <c:pt idx="1">
                  <c:v>3.252442637529742E-2</c:v>
                </c:pt>
                <c:pt idx="2">
                  <c:v>7.6451056804510642E-2</c:v>
                </c:pt>
                <c:pt idx="3">
                  <c:v>7.4493020671554847E-2</c:v>
                </c:pt>
                <c:pt idx="4">
                  <c:v>6.5925784656394135E-2</c:v>
                </c:pt>
                <c:pt idx="5">
                  <c:v>6.4944052058859017E-2</c:v>
                </c:pt>
                <c:pt idx="6">
                  <c:v>6.3416209034051207E-2</c:v>
                </c:pt>
                <c:pt idx="7">
                  <c:v>6.1416432584628616E-2</c:v>
                </c:pt>
                <c:pt idx="8">
                  <c:v>5.8092982255365751E-2</c:v>
                </c:pt>
                <c:pt idx="9">
                  <c:v>4.9772035843508054E-2</c:v>
                </c:pt>
                <c:pt idx="10">
                  <c:v>4.9089418399388379E-2</c:v>
                </c:pt>
                <c:pt idx="11">
                  <c:v>6.9664706025259468E-2</c:v>
                </c:pt>
                <c:pt idx="12">
                  <c:v>6.8768327046843478E-2</c:v>
                </c:pt>
                <c:pt idx="13">
                  <c:v>6.7820495226105476E-2</c:v>
                </c:pt>
                <c:pt idx="14">
                  <c:v>6.7334785142997289E-2</c:v>
                </c:pt>
                <c:pt idx="15">
                  <c:v>6.437349628870212E-2</c:v>
                </c:pt>
                <c:pt idx="16">
                  <c:v>6.3539644419278299E-2</c:v>
                </c:pt>
                <c:pt idx="17">
                  <c:v>5.674989593327015E-2</c:v>
                </c:pt>
                <c:pt idx="18">
                  <c:v>5.4469228512949545E-2</c:v>
                </c:pt>
                <c:pt idx="19">
                  <c:v>7.3691748175305896E-2</c:v>
                </c:pt>
                <c:pt idx="20">
                  <c:v>6.8849065210035379E-2</c:v>
                </c:pt>
                <c:pt idx="21">
                  <c:v>6.3421114603097656E-2</c:v>
                </c:pt>
                <c:pt idx="22">
                  <c:v>6.2675680845554554E-2</c:v>
                </c:pt>
                <c:pt idx="23">
                  <c:v>6.0899192397184415E-2</c:v>
                </c:pt>
                <c:pt idx="24">
                  <c:v>5.7422834821048249E-2</c:v>
                </c:pt>
                <c:pt idx="25">
                  <c:v>5.2064725892779315E-2</c:v>
                </c:pt>
                <c:pt idx="26">
                  <c:v>4.9566299170730986E-2</c:v>
                </c:pt>
                <c:pt idx="27">
                  <c:v>4.6238650654597022E-2</c:v>
                </c:pt>
                <c:pt idx="28">
                  <c:v>4.4618182401749994E-2</c:v>
                </c:pt>
                <c:pt idx="29">
                  <c:v>5.3282161383062798E-2</c:v>
                </c:pt>
                <c:pt idx="30">
                  <c:v>5.1249993651282105E-2</c:v>
                </c:pt>
                <c:pt idx="31">
                  <c:v>5.0567644907169543E-2</c:v>
                </c:pt>
                <c:pt idx="32">
                  <c:v>4.7723684389911342E-2</c:v>
                </c:pt>
                <c:pt idx="33">
                  <c:v>4.4671018073585617E-2</c:v>
                </c:pt>
                <c:pt idx="34">
                  <c:v>4.3306390152360853E-2</c:v>
                </c:pt>
                <c:pt idx="35">
                  <c:v>4.1029534583559887E-2</c:v>
                </c:pt>
                <c:pt idx="36">
                  <c:v>5.3812319736201285E-2</c:v>
                </c:pt>
                <c:pt idx="37">
                  <c:v>5.2166905425000035E-2</c:v>
                </c:pt>
                <c:pt idx="38">
                  <c:v>5.1208509006679094E-2</c:v>
                </c:pt>
                <c:pt idx="39">
                  <c:v>5.0156325790842546E-2</c:v>
                </c:pt>
                <c:pt idx="40">
                  <c:v>4.9828479867964855E-2</c:v>
                </c:pt>
                <c:pt idx="41">
                  <c:v>4.7783763464978785E-2</c:v>
                </c:pt>
                <c:pt idx="42">
                  <c:v>4.6037148945249379E-2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7-45F0-9E0D-2987223E82ED}"/>
            </c:ext>
          </c:extLst>
        </c:ser>
        <c:ser>
          <c:idx val="1"/>
          <c:order val="1"/>
          <c:tx>
            <c:v>G27 60L fit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'G27 60L (impacts;velo)'!$N$2:$N$102</c:f>
              <c:numCache>
                <c:formatCode>0.000</c:formatCode>
                <c:ptCount val="101"/>
                <c:pt idx="0">
                  <c:v>15758.206889405428</c:v>
                </c:pt>
                <c:pt idx="1">
                  <c:v>15605.325496704039</c:v>
                </c:pt>
                <c:pt idx="2">
                  <c:v>15452.444104002621</c:v>
                </c:pt>
                <c:pt idx="3">
                  <c:v>15299.562711301212</c:v>
                </c:pt>
                <c:pt idx="4">
                  <c:v>15146.681318599807</c:v>
                </c:pt>
                <c:pt idx="5">
                  <c:v>14993.799925898415</c:v>
                </c:pt>
                <c:pt idx="6">
                  <c:v>14840.918533197013</c:v>
                </c:pt>
                <c:pt idx="7">
                  <c:v>14688.037140495597</c:v>
                </c:pt>
                <c:pt idx="8">
                  <c:v>14535.155747794184</c:v>
                </c:pt>
                <c:pt idx="9">
                  <c:v>14382.274355092801</c:v>
                </c:pt>
                <c:pt idx="10">
                  <c:v>14229.392962391379</c:v>
                </c:pt>
                <c:pt idx="11">
                  <c:v>14076.511569689974</c:v>
                </c:pt>
                <c:pt idx="12">
                  <c:v>13923.630176988585</c:v>
                </c:pt>
                <c:pt idx="13">
                  <c:v>13770.748784287172</c:v>
                </c:pt>
                <c:pt idx="14">
                  <c:v>13617.867391585753</c:v>
                </c:pt>
                <c:pt idx="15">
                  <c:v>13464.985998884355</c:v>
                </c:pt>
                <c:pt idx="16">
                  <c:v>13312.104606182957</c:v>
                </c:pt>
                <c:pt idx="17">
                  <c:v>13159.223213481517</c:v>
                </c:pt>
                <c:pt idx="18">
                  <c:v>13006.341820780128</c:v>
                </c:pt>
                <c:pt idx="19">
                  <c:v>12853.46042807873</c:v>
                </c:pt>
                <c:pt idx="20">
                  <c:v>12700.579035377321</c:v>
                </c:pt>
                <c:pt idx="21">
                  <c:v>12547.697642675912</c:v>
                </c:pt>
                <c:pt idx="22">
                  <c:v>12394.816249974496</c:v>
                </c:pt>
                <c:pt idx="23">
                  <c:v>12241.934857273114</c:v>
                </c:pt>
                <c:pt idx="24">
                  <c:v>12089.053464571711</c:v>
                </c:pt>
                <c:pt idx="25">
                  <c:v>11936.172071870295</c:v>
                </c:pt>
                <c:pt idx="26">
                  <c:v>11783.290679168871</c:v>
                </c:pt>
                <c:pt idx="27">
                  <c:v>11630.409286467477</c:v>
                </c:pt>
                <c:pt idx="28">
                  <c:v>11477.527893766059</c:v>
                </c:pt>
                <c:pt idx="29">
                  <c:v>11324.646501064668</c:v>
                </c:pt>
                <c:pt idx="30">
                  <c:v>11171.765108363259</c:v>
                </c:pt>
                <c:pt idx="31">
                  <c:v>11018.883715661845</c:v>
                </c:pt>
                <c:pt idx="32">
                  <c:v>10866.002322960443</c:v>
                </c:pt>
                <c:pt idx="33">
                  <c:v>10713.120930259038</c:v>
                </c:pt>
                <c:pt idx="34">
                  <c:v>10560.23953755764</c:v>
                </c:pt>
                <c:pt idx="35">
                  <c:v>10407.358144856249</c:v>
                </c:pt>
                <c:pt idx="36">
                  <c:v>10254.476752154826</c:v>
                </c:pt>
                <c:pt idx="37">
                  <c:v>10101.595359453429</c:v>
                </c:pt>
                <c:pt idx="38">
                  <c:v>9948.7139667520096</c:v>
                </c:pt>
                <c:pt idx="39">
                  <c:v>9795.8325740506061</c:v>
                </c:pt>
                <c:pt idx="40">
                  <c:v>9642.9511813491918</c:v>
                </c:pt>
                <c:pt idx="41">
                  <c:v>9490.0697886477974</c:v>
                </c:pt>
                <c:pt idx="42">
                  <c:v>9337.1883959463848</c:v>
                </c:pt>
                <c:pt idx="43">
                  <c:v>9184.3070032449759</c:v>
                </c:pt>
                <c:pt idx="44">
                  <c:v>9031.4256105435743</c:v>
                </c:pt>
                <c:pt idx="45">
                  <c:v>8878.5442178421599</c:v>
                </c:pt>
                <c:pt idx="46">
                  <c:v>8725.6628251407583</c:v>
                </c:pt>
                <c:pt idx="47">
                  <c:v>8572.7814324393585</c:v>
                </c:pt>
                <c:pt idx="48">
                  <c:v>8419.9000397379568</c:v>
                </c:pt>
                <c:pt idx="49">
                  <c:v>8267.0186470365388</c:v>
                </c:pt>
                <c:pt idx="50">
                  <c:v>8114.1372543351372</c:v>
                </c:pt>
                <c:pt idx="51">
                  <c:v>7961.2558616337328</c:v>
                </c:pt>
                <c:pt idx="52">
                  <c:v>7808.3744689323321</c:v>
                </c:pt>
                <c:pt idx="53">
                  <c:v>7655.4930762309177</c:v>
                </c:pt>
                <c:pt idx="54">
                  <c:v>7502.6116835295143</c:v>
                </c:pt>
                <c:pt idx="55">
                  <c:v>7349.7302908281163</c:v>
                </c:pt>
                <c:pt idx="56">
                  <c:v>7196.8488981267101</c:v>
                </c:pt>
                <c:pt idx="57">
                  <c:v>7043.9675054252912</c:v>
                </c:pt>
                <c:pt idx="58">
                  <c:v>6891.0861127238877</c:v>
                </c:pt>
                <c:pt idx="59">
                  <c:v>6738.2047200224806</c:v>
                </c:pt>
                <c:pt idx="60">
                  <c:v>6585.3233273210772</c:v>
                </c:pt>
                <c:pt idx="61">
                  <c:v>6432.4419346196728</c:v>
                </c:pt>
                <c:pt idx="62">
                  <c:v>6279.5605419182657</c:v>
                </c:pt>
                <c:pt idx="63">
                  <c:v>6126.6791492168531</c:v>
                </c:pt>
                <c:pt idx="64">
                  <c:v>5973.7977565154551</c:v>
                </c:pt>
                <c:pt idx="65">
                  <c:v>5820.9163638140453</c:v>
                </c:pt>
                <c:pt idx="66">
                  <c:v>5668.0349711126437</c:v>
                </c:pt>
                <c:pt idx="67">
                  <c:v>5515.1535784112339</c:v>
                </c:pt>
                <c:pt idx="68">
                  <c:v>5362.2721857098231</c:v>
                </c:pt>
                <c:pt idx="69">
                  <c:v>5209.3907930084215</c:v>
                </c:pt>
                <c:pt idx="70">
                  <c:v>5056.5094003070208</c:v>
                </c:pt>
                <c:pt idx="71">
                  <c:v>4903.6280076056073</c:v>
                </c:pt>
                <c:pt idx="72">
                  <c:v>4750.7466149042048</c:v>
                </c:pt>
                <c:pt idx="73">
                  <c:v>4597.8652222028022</c:v>
                </c:pt>
                <c:pt idx="74">
                  <c:v>4444.9838295013951</c:v>
                </c:pt>
                <c:pt idx="75">
                  <c:v>4292.1024367999844</c:v>
                </c:pt>
                <c:pt idx="76">
                  <c:v>4139.2210440985782</c:v>
                </c:pt>
                <c:pt idx="77">
                  <c:v>3986.3396513971743</c:v>
                </c:pt>
                <c:pt idx="78">
                  <c:v>3833.4582586957686</c:v>
                </c:pt>
                <c:pt idx="79">
                  <c:v>3680.5768659943606</c:v>
                </c:pt>
                <c:pt idx="80">
                  <c:v>3527.6954732929571</c:v>
                </c:pt>
                <c:pt idx="81">
                  <c:v>3374.8140805915473</c:v>
                </c:pt>
                <c:pt idx="82">
                  <c:v>3221.9326878901406</c:v>
                </c:pt>
                <c:pt idx="83">
                  <c:v>3069.0512951887372</c:v>
                </c:pt>
                <c:pt idx="84">
                  <c:v>2916.1699024873301</c:v>
                </c:pt>
                <c:pt idx="85">
                  <c:v>2763.2885097859244</c:v>
                </c:pt>
                <c:pt idx="86">
                  <c:v>2610.4071170845195</c:v>
                </c:pt>
                <c:pt idx="87">
                  <c:v>2457.5257243831124</c:v>
                </c:pt>
                <c:pt idx="88">
                  <c:v>2304.6443316817058</c:v>
                </c:pt>
                <c:pt idx="89">
                  <c:v>2151.7629389802996</c:v>
                </c:pt>
                <c:pt idx="90">
                  <c:v>1998.881546278893</c:v>
                </c:pt>
                <c:pt idx="91">
                  <c:v>1846.0001535774877</c:v>
                </c:pt>
                <c:pt idx="92">
                  <c:v>1693.1187608760831</c:v>
                </c:pt>
                <c:pt idx="93">
                  <c:v>1540.2373681746765</c:v>
                </c:pt>
                <c:pt idx="94">
                  <c:v>1387.3559754732717</c:v>
                </c:pt>
                <c:pt idx="95">
                  <c:v>1234.4745827718618</c:v>
                </c:pt>
                <c:pt idx="96">
                  <c:v>1081.5931900704575</c:v>
                </c:pt>
                <c:pt idx="97">
                  <c:v>928.71179736905151</c:v>
                </c:pt>
                <c:pt idx="98">
                  <c:v>775.83040466764646</c:v>
                </c:pt>
                <c:pt idx="99">
                  <c:v>622.94901196624096</c:v>
                </c:pt>
                <c:pt idx="100">
                  <c:v>470.0676192648354</c:v>
                </c:pt>
              </c:numCache>
            </c:numRef>
          </c:xVal>
          <c:yVal>
            <c:numRef>
              <c:f>'G27 60L (impacts;velo)'!$O$2:$O$102</c:f>
              <c:numCache>
                <c:formatCode>0</c:formatCode>
                <c:ptCount val="101"/>
                <c:pt idx="0">
                  <c:v>94.749439849172944</c:v>
                </c:pt>
                <c:pt idx="1">
                  <c:v>94.868325258856544</c:v>
                </c:pt>
                <c:pt idx="2">
                  <c:v>94.988532490945019</c:v>
                </c:pt>
                <c:pt idx="3">
                  <c:v>95.11008953978623</c:v>
                </c:pt>
                <c:pt idx="4">
                  <c:v>95.23302527990036</c:v>
                </c:pt>
                <c:pt idx="5">
                  <c:v>95.35736950287054</c:v>
                </c:pt>
                <c:pt idx="6">
                  <c:v>95.483152956172717</c:v>
                </c:pt>
                <c:pt idx="7">
                  <c:v>95.610407384069575</c:v>
                </c:pt>
                <c:pt idx="8">
                  <c:v>95.739165570699939</c:v>
                </c:pt>
                <c:pt idx="9">
                  <c:v>95.869461385507421</c:v>
                </c:pt>
                <c:pt idx="10">
                  <c:v>96.001329831159907</c:v>
                </c:pt>
                <c:pt idx="11">
                  <c:v>96.134807094126089</c:v>
                </c:pt>
                <c:pt idx="12">
                  <c:v>96.269930598086816</c:v>
                </c:pt>
                <c:pt idx="13">
                  <c:v>96.406739060372658</c:v>
                </c:pt>
                <c:pt idx="14">
                  <c:v>96.545272551635875</c:v>
                </c:pt>
                <c:pt idx="15">
                  <c:v>96.685572558979374</c:v>
                </c:pt>
                <c:pt idx="16">
                  <c:v>96.827682052786741</c:v>
                </c:pt>
                <c:pt idx="17">
                  <c:v>96.971645557513114</c:v>
                </c:pt>
                <c:pt idx="18">
                  <c:v>97.117509226723328</c:v>
                </c:pt>
                <c:pt idx="19">
                  <c:v>97.265320922683131</c:v>
                </c:pt>
                <c:pt idx="20">
                  <c:v>97.415130300839294</c:v>
                </c:pt>
                <c:pt idx="21">
                  <c:v>97.566988899550836</c:v>
                </c:pt>
                <c:pt idx="22">
                  <c:v>97.720950235466276</c:v>
                </c:pt>
                <c:pt idx="23">
                  <c:v>97.87706990497756</c:v>
                </c:pt>
                <c:pt idx="24">
                  <c:v>98.035405692217779</c:v>
                </c:pt>
                <c:pt idx="25">
                  <c:v>98.196017684114892</c:v>
                </c:pt>
                <c:pt idx="26">
                  <c:v>98.358968393058177</c:v>
                </c:pt>
                <c:pt idx="27">
                  <c:v>98.524322887787861</c:v>
                </c:pt>
                <c:pt idx="28">
                  <c:v>98.692148933176227</c:v>
                </c:pt>
                <c:pt idx="29">
                  <c:v>98.862517139629176</c:v>
                </c:pt>
                <c:pt idx="30">
                  <c:v>99.035501122913885</c:v>
                </c:pt>
                <c:pt idx="31">
                  <c:v>99.211177675289846</c:v>
                </c:pt>
                <c:pt idx="32">
                  <c:v>99.389626948916003</c:v>
                </c:pt>
                <c:pt idx="33">
                  <c:v>99.570932652598245</c:v>
                </c:pt>
                <c:pt idx="34">
                  <c:v>99.75518226305482</c:v>
                </c:pt>
                <c:pt idx="35">
                  <c:v>99.942467251998593</c:v>
                </c:pt>
                <c:pt idx="36">
                  <c:v>100.13288333047167</c:v>
                </c:pt>
                <c:pt idx="37">
                  <c:v>100.3265307120223</c:v>
                </c:pt>
                <c:pt idx="38">
                  <c:v>100.52351439648791</c:v>
                </c:pt>
                <c:pt idx="39">
                  <c:v>100.72394447634045</c:v>
                </c:pt>
                <c:pt idx="40">
                  <c:v>100.92793646777304</c:v>
                </c:pt>
                <c:pt idx="41">
                  <c:v>101.13561166895387</c:v>
                </c:pt>
                <c:pt idx="42">
                  <c:v>101.34709754815297</c:v>
                </c:pt>
                <c:pt idx="43">
                  <c:v>101.56252816476925</c:v>
                </c:pt>
                <c:pt idx="44">
                  <c:v>101.78204462664668</c:v>
                </c:pt>
                <c:pt idx="45">
                  <c:v>102.00579558747991</c:v>
                </c:pt>
                <c:pt idx="46">
                  <c:v>102.23393778858372</c:v>
                </c:pt>
                <c:pt idx="47">
                  <c:v>102.46663664983669</c:v>
                </c:pt>
                <c:pt idx="48">
                  <c:v>102.70406691523009</c:v>
                </c:pt>
                <c:pt idx="49">
                  <c:v>102.94641335916248</c:v>
                </c:pt>
                <c:pt idx="50">
                  <c:v>103.19387156043778</c:v>
                </c:pt>
                <c:pt idx="51">
                  <c:v>103.44664875187028</c:v>
                </c:pt>
                <c:pt idx="52">
                  <c:v>103.70496475449373</c:v>
                </c:pt>
                <c:pt idx="53">
                  <c:v>103.96905300664267</c:v>
                </c:pt>
                <c:pt idx="54">
                  <c:v>104.23916169965061</c:v>
                </c:pt>
                <c:pt idx="55">
                  <c:v>104.51555503363878</c:v>
                </c:pt>
                <c:pt idx="56">
                  <c:v>104.79851460888902</c:v>
                </c:pt>
                <c:pt idx="57">
                  <c:v>105.08834097067064</c:v>
                </c:pt>
                <c:pt idx="58">
                  <c:v>105.38535532819222</c:v>
                </c:pt>
                <c:pt idx="59">
                  <c:v>105.68990147165681</c:v>
                </c:pt>
                <c:pt idx="60">
                  <c:v>106.00234791533367</c:v>
                </c:pt>
                <c:pt idx="61">
                  <c:v>106.32309029923881</c:v>
                </c:pt>
                <c:pt idx="62">
                  <c:v>106.65255408761629</c:v>
                </c:pt>
                <c:pt idx="63">
                  <c:v>106.99119760913345</c:v>
                </c:pt>
                <c:pt idx="64">
                  <c:v>107.33951549181501</c:v>
                </c:pt>
                <c:pt idx="65">
                  <c:v>107.69804255554982</c:v>
                </c:pt>
                <c:pt idx="66">
                  <c:v>108.06735823696381</c:v>
                </c:pt>
                <c:pt idx="67">
                  <c:v>108.44809163604603</c:v>
                </c:pt>
                <c:pt idx="68">
                  <c:v>108.84092729188035</c:v>
                </c:pt>
                <c:pt idx="69">
                  <c:v>109.24661181701391</c:v>
                </c:pt>
                <c:pt idx="70">
                  <c:v>109.66596154755797</c:v>
                </c:pt>
                <c:pt idx="71">
                  <c:v>110.09987140059411</c:v>
                </c:pt>
                <c:pt idx="72">
                  <c:v>110.54932517380239</c:v>
                </c:pt>
                <c:pt idx="73">
                  <c:v>111.01540757716718</c:v>
                </c:pt>
                <c:pt idx="74">
                  <c:v>111.49931835665937</c:v>
                </c:pt>
                <c:pt idx="75">
                  <c:v>112.00238895985314</c:v>
                </c:pt>
                <c:pt idx="76">
                  <c:v>112.52610231010229</c:v>
                </c:pt>
                <c:pt idx="77">
                  <c:v>113.07211640838621</c:v>
                </c:pt>
                <c:pt idx="78">
                  <c:v>113.64229268303744</c:v>
                </c:pt>
                <c:pt idx="79">
                  <c:v>114.23873027543871</c:v>
                </c:pt>
                <c:pt idx="80">
                  <c:v>114.86380781034327</c:v>
                </c:pt>
                <c:pt idx="81">
                  <c:v>115.52023469041008</c:v>
                </c:pt>
                <c:pt idx="82">
                  <c:v>116.21111463121133</c:v>
                </c:pt>
                <c:pt idx="83">
                  <c:v>116.94002509817804</c:v>
                </c:pt>
                <c:pt idx="84">
                  <c:v>117.71111764653008</c:v>
                </c:pt>
                <c:pt idx="85">
                  <c:v>118.52924609401947</c:v>
                </c:pt>
                <c:pt idx="86">
                  <c:v>119.40013228207917</c:v>
                </c:pt>
                <c:pt idx="87">
                  <c:v>120.33058340068497</c:v>
                </c:pt>
                <c:pt idx="88">
                  <c:v>121.32878128833792</c:v>
                </c:pt>
                <c:pt idx="89">
                  <c:v>122.40467416915912</c:v>
                </c:pt>
                <c:pt idx="90">
                  <c:v>123.57051740392396</c:v>
                </c:pt>
                <c:pt idx="91">
                  <c:v>124.84163645160963</c:v>
                </c:pt>
                <c:pt idx="92">
                  <c:v>126.23753072806882</c:v>
                </c:pt>
                <c:pt idx="93">
                  <c:v>127.78351787718852</c:v>
                </c:pt>
                <c:pt idx="94">
                  <c:v>129.51326825201693</c:v>
                </c:pt>
                <c:pt idx="95">
                  <c:v>131.47287415548496</c:v>
                </c:pt>
                <c:pt idx="96">
                  <c:v>133.7277147234785</c:v>
                </c:pt>
                <c:pt idx="97">
                  <c:v>136.37477110573002</c:v>
                </c:pt>
                <c:pt idx="98">
                  <c:v>139.56652443438028</c:v>
                </c:pt>
                <c:pt idx="99">
                  <c:v>143.56243422306133</c:v>
                </c:pt>
                <c:pt idx="100">
                  <c:v>148.85736298171392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7-45F0-9E0D-2987223E82ED}"/>
            </c:ext>
          </c:extLst>
        </c:ser>
        <c:ser>
          <c:idx val="2"/>
          <c:order val="2"/>
          <c:tx>
            <c:v>G20 120L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'G20 120L (impacts;velo)'!$A$2:$A$32</c:f>
              <c:numCache>
                <c:formatCode>0.00E+00</c:formatCode>
                <c:ptCount val="31"/>
                <c:pt idx="0">
                  <c:v>624.79924025529658</c:v>
                </c:pt>
                <c:pt idx="1">
                  <c:v>1041.332067092161</c:v>
                </c:pt>
                <c:pt idx="2">
                  <c:v>1249.5984805105932</c:v>
                </c:pt>
                <c:pt idx="3">
                  <c:v>416.53282683686444</c:v>
                </c:pt>
                <c:pt idx="4">
                  <c:v>624.79924025529658</c:v>
                </c:pt>
                <c:pt idx="5">
                  <c:v>833.06565367372889</c:v>
                </c:pt>
                <c:pt idx="6">
                  <c:v>1249.5984805105932</c:v>
                </c:pt>
                <c:pt idx="7">
                  <c:v>416.53282683686444</c:v>
                </c:pt>
                <c:pt idx="8">
                  <c:v>624.79924025529658</c:v>
                </c:pt>
                <c:pt idx="9">
                  <c:v>833.06565367372889</c:v>
                </c:pt>
                <c:pt idx="10">
                  <c:v>1249.5984805105932</c:v>
                </c:pt>
                <c:pt idx="11">
                  <c:v>1564.8785665405082</c:v>
                </c:pt>
                <c:pt idx="12">
                  <c:v>1825.6916609639266</c:v>
                </c:pt>
                <c:pt idx="13">
                  <c:v>2086.5047553873446</c:v>
                </c:pt>
                <c:pt idx="14">
                  <c:v>2347.3178498107627</c:v>
                </c:pt>
                <c:pt idx="15">
                  <c:v>2868.9440386575989</c:v>
                </c:pt>
                <c:pt idx="16">
                  <c:v>3129.7571330810165</c:v>
                </c:pt>
                <c:pt idx="17">
                  <c:v>1043.2523776936723</c:v>
                </c:pt>
                <c:pt idx="18">
                  <c:v>1304.0654721170904</c:v>
                </c:pt>
                <c:pt idx="19">
                  <c:v>1564.8785665405082</c:v>
                </c:pt>
                <c:pt idx="20">
                  <c:v>1825.6916609639266</c:v>
                </c:pt>
                <c:pt idx="21">
                  <c:v>2347.3178498107627</c:v>
                </c:pt>
                <c:pt idx="22">
                  <c:v>2608.1309442341808</c:v>
                </c:pt>
                <c:pt idx="23">
                  <c:v>2868.9440386575989</c:v>
                </c:pt>
                <c:pt idx="24">
                  <c:v>1304.0654721170904</c:v>
                </c:pt>
                <c:pt idx="25">
                  <c:v>1564.8785665405082</c:v>
                </c:pt>
                <c:pt idx="26">
                  <c:v>2086.5047553873446</c:v>
                </c:pt>
                <c:pt idx="27">
                  <c:v>2347.3178498107627</c:v>
                </c:pt>
                <c:pt idx="28">
                  <c:v>2608.1309442341808</c:v>
                </c:pt>
                <c:pt idx="29">
                  <c:v>6703.6297361842389</c:v>
                </c:pt>
                <c:pt idx="30">
                  <c:v>5586.3581134868664</c:v>
                </c:pt>
              </c:numCache>
            </c:numRef>
          </c:xVal>
          <c:yVal>
            <c:numRef>
              <c:f>'New Vestas G20 120L'!$X$7:$X$37</c:f>
              <c:numCache>
                <c:formatCode>General</c:formatCode>
                <c:ptCount val="31"/>
                <c:pt idx="0">
                  <c:v>0.21523718362893049</c:v>
                </c:pt>
                <c:pt idx="1">
                  <c:v>0.18661365980874997</c:v>
                </c:pt>
                <c:pt idx="2">
                  <c:v>0.16105250229979537</c:v>
                </c:pt>
                <c:pt idx="3">
                  <c:v>0.23351108761240263</c:v>
                </c:pt>
                <c:pt idx="4">
                  <c:v>0.22283398040441765</c:v>
                </c:pt>
                <c:pt idx="5">
                  <c:v>0.18811139999220489</c:v>
                </c:pt>
                <c:pt idx="6">
                  <c:v>0.17286987651768485</c:v>
                </c:pt>
                <c:pt idx="7">
                  <c:v>0.22799113112402114</c:v>
                </c:pt>
                <c:pt idx="8">
                  <c:v>0.19991877742223157</c:v>
                </c:pt>
                <c:pt idx="9">
                  <c:v>0.17458919979862561</c:v>
                </c:pt>
                <c:pt idx="10">
                  <c:v>0.17230502574122131</c:v>
                </c:pt>
                <c:pt idx="11">
                  <c:v>0.1756327218355794</c:v>
                </c:pt>
                <c:pt idx="12">
                  <c:v>0.15203223025200766</c:v>
                </c:pt>
                <c:pt idx="13">
                  <c:v>0.14566422553141214</c:v>
                </c:pt>
                <c:pt idx="14">
                  <c:v>0.13992109159013547</c:v>
                </c:pt>
                <c:pt idx="15">
                  <c:v>0.13007485531930812</c:v>
                </c:pt>
                <c:pt idx="16">
                  <c:v>0.12755265610928382</c:v>
                </c:pt>
                <c:pt idx="17">
                  <c:v>0.1687160440085084</c:v>
                </c:pt>
                <c:pt idx="18">
                  <c:v>0.15723768277154276</c:v>
                </c:pt>
                <c:pt idx="19">
                  <c:v>0.15478470768729413</c:v>
                </c:pt>
                <c:pt idx="20">
                  <c:v>0.14968358465478571</c:v>
                </c:pt>
                <c:pt idx="21">
                  <c:v>0.14710238588361527</c:v>
                </c:pt>
                <c:pt idx="22">
                  <c:v>0.14454363666785958</c:v>
                </c:pt>
                <c:pt idx="23">
                  <c:v>0.12966258203703543</c:v>
                </c:pt>
                <c:pt idx="24">
                  <c:v>0.15800029041531136</c:v>
                </c:pt>
                <c:pt idx="25">
                  <c:v>0.14858922719463774</c:v>
                </c:pt>
                <c:pt idx="26">
                  <c:v>0.14167438401856008</c:v>
                </c:pt>
                <c:pt idx="27">
                  <c:v>0.13800522794903955</c:v>
                </c:pt>
                <c:pt idx="28">
                  <c:v>0.13739838204457172</c:v>
                </c:pt>
                <c:pt idx="29">
                  <c:v>0.11467637106443151</c:v>
                </c:pt>
                <c:pt idx="30">
                  <c:v>0.11104592131825418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A7-45F0-9E0D-2987223E82ED}"/>
            </c:ext>
          </c:extLst>
        </c:ser>
        <c:ser>
          <c:idx val="3"/>
          <c:order val="3"/>
          <c:tx>
            <c:v>Fit G20 120L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'G20 120L (impacts;velo)'!$N$2:$N$102</c:f>
              <c:numCache>
                <c:formatCode>0.000</c:formatCode>
                <c:ptCount val="101"/>
                <c:pt idx="0">
                  <c:v>6703.6297361842471</c:v>
                </c:pt>
                <c:pt idx="1">
                  <c:v>6640.7587670907851</c:v>
                </c:pt>
                <c:pt idx="2">
                  <c:v>6577.8877979973076</c:v>
                </c:pt>
                <c:pt idx="3">
                  <c:v>6515.0168289038256</c:v>
                </c:pt>
                <c:pt idx="4">
                  <c:v>6452.1458598103591</c:v>
                </c:pt>
                <c:pt idx="5">
                  <c:v>6389.2748907168852</c:v>
                </c:pt>
                <c:pt idx="6">
                  <c:v>6326.4039216234114</c:v>
                </c:pt>
                <c:pt idx="7">
                  <c:v>6263.5329525299348</c:v>
                </c:pt>
                <c:pt idx="8">
                  <c:v>6200.6619834364656</c:v>
                </c:pt>
                <c:pt idx="9">
                  <c:v>6137.791014342989</c:v>
                </c:pt>
                <c:pt idx="10">
                  <c:v>6074.9200452495088</c:v>
                </c:pt>
                <c:pt idx="11">
                  <c:v>6012.0490761560413</c:v>
                </c:pt>
                <c:pt idx="12">
                  <c:v>5949.1781070625611</c:v>
                </c:pt>
                <c:pt idx="13">
                  <c:v>5886.30713796909</c:v>
                </c:pt>
                <c:pt idx="14">
                  <c:v>5823.4361688756144</c:v>
                </c:pt>
                <c:pt idx="15">
                  <c:v>5760.5651997821406</c:v>
                </c:pt>
                <c:pt idx="16">
                  <c:v>5697.6942306886731</c:v>
                </c:pt>
                <c:pt idx="17">
                  <c:v>5634.8232615951974</c:v>
                </c:pt>
                <c:pt idx="18">
                  <c:v>5571.9522925017218</c:v>
                </c:pt>
                <c:pt idx="19">
                  <c:v>5509.0813234082516</c:v>
                </c:pt>
                <c:pt idx="20">
                  <c:v>5446.2103543147796</c:v>
                </c:pt>
                <c:pt idx="21">
                  <c:v>5383.3393852212994</c:v>
                </c:pt>
                <c:pt idx="22">
                  <c:v>5320.4684161278274</c:v>
                </c:pt>
                <c:pt idx="23">
                  <c:v>5257.5974470343563</c:v>
                </c:pt>
                <c:pt idx="24">
                  <c:v>5194.7264779408779</c:v>
                </c:pt>
                <c:pt idx="25">
                  <c:v>5131.8555088474031</c:v>
                </c:pt>
                <c:pt idx="26">
                  <c:v>5068.9845397539357</c:v>
                </c:pt>
                <c:pt idx="27">
                  <c:v>5006.1135706604573</c:v>
                </c:pt>
                <c:pt idx="28">
                  <c:v>4943.2426015669835</c:v>
                </c:pt>
                <c:pt idx="29">
                  <c:v>4880.3716324735042</c:v>
                </c:pt>
                <c:pt idx="30">
                  <c:v>4817.5006633800385</c:v>
                </c:pt>
                <c:pt idx="31">
                  <c:v>4754.6296942865674</c:v>
                </c:pt>
                <c:pt idx="32">
                  <c:v>4691.75872519309</c:v>
                </c:pt>
                <c:pt idx="33">
                  <c:v>4628.8877560996152</c:v>
                </c:pt>
                <c:pt idx="34">
                  <c:v>4566.0167870061423</c:v>
                </c:pt>
                <c:pt idx="35">
                  <c:v>4503.1458179126694</c:v>
                </c:pt>
                <c:pt idx="36">
                  <c:v>4440.2748488191964</c:v>
                </c:pt>
                <c:pt idx="37">
                  <c:v>4377.403879725719</c:v>
                </c:pt>
                <c:pt idx="38">
                  <c:v>4314.5329106322433</c:v>
                </c:pt>
                <c:pt idx="39">
                  <c:v>4251.6619415387731</c:v>
                </c:pt>
                <c:pt idx="40">
                  <c:v>4188.7909724452948</c:v>
                </c:pt>
                <c:pt idx="41">
                  <c:v>4125.9200033518209</c:v>
                </c:pt>
                <c:pt idx="42">
                  <c:v>4063.0490342583453</c:v>
                </c:pt>
                <c:pt idx="43">
                  <c:v>4000.1780651648774</c:v>
                </c:pt>
                <c:pt idx="44">
                  <c:v>3937.3070960714031</c:v>
                </c:pt>
                <c:pt idx="45">
                  <c:v>3874.4361269779279</c:v>
                </c:pt>
                <c:pt idx="46">
                  <c:v>3811.5651578844513</c:v>
                </c:pt>
                <c:pt idx="47">
                  <c:v>3748.6941887909838</c:v>
                </c:pt>
                <c:pt idx="48">
                  <c:v>3685.8232196975046</c:v>
                </c:pt>
                <c:pt idx="49">
                  <c:v>3622.9522506040294</c:v>
                </c:pt>
                <c:pt idx="50">
                  <c:v>3560.0812815105596</c:v>
                </c:pt>
                <c:pt idx="51">
                  <c:v>3497.2103124170853</c:v>
                </c:pt>
                <c:pt idx="52">
                  <c:v>3434.3393433236092</c:v>
                </c:pt>
                <c:pt idx="53">
                  <c:v>3371.4683742301345</c:v>
                </c:pt>
                <c:pt idx="54">
                  <c:v>3308.5974051366625</c:v>
                </c:pt>
                <c:pt idx="55">
                  <c:v>3245.72643604319</c:v>
                </c:pt>
                <c:pt idx="56">
                  <c:v>3182.8554669497153</c:v>
                </c:pt>
                <c:pt idx="57">
                  <c:v>3119.9844978562392</c:v>
                </c:pt>
                <c:pt idx="58">
                  <c:v>3057.1135287627662</c:v>
                </c:pt>
                <c:pt idx="59">
                  <c:v>2994.2425596692938</c:v>
                </c:pt>
                <c:pt idx="60">
                  <c:v>2931.3715905758195</c:v>
                </c:pt>
                <c:pt idx="61">
                  <c:v>2868.500621482347</c:v>
                </c:pt>
                <c:pt idx="62">
                  <c:v>2805.6296523888714</c:v>
                </c:pt>
                <c:pt idx="63">
                  <c:v>2742.7586832954003</c:v>
                </c:pt>
                <c:pt idx="64">
                  <c:v>2679.8877142019232</c:v>
                </c:pt>
                <c:pt idx="65">
                  <c:v>2617.0167451084494</c:v>
                </c:pt>
                <c:pt idx="66">
                  <c:v>2554.1457760149774</c:v>
                </c:pt>
                <c:pt idx="67">
                  <c:v>2491.2748069215022</c:v>
                </c:pt>
                <c:pt idx="68">
                  <c:v>2428.4038378280288</c:v>
                </c:pt>
                <c:pt idx="69">
                  <c:v>2365.5328687345559</c:v>
                </c:pt>
                <c:pt idx="70">
                  <c:v>2302.6618996410812</c:v>
                </c:pt>
                <c:pt idx="71">
                  <c:v>2239.7909305476073</c:v>
                </c:pt>
                <c:pt idx="72">
                  <c:v>2176.9199614541335</c:v>
                </c:pt>
                <c:pt idx="73">
                  <c:v>2114.0489923606597</c:v>
                </c:pt>
                <c:pt idx="74">
                  <c:v>2051.1780232671863</c:v>
                </c:pt>
                <c:pt idx="75">
                  <c:v>1988.3070541737127</c:v>
                </c:pt>
                <c:pt idx="76">
                  <c:v>1925.4360850802384</c:v>
                </c:pt>
                <c:pt idx="77">
                  <c:v>1862.5651159867634</c:v>
                </c:pt>
                <c:pt idx="78">
                  <c:v>1799.6941468932903</c:v>
                </c:pt>
                <c:pt idx="79">
                  <c:v>1736.8231777998162</c:v>
                </c:pt>
                <c:pt idx="80">
                  <c:v>1673.9522087063433</c:v>
                </c:pt>
                <c:pt idx="81">
                  <c:v>1611.0812396128676</c:v>
                </c:pt>
                <c:pt idx="82">
                  <c:v>1548.2102705193956</c:v>
                </c:pt>
                <c:pt idx="83">
                  <c:v>1485.3393014259209</c:v>
                </c:pt>
                <c:pt idx="84">
                  <c:v>1422.468332332448</c:v>
                </c:pt>
                <c:pt idx="85">
                  <c:v>1359.5973632389737</c:v>
                </c:pt>
                <c:pt idx="86">
                  <c:v>1296.7263941454983</c:v>
                </c:pt>
                <c:pt idx="87">
                  <c:v>1233.8554250520265</c:v>
                </c:pt>
                <c:pt idx="88">
                  <c:v>1170.9844559585513</c:v>
                </c:pt>
                <c:pt idx="89">
                  <c:v>1108.113486865077</c:v>
                </c:pt>
                <c:pt idx="90">
                  <c:v>1045.2425177716043</c:v>
                </c:pt>
                <c:pt idx="91">
                  <c:v>982.37154867812978</c:v>
                </c:pt>
                <c:pt idx="92">
                  <c:v>919.50057958465607</c:v>
                </c:pt>
                <c:pt idx="93">
                  <c:v>856.62961049118292</c:v>
                </c:pt>
                <c:pt idx="94">
                  <c:v>793.75864139770715</c:v>
                </c:pt>
                <c:pt idx="95">
                  <c:v>730.88767230423389</c:v>
                </c:pt>
                <c:pt idx="96">
                  <c:v>668.01670321076028</c:v>
                </c:pt>
                <c:pt idx="97">
                  <c:v>605.14573411728588</c:v>
                </c:pt>
                <c:pt idx="98">
                  <c:v>542.27476502381307</c:v>
                </c:pt>
                <c:pt idx="99">
                  <c:v>479.40379593033896</c:v>
                </c:pt>
                <c:pt idx="100">
                  <c:v>416.53282683686507</c:v>
                </c:pt>
              </c:numCache>
            </c:numRef>
          </c:xVal>
          <c:yVal>
            <c:numRef>
              <c:f>'G20 120L (impacts;velo)'!$O$2:$O$102</c:f>
              <c:numCache>
                <c:formatCode>0</c:formatCode>
                <c:ptCount val="101"/>
                <c:pt idx="0">
                  <c:v>97.087688831232569</c:v>
                </c:pt>
                <c:pt idx="1">
                  <c:v>97.214232167439448</c:v>
                </c:pt>
                <c:pt idx="2">
                  <c:v>97.342146558217522</c:v>
                </c:pt>
                <c:pt idx="3">
                  <c:v>97.471460177725959</c:v>
                </c:pt>
                <c:pt idx="4">
                  <c:v>97.60220205809803</c:v>
                </c:pt>
                <c:pt idx="5">
                  <c:v>97.734402124232474</c:v>
                </c:pt>
                <c:pt idx="6">
                  <c:v>97.868091230353102</c:v>
                </c:pt>
                <c:pt idx="7">
                  <c:v>98.003301198446138</c:v>
                </c:pt>
                <c:pt idx="8">
                  <c:v>98.140064858691744</c:v>
                </c:pt>
                <c:pt idx="9">
                  <c:v>98.278416092014268</c:v>
                </c:pt>
                <c:pt idx="10">
                  <c:v>98.418389874884753</c:v>
                </c:pt>
                <c:pt idx="11">
                  <c:v>98.560022326520837</c:v>
                </c:pt>
                <c:pt idx="12">
                  <c:v>98.703350758637384</c:v>
                </c:pt>
                <c:pt idx="13">
                  <c:v>98.848413727916025</c:v>
                </c:pt>
                <c:pt idx="14">
                  <c:v>98.995251091371003</c:v>
                </c:pt>
                <c:pt idx="15">
                  <c:v>99.143904064806321</c:v>
                </c:pt>
                <c:pt idx="16">
                  <c:v>99.294415284571457</c:v>
                </c:pt>
                <c:pt idx="17">
                  <c:v>99.446828872840399</c:v>
                </c:pt>
                <c:pt idx="18">
                  <c:v>99.601190506658071</c:v>
                </c:pt>
                <c:pt idx="19">
                  <c:v>99.75754749101543</c:v>
                </c:pt>
                <c:pt idx="20">
                  <c:v>99.915948836237632</c:v>
                </c:pt>
                <c:pt idx="21">
                  <c:v>100.07644533999395</c:v>
                </c:pt>
                <c:pt idx="22">
                  <c:v>100.23908967426115</c:v>
                </c:pt>
                <c:pt idx="23">
                  <c:v>100.40393647760443</c:v>
                </c:pt>
                <c:pt idx="24">
                  <c:v>100.5710424531664</c:v>
                </c:pt>
                <c:pt idx="25">
                  <c:v>100.74046647279258</c:v>
                </c:pt>
                <c:pt idx="26">
                  <c:v>100.91226968775929</c:v>
                </c:pt>
                <c:pt idx="27">
                  <c:v>101.08651564660687</c:v>
                </c:pt>
                <c:pt idx="28">
                  <c:v>101.26327042063363</c:v>
                </c:pt>
                <c:pt idx="29">
                  <c:v>101.44260273764974</c:v>
                </c:pt>
                <c:pt idx="30">
                  <c:v>101.6245841246526</c:v>
                </c:pt>
                <c:pt idx="31">
                  <c:v>101.8092890601399</c:v>
                </c:pt>
                <c:pt idx="32">
                  <c:v>101.99679513685243</c:v>
                </c:pt>
                <c:pt idx="33">
                  <c:v>102.18718323580761</c:v>
                </c:pt>
                <c:pt idx="34">
                  <c:v>102.38053771257538</c:v>
                </c:pt>
                <c:pt idx="35">
                  <c:v>102.57694659683841</c:v>
                </c:pt>
                <c:pt idx="36">
                  <c:v>102.77650180638308</c:v>
                </c:pt>
                <c:pt idx="37">
                  <c:v>102.97929937678816</c:v>
                </c:pt>
                <c:pt idx="38">
                  <c:v>103.18543970820427</c:v>
                </c:pt>
                <c:pt idx="39">
                  <c:v>103.39502783076777</c:v>
                </c:pt>
                <c:pt idx="40">
                  <c:v>103.60817369035372</c:v>
                </c:pt>
                <c:pt idx="41">
                  <c:v>103.82499245655877</c:v>
                </c:pt>
                <c:pt idx="42">
                  <c:v>104.04560485501085</c:v>
                </c:pt>
                <c:pt idx="43">
                  <c:v>104.27013752633862</c:v>
                </c:pt>
                <c:pt idx="44">
                  <c:v>104.49872341439455</c:v>
                </c:pt>
                <c:pt idx="45">
                  <c:v>104.73150218662704</c:v>
                </c:pt>
                <c:pt idx="46">
                  <c:v>104.96862068983222</c:v>
                </c:pt>
                <c:pt idx="47">
                  <c:v>105.21023344490415</c:v>
                </c:pt>
                <c:pt idx="48">
                  <c:v>105.45650318463655</c:v>
                </c:pt>
                <c:pt idx="49">
                  <c:v>105.70760143912764</c:v>
                </c:pt>
                <c:pt idx="50">
                  <c:v>105.96370917391121</c:v>
                </c:pt>
                <c:pt idx="51">
                  <c:v>106.22501748658915</c:v>
                </c:pt>
                <c:pt idx="52">
                  <c:v>106.49172836848574</c:v>
                </c:pt>
                <c:pt idx="53">
                  <c:v>106.76405553871226</c:v>
                </c:pt>
                <c:pt idx="54">
                  <c:v>107.04222535901842</c:v>
                </c:pt>
                <c:pt idx="55">
                  <c:v>107.32647783895811</c:v>
                </c:pt>
                <c:pt idx="56">
                  <c:v>107.61706774223154</c:v>
                </c:pt>
                <c:pt idx="57">
                  <c:v>107.91426580661035</c:v>
                </c:pt>
                <c:pt idx="58">
                  <c:v>108.21836009166429</c:v>
                </c:pt>
                <c:pt idx="59">
                  <c:v>108.52965747061289</c:v>
                </c:pt>
                <c:pt idx="60">
                  <c:v>108.84848528511078</c:v>
                </c:pt>
                <c:pt idx="61">
                  <c:v>109.17519318468364</c:v>
                </c:pt>
                <c:pt idx="62">
                  <c:v>109.51015517597854</c:v>
                </c:pt>
                <c:pt idx="63">
                  <c:v>109.85377191106869</c:v>
                </c:pt>
                <c:pt idx="64">
                  <c:v>110.20647324890082</c:v>
                </c:pt>
                <c:pt idx="65">
                  <c:v>110.56872112976326</c:v>
                </c:pt>
                <c:pt idx="66">
                  <c:v>110.94101280958608</c:v>
                </c:pt>
                <c:pt idx="67">
                  <c:v>111.32388450923304</c:v>
                </c:pt>
                <c:pt idx="68">
                  <c:v>111.71791554402391</c:v>
                </c:pt>
                <c:pt idx="69">
                  <c:v>112.12373301097443</c:v>
                </c:pt>
                <c:pt idx="70">
                  <c:v>112.5420171261691</c:v>
                </c:pt>
                <c:pt idx="71">
                  <c:v>112.97350732298511</c:v>
                </c:pt>
                <c:pt idx="72">
                  <c:v>113.41900924444451</c:v>
                </c:pt>
                <c:pt idx="73">
                  <c:v>113.87940279091363</c:v>
                </c:pt>
                <c:pt idx="74">
                  <c:v>114.35565141920637</c:v>
                </c:pt>
                <c:pt idx="75">
                  <c:v>114.84881293282162</c:v>
                </c:pt>
                <c:pt idx="76">
                  <c:v>115.36005205818341</c:v>
                </c:pt>
                <c:pt idx="77">
                  <c:v>115.89065517181744</c:v>
                </c:pt>
                <c:pt idx="78">
                  <c:v>116.44204763311193</c:v>
                </c:pt>
                <c:pt idx="79">
                  <c:v>117.01581429305935</c:v>
                </c:pt>
                <c:pt idx="80">
                  <c:v>117.61372389996976</c:v>
                </c:pt>
                <c:pt idx="81">
                  <c:v>118.23775832082032</c:v>
                </c:pt>
                <c:pt idx="82">
                  <c:v>118.8901477588351</c:v>
                </c:pt>
                <c:pt idx="83">
                  <c:v>119.57341349852298</c:v>
                </c:pt>
                <c:pt idx="84">
                  <c:v>120.29042018392796</c:v>
                </c:pt>
                <c:pt idx="85">
                  <c:v>121.04444028566435</c:v>
                </c:pt>
                <c:pt idx="86">
                  <c:v>121.83923431360178</c:v>
                </c:pt>
                <c:pt idx="87">
                  <c:v>122.67915159957518</c:v>
                </c:pt>
                <c:pt idx="88">
                  <c:v>123.56925828413698</c:v>
                </c:pt>
                <c:pt idx="89">
                  <c:v>124.51550176800993</c:v>
                </c:pt>
                <c:pt idx="90">
                  <c:v>125.52492477114548</c:v>
                </c:pt>
                <c:pt idx="91">
                  <c:v>126.60594799636613</c:v>
                </c:pt>
                <c:pt idx="92">
                  <c:v>127.76874942028434</c:v>
                </c:pt>
                <c:pt idx="93">
                  <c:v>129.02578249937002</c:v>
                </c:pt>
                <c:pt idx="94">
                  <c:v>130.3924987628252</c:v>
                </c:pt>
                <c:pt idx="95">
                  <c:v>131.88837915171709</c:v>
                </c:pt>
                <c:pt idx="96">
                  <c:v>133.53844609213445</c:v>
                </c:pt>
                <c:pt idx="97">
                  <c:v>135.37555091076749</c:v>
                </c:pt>
                <c:pt idx="98">
                  <c:v>137.44396464837521</c:v>
                </c:pt>
                <c:pt idx="99">
                  <c:v>139.80527126397001</c:v>
                </c:pt>
                <c:pt idx="100">
                  <c:v>142.54858113635476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1A7-45F0-9E0D-2987223E82ED}"/>
            </c:ext>
          </c:extLst>
        </c:ser>
        <c:ser>
          <c:idx val="4"/>
          <c:order val="4"/>
          <c:tx>
            <c:v>G27 105L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'G27 105L (impacts;velo)'!$A$2:$A$52</c:f>
              <c:numCache>
                <c:formatCode>0.00E+00</c:formatCode>
                <c:ptCount val="51"/>
                <c:pt idx="0">
                  <c:v>60977.214391678397</c:v>
                </c:pt>
                <c:pt idx="1">
                  <c:v>67074.935830846225</c:v>
                </c:pt>
                <c:pt idx="2">
                  <c:v>67074.935830846225</c:v>
                </c:pt>
                <c:pt idx="3">
                  <c:v>76221.517989597996</c:v>
                </c:pt>
                <c:pt idx="4">
                  <c:v>79270.37870918191</c:v>
                </c:pt>
                <c:pt idx="5">
                  <c:v>54879.492952510554</c:v>
                </c:pt>
                <c:pt idx="6">
                  <c:v>57928.353672094476</c:v>
                </c:pt>
                <c:pt idx="7">
                  <c:v>76221.517989597996</c:v>
                </c:pt>
                <c:pt idx="8">
                  <c:v>7591.6631917639588</c:v>
                </c:pt>
                <c:pt idx="9">
                  <c:v>9489.578989704949</c:v>
                </c:pt>
                <c:pt idx="10">
                  <c:v>13285.410585586927</c:v>
                </c:pt>
                <c:pt idx="11">
                  <c:v>18979.157979409898</c:v>
                </c:pt>
                <c:pt idx="12">
                  <c:v>20877.073777350884</c:v>
                </c:pt>
                <c:pt idx="13">
                  <c:v>30366.652767055835</c:v>
                </c:pt>
                <c:pt idx="14">
                  <c:v>34162.484362937816</c:v>
                </c:pt>
                <c:pt idx="15">
                  <c:v>36060.400160878802</c:v>
                </c:pt>
                <c:pt idx="16">
                  <c:v>37958.315958819796</c:v>
                </c:pt>
                <c:pt idx="17">
                  <c:v>5693.7473938229687</c:v>
                </c:pt>
                <c:pt idx="18">
                  <c:v>7591.6631917639588</c:v>
                </c:pt>
                <c:pt idx="19">
                  <c:v>9489.578989704949</c:v>
                </c:pt>
                <c:pt idx="20">
                  <c:v>18979.157979409898</c:v>
                </c:pt>
                <c:pt idx="21">
                  <c:v>20877.073777350884</c:v>
                </c:pt>
                <c:pt idx="22">
                  <c:v>22774.989575291875</c:v>
                </c:pt>
                <c:pt idx="23">
                  <c:v>28468.736969114845</c:v>
                </c:pt>
                <c:pt idx="24">
                  <c:v>37958.315958819796</c:v>
                </c:pt>
                <c:pt idx="25">
                  <c:v>7591.6631917639588</c:v>
                </c:pt>
                <c:pt idx="26">
                  <c:v>11387.494787645937</c:v>
                </c:pt>
                <c:pt idx="27">
                  <c:v>13285.410585586927</c:v>
                </c:pt>
                <c:pt idx="28">
                  <c:v>18979.157979409898</c:v>
                </c:pt>
                <c:pt idx="29">
                  <c:v>28468.736969114845</c:v>
                </c:pt>
                <c:pt idx="30">
                  <c:v>36060.400160878802</c:v>
                </c:pt>
                <c:pt idx="31">
                  <c:v>1136.65338701988</c:v>
                </c:pt>
                <c:pt idx="32">
                  <c:v>2273.3067740397601</c:v>
                </c:pt>
                <c:pt idx="33">
                  <c:v>3409.9601610596401</c:v>
                </c:pt>
                <c:pt idx="34">
                  <c:v>4546.6135480795201</c:v>
                </c:pt>
                <c:pt idx="35">
                  <c:v>5683.2669350994001</c:v>
                </c:pt>
                <c:pt idx="36">
                  <c:v>6819.9203221192802</c:v>
                </c:pt>
                <c:pt idx="37">
                  <c:v>7956.5737091391593</c:v>
                </c:pt>
                <c:pt idx="38">
                  <c:v>10229.880483178918</c:v>
                </c:pt>
                <c:pt idx="39">
                  <c:v>1136.65338701988</c:v>
                </c:pt>
                <c:pt idx="40">
                  <c:v>2273.3067740397601</c:v>
                </c:pt>
                <c:pt idx="41">
                  <c:v>3409.9601610596401</c:v>
                </c:pt>
                <c:pt idx="42">
                  <c:v>4546.6135480795201</c:v>
                </c:pt>
              </c:numCache>
            </c:numRef>
          </c:xVal>
          <c:yVal>
            <c:numRef>
              <c:f>'New Vestas G27 105L'!$X$7:$X$57</c:f>
              <c:numCache>
                <c:formatCode>General</c:formatCode>
                <c:ptCount val="51"/>
                <c:pt idx="0">
                  <c:v>1.0637416964586377E-3</c:v>
                </c:pt>
                <c:pt idx="1">
                  <c:v>9.9811166810319005E-4</c:v>
                </c:pt>
                <c:pt idx="2">
                  <c:v>1.1039241860224069E-3</c:v>
                </c:pt>
                <c:pt idx="3">
                  <c:v>1.0746711205698771E-3</c:v>
                </c:pt>
                <c:pt idx="4">
                  <c:v>9.4949930103621139E-4</c:v>
                </c:pt>
                <c:pt idx="5">
                  <c:v>1.1044688682055256E-3</c:v>
                </c:pt>
                <c:pt idx="6">
                  <c:v>1.0578044793524059E-3</c:v>
                </c:pt>
                <c:pt idx="7">
                  <c:v>1.0354783864046679E-3</c:v>
                </c:pt>
                <c:pt idx="8">
                  <c:v>1.6247154044352757E-3</c:v>
                </c:pt>
                <c:pt idx="9">
                  <c:v>1.5137060697197776E-3</c:v>
                </c:pt>
                <c:pt idx="10">
                  <c:v>1.4873483550261867E-3</c:v>
                </c:pt>
                <c:pt idx="11">
                  <c:v>1.4236891988812597E-3</c:v>
                </c:pt>
                <c:pt idx="12">
                  <c:v>1.3836297954927903E-3</c:v>
                </c:pt>
                <c:pt idx="13">
                  <c:v>1.3602270346011807E-3</c:v>
                </c:pt>
                <c:pt idx="14">
                  <c:v>1.3370238829502217E-3</c:v>
                </c:pt>
                <c:pt idx="15">
                  <c:v>1.2801791096798496E-3</c:v>
                </c:pt>
                <c:pt idx="16">
                  <c:v>1.2755459998789879E-3</c:v>
                </c:pt>
                <c:pt idx="17">
                  <c:v>1.8223154493581253E-3</c:v>
                </c:pt>
                <c:pt idx="18">
                  <c:v>1.714570346711926E-3</c:v>
                </c:pt>
                <c:pt idx="19">
                  <c:v>1.5546289799175227E-3</c:v>
                </c:pt>
                <c:pt idx="20">
                  <c:v>1.4951014006957975E-3</c:v>
                </c:pt>
                <c:pt idx="21">
                  <c:v>1.4269170163113071E-3</c:v>
                </c:pt>
                <c:pt idx="22">
                  <c:v>1.3543488972736733E-3</c:v>
                </c:pt>
                <c:pt idx="23">
                  <c:v>1.3123044676597948E-3</c:v>
                </c:pt>
                <c:pt idx="24">
                  <c:v>1.2871632724398277E-3</c:v>
                </c:pt>
                <c:pt idx="25">
                  <c:v>1.7108911959766628E-3</c:v>
                </c:pt>
                <c:pt idx="26">
                  <c:v>1.6564391638312483E-3</c:v>
                </c:pt>
                <c:pt idx="27">
                  <c:v>1.5642269906662874E-3</c:v>
                </c:pt>
                <c:pt idx="28">
                  <c:v>1.4314723061654368E-3</c:v>
                </c:pt>
                <c:pt idx="29">
                  <c:v>1.4210817996219548E-3</c:v>
                </c:pt>
                <c:pt idx="30">
                  <c:v>1.3853142452029726E-3</c:v>
                </c:pt>
                <c:pt idx="31">
                  <c:v>2.2466876326235792E-3</c:v>
                </c:pt>
                <c:pt idx="32">
                  <c:v>1.8088457725834418E-3</c:v>
                </c:pt>
                <c:pt idx="33">
                  <c:v>1.7394024910748727E-3</c:v>
                </c:pt>
                <c:pt idx="34">
                  <c:v>1.6776683934463953E-3</c:v>
                </c:pt>
                <c:pt idx="35">
                  <c:v>1.6657720778875558E-3</c:v>
                </c:pt>
                <c:pt idx="36">
                  <c:v>1.6499761681200158E-3</c:v>
                </c:pt>
                <c:pt idx="37">
                  <c:v>1.5976081653820552E-3</c:v>
                </c:pt>
                <c:pt idx="38">
                  <c:v>1.5644437696071872E-3</c:v>
                </c:pt>
                <c:pt idx="39">
                  <c:v>2.616418363173883E-3</c:v>
                </c:pt>
                <c:pt idx="40">
                  <c:v>2.2586986229629351E-3</c:v>
                </c:pt>
                <c:pt idx="41">
                  <c:v>2.0512211505383849E-3</c:v>
                </c:pt>
                <c:pt idx="42">
                  <c:v>1.8262225051090212E-3</c:v>
                </c:pt>
                <c:pt idx="43">
                  <c:v>1.6773739873694614E-3</c:v>
                </c:pt>
                <c:pt idx="44">
                  <c:v>1.6268108674949646E-3</c:v>
                </c:pt>
                <c:pt idx="45">
                  <c:v>2.1868159646677263E-3</c:v>
                </c:pt>
                <c:pt idx="46">
                  <c:v>1.9339752155110117E-3</c:v>
                </c:pt>
                <c:pt idx="47">
                  <c:v>1.8537029926504669E-3</c:v>
                </c:pt>
                <c:pt idx="48">
                  <c:v>1.7866041363159113E-3</c:v>
                </c:pt>
                <c:pt idx="49">
                  <c:v>1.7022660876800794E-3</c:v>
                </c:pt>
                <c:pt idx="50">
                  <c:v>1.6640285578211097E-3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1A7-45F0-9E0D-2987223E82ED}"/>
            </c:ext>
          </c:extLst>
        </c:ser>
        <c:ser>
          <c:idx val="5"/>
          <c:order val="5"/>
          <c:tx>
            <c:v>Fit G27 105L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'G27 105L (impacts;velo)'!$N$2:$N$102</c:f>
              <c:numCache>
                <c:formatCode>0.000</c:formatCode>
                <c:ptCount val="101"/>
                <c:pt idx="0">
                  <c:v>79270.378709181925</c:v>
                </c:pt>
                <c:pt idx="1">
                  <c:v>78489.041455960294</c:v>
                </c:pt>
                <c:pt idx="2">
                  <c:v>77707.704202738794</c:v>
                </c:pt>
                <c:pt idx="3">
                  <c:v>76926.366949517076</c:v>
                </c:pt>
                <c:pt idx="4">
                  <c:v>76145.029696295489</c:v>
                </c:pt>
                <c:pt idx="5">
                  <c:v>75363.692443073902</c:v>
                </c:pt>
                <c:pt idx="6">
                  <c:v>74582.355189852184</c:v>
                </c:pt>
                <c:pt idx="7">
                  <c:v>73801.017936630684</c:v>
                </c:pt>
                <c:pt idx="8">
                  <c:v>73019.680683409009</c:v>
                </c:pt>
                <c:pt idx="9">
                  <c:v>72238.343430187349</c:v>
                </c:pt>
                <c:pt idx="10">
                  <c:v>71457.006176965777</c:v>
                </c:pt>
                <c:pt idx="11">
                  <c:v>70675.668923744146</c:v>
                </c:pt>
                <c:pt idx="12">
                  <c:v>69894.331670522515</c:v>
                </c:pt>
                <c:pt idx="13">
                  <c:v>69112.994417300928</c:v>
                </c:pt>
                <c:pt idx="14">
                  <c:v>68331.65716407921</c:v>
                </c:pt>
                <c:pt idx="15">
                  <c:v>67550.31991085771</c:v>
                </c:pt>
                <c:pt idx="16">
                  <c:v>66768.982657636108</c:v>
                </c:pt>
                <c:pt idx="17">
                  <c:v>65987.645404414448</c:v>
                </c:pt>
                <c:pt idx="18">
                  <c:v>65206.308151192832</c:v>
                </c:pt>
                <c:pt idx="19">
                  <c:v>64424.970897971209</c:v>
                </c:pt>
                <c:pt idx="20">
                  <c:v>63643.633644749643</c:v>
                </c:pt>
                <c:pt idx="21">
                  <c:v>62862.296391527881</c:v>
                </c:pt>
                <c:pt idx="22">
                  <c:v>62080.959138306425</c:v>
                </c:pt>
                <c:pt idx="23">
                  <c:v>61299.621885084773</c:v>
                </c:pt>
                <c:pt idx="24">
                  <c:v>60518.284631863025</c:v>
                </c:pt>
                <c:pt idx="25">
                  <c:v>59736.947378641482</c:v>
                </c:pt>
                <c:pt idx="26">
                  <c:v>58955.610125419822</c:v>
                </c:pt>
                <c:pt idx="27">
                  <c:v>58174.272872198148</c:v>
                </c:pt>
                <c:pt idx="28">
                  <c:v>57392.935618976691</c:v>
                </c:pt>
                <c:pt idx="29">
                  <c:v>56611.598365755024</c:v>
                </c:pt>
                <c:pt idx="30">
                  <c:v>55830.261112533357</c:v>
                </c:pt>
                <c:pt idx="31">
                  <c:v>55048.923859311733</c:v>
                </c:pt>
                <c:pt idx="32">
                  <c:v>54267.586606090117</c:v>
                </c:pt>
                <c:pt idx="33">
                  <c:v>53486.249352868486</c:v>
                </c:pt>
                <c:pt idx="34">
                  <c:v>52704.912099646855</c:v>
                </c:pt>
                <c:pt idx="35">
                  <c:v>51923.574846425247</c:v>
                </c:pt>
                <c:pt idx="36">
                  <c:v>51142.237593203652</c:v>
                </c:pt>
                <c:pt idx="37">
                  <c:v>50360.900339982087</c:v>
                </c:pt>
                <c:pt idx="38">
                  <c:v>49579.563086760369</c:v>
                </c:pt>
                <c:pt idx="39">
                  <c:v>48798.225833538832</c:v>
                </c:pt>
                <c:pt idx="40">
                  <c:v>48016.888580317107</c:v>
                </c:pt>
                <c:pt idx="41">
                  <c:v>47235.551327095469</c:v>
                </c:pt>
                <c:pt idx="42">
                  <c:v>46454.214073873882</c:v>
                </c:pt>
                <c:pt idx="43">
                  <c:v>45672.87682065228</c:v>
                </c:pt>
                <c:pt idx="44">
                  <c:v>44891.539567430664</c:v>
                </c:pt>
                <c:pt idx="45">
                  <c:v>44110.202314209026</c:v>
                </c:pt>
                <c:pt idx="46">
                  <c:v>43328.865060987438</c:v>
                </c:pt>
                <c:pt idx="47">
                  <c:v>42547.527807765808</c:v>
                </c:pt>
                <c:pt idx="48">
                  <c:v>41766.190554544213</c:v>
                </c:pt>
                <c:pt idx="49">
                  <c:v>40984.853301322597</c:v>
                </c:pt>
                <c:pt idx="50">
                  <c:v>40203.516048100952</c:v>
                </c:pt>
                <c:pt idx="51">
                  <c:v>39422.178794879328</c:v>
                </c:pt>
                <c:pt idx="52">
                  <c:v>38640.841541657661</c:v>
                </c:pt>
                <c:pt idx="53">
                  <c:v>37859.504288436052</c:v>
                </c:pt>
                <c:pt idx="54">
                  <c:v>37078.167035214501</c:v>
                </c:pt>
                <c:pt idx="55">
                  <c:v>36296.829781992856</c:v>
                </c:pt>
                <c:pt idx="56">
                  <c:v>35515.492528771189</c:v>
                </c:pt>
                <c:pt idx="57">
                  <c:v>34734.155275549594</c:v>
                </c:pt>
                <c:pt idx="58">
                  <c:v>33952.818022327985</c:v>
                </c:pt>
                <c:pt idx="59">
                  <c:v>33171.480769106311</c:v>
                </c:pt>
                <c:pt idx="60">
                  <c:v>32390.143515884745</c:v>
                </c:pt>
                <c:pt idx="61">
                  <c:v>31608.806262663107</c:v>
                </c:pt>
                <c:pt idx="62">
                  <c:v>30827.469009441487</c:v>
                </c:pt>
                <c:pt idx="63">
                  <c:v>30046.131756219853</c:v>
                </c:pt>
                <c:pt idx="64">
                  <c:v>29264.794502998258</c:v>
                </c:pt>
                <c:pt idx="65">
                  <c:v>28483.457249776628</c:v>
                </c:pt>
                <c:pt idx="66">
                  <c:v>27702.119996555</c:v>
                </c:pt>
                <c:pt idx="67">
                  <c:v>26920.782743333402</c:v>
                </c:pt>
                <c:pt idx="68">
                  <c:v>26139.445490111717</c:v>
                </c:pt>
                <c:pt idx="69">
                  <c:v>25358.108236890144</c:v>
                </c:pt>
                <c:pt idx="70">
                  <c:v>24576.770983668524</c:v>
                </c:pt>
                <c:pt idx="71">
                  <c:v>23795.433730446934</c:v>
                </c:pt>
                <c:pt idx="72">
                  <c:v>23014.096477225241</c:v>
                </c:pt>
                <c:pt idx="73">
                  <c:v>22232.759224003679</c:v>
                </c:pt>
                <c:pt idx="74">
                  <c:v>21451.421970782041</c:v>
                </c:pt>
                <c:pt idx="75">
                  <c:v>20670.084717560425</c:v>
                </c:pt>
                <c:pt idx="76">
                  <c:v>19888.747464338801</c:v>
                </c:pt>
                <c:pt idx="77">
                  <c:v>19107.410211117196</c:v>
                </c:pt>
                <c:pt idx="78">
                  <c:v>18326.072957895525</c:v>
                </c:pt>
                <c:pt idx="79">
                  <c:v>17544.73570467392</c:v>
                </c:pt>
                <c:pt idx="80">
                  <c:v>16763.398451452318</c:v>
                </c:pt>
                <c:pt idx="81">
                  <c:v>15982.061198230678</c:v>
                </c:pt>
                <c:pt idx="82">
                  <c:v>15200.723945009056</c:v>
                </c:pt>
                <c:pt idx="83">
                  <c:v>14419.386691787418</c:v>
                </c:pt>
                <c:pt idx="84">
                  <c:v>13638.04943856584</c:v>
                </c:pt>
                <c:pt idx="85">
                  <c:v>12856.712185344195</c:v>
                </c:pt>
                <c:pt idx="86">
                  <c:v>12075.374932122573</c:v>
                </c:pt>
                <c:pt idx="87">
                  <c:v>11294.037678900952</c:v>
                </c:pt>
                <c:pt idx="88">
                  <c:v>10512.700425679348</c:v>
                </c:pt>
                <c:pt idx="89">
                  <c:v>9731.3631724577081</c:v>
                </c:pt>
                <c:pt idx="90">
                  <c:v>8950.0259192361009</c:v>
                </c:pt>
                <c:pt idx="91">
                  <c:v>8168.6886660144773</c:v>
                </c:pt>
                <c:pt idx="92">
                  <c:v>7387.3514127928529</c:v>
                </c:pt>
                <c:pt idx="93">
                  <c:v>6606.0141595712248</c:v>
                </c:pt>
                <c:pt idx="94">
                  <c:v>5824.6769063496131</c:v>
                </c:pt>
                <c:pt idx="95">
                  <c:v>5043.3396531279886</c:v>
                </c:pt>
                <c:pt idx="96">
                  <c:v>4262.0023999063642</c:v>
                </c:pt>
                <c:pt idx="97">
                  <c:v>3480.6651466847434</c:v>
                </c:pt>
                <c:pt idx="98">
                  <c:v>2699.3278934631276</c:v>
                </c:pt>
                <c:pt idx="99">
                  <c:v>1917.9906402414949</c:v>
                </c:pt>
                <c:pt idx="100">
                  <c:v>1136.6533870198773</c:v>
                </c:pt>
              </c:numCache>
            </c:numRef>
          </c:xVal>
          <c:yVal>
            <c:numRef>
              <c:f>'G27 105L (impacts;velo)'!$O$2:$O$102</c:f>
              <c:numCache>
                <c:formatCode>0</c:formatCode>
                <c:ptCount val="101"/>
                <c:pt idx="0">
                  <c:v>96.683356682692278</c:v>
                </c:pt>
                <c:pt idx="1">
                  <c:v>96.773426862331959</c:v>
                </c:pt>
                <c:pt idx="2">
                  <c:v>96.864483339484352</c:v>
                </c:pt>
                <c:pt idx="3">
                  <c:v>96.956546995835353</c:v>
                </c:pt>
                <c:pt idx="4">
                  <c:v>97.049639372978632</c:v>
                </c:pt>
                <c:pt idx="5">
                  <c:v>97.143782700295219</c:v>
                </c:pt>
                <c:pt idx="6">
                  <c:v>97.238999924315095</c:v>
                </c:pt>
                <c:pt idx="7">
                  <c:v>97.335314739652759</c:v>
                </c:pt>
                <c:pt idx="8">
                  <c:v>97.432751621623055</c:v>
                </c:pt>
                <c:pt idx="9">
                  <c:v>97.531335860643836</c:v>
                </c:pt>
                <c:pt idx="10">
                  <c:v>97.631093598546698</c:v>
                </c:pt>
                <c:pt idx="11">
                  <c:v>97.732051866921182</c:v>
                </c:pt>
                <c:pt idx="12">
                  <c:v>97.834238627633042</c:v>
                </c:pt>
                <c:pt idx="13">
                  <c:v>97.937682815662853</c:v>
                </c:pt>
                <c:pt idx="14">
                  <c:v>98.042414384428298</c:v>
                </c:pt>
                <c:pt idx="15">
                  <c:v>98.148464353762037</c:v>
                </c:pt>
                <c:pt idx="16">
                  <c:v>98.255864860735372</c:v>
                </c:pt>
                <c:pt idx="17">
                  <c:v>98.36464921353128</c:v>
                </c:pt>
                <c:pt idx="18">
                  <c:v>98.474851948587698</c:v>
                </c:pt>
                <c:pt idx="19">
                  <c:v>98.58650889125262</c:v>
                </c:pt>
                <c:pt idx="20">
                  <c:v>98.699657220211122</c:v>
                </c:pt>
                <c:pt idx="21">
                  <c:v>98.814335535969761</c:v>
                </c:pt>
                <c:pt idx="22">
                  <c:v>98.930583933706401</c:v>
                </c:pt>
                <c:pt idx="23">
                  <c:v>99.048444080823614</c:v>
                </c:pt>
                <c:pt idx="24">
                  <c:v>99.167959299573084</c:v>
                </c:pt>
                <c:pt idx="25">
                  <c:v>99.289174655153758</c:v>
                </c:pt>
                <c:pt idx="26">
                  <c:v>99.412137049721167</c:v>
                </c:pt>
                <c:pt idx="27">
                  <c:v>99.536895322791793</c:v>
                </c:pt>
                <c:pt idx="28">
                  <c:v>99.663500358567177</c:v>
                </c:pt>
                <c:pt idx="29">
                  <c:v>99.7920052007576</c:v>
                </c:pt>
                <c:pt idx="30">
                  <c:v>99.92246517554085</c:v>
                </c:pt>
                <c:pt idx="31">
                  <c:v>100.05493802335511</c:v>
                </c:pt>
                <c:pt idx="32">
                  <c:v>100.1894840402958</c:v>
                </c:pt>
                <c:pt idx="33">
                  <c:v>100.32616622996605</c:v>
                </c:pt>
                <c:pt idx="34">
                  <c:v>100.46505046672027</c:v>
                </c:pt>
                <c:pt idx="35">
                  <c:v>100.60620567133621</c:v>
                </c:pt>
                <c:pt idx="36">
                  <c:v>100.74970400026601</c:v>
                </c:pt>
                <c:pt idx="37">
                  <c:v>100.89562104974243</c:v>
                </c:pt>
                <c:pt idx="38">
                  <c:v>101.04403607615536</c:v>
                </c:pt>
                <c:pt idx="39">
                  <c:v>101.19503223427533</c:v>
                </c:pt>
                <c:pt idx="40">
                  <c:v>101.34869683508096</c:v>
                </c:pt>
                <c:pt idx="41">
                  <c:v>101.50512162515301</c:v>
                </c:pt>
                <c:pt idx="42">
                  <c:v>101.66440308982847</c:v>
                </c:pt>
                <c:pt idx="43">
                  <c:v>101.82664278257195</c:v>
                </c:pt>
                <c:pt idx="44">
                  <c:v>101.99194768332616</c:v>
                </c:pt>
                <c:pt idx="45">
                  <c:v>102.16043058894283</c:v>
                </c:pt>
                <c:pt idx="46">
                  <c:v>102.33221053919409</c:v>
                </c:pt>
                <c:pt idx="47">
                  <c:v>102.50741328230988</c:v>
                </c:pt>
                <c:pt idx="48">
                  <c:v>102.68617178451586</c:v>
                </c:pt>
                <c:pt idx="49">
                  <c:v>102.8686267886351</c:v>
                </c:pt>
                <c:pt idx="50">
                  <c:v>103.0549274275195</c:v>
                </c:pt>
                <c:pt idx="51">
                  <c:v>103.24523189887223</c:v>
                </c:pt>
                <c:pt idx="52">
                  <c:v>103.43970820896112</c:v>
                </c:pt>
                <c:pt idx="53">
                  <c:v>103.63853499380821</c:v>
                </c:pt>
                <c:pt idx="54">
                  <c:v>103.84190242771167</c:v>
                </c:pt>
                <c:pt idx="55">
                  <c:v>104.05001323044962</c:v>
                </c:pt>
                <c:pt idx="56">
                  <c:v>104.26308378626912</c:v>
                </c:pt>
                <c:pt idx="57">
                  <c:v>104.48134538983169</c:v>
                </c:pt>
                <c:pt idx="58">
                  <c:v>104.70504563674058</c:v>
                </c:pt>
                <c:pt idx="59">
                  <c:v>104.93444997919177</c:v>
                </c:pt>
                <c:pt idx="60">
                  <c:v>105.16984347076452</c:v>
                </c:pt>
                <c:pt idx="61">
                  <c:v>105.41153272853722</c:v>
                </c:pt>
                <c:pt idx="62">
                  <c:v>105.65984814572396</c:v>
                </c:pt>
                <c:pt idx="63">
                  <c:v>105.91514639408562</c:v>
                </c:pt>
                <c:pt idx="64">
                  <c:v>106.17781326271087</c:v>
                </c:pt>
                <c:pt idx="65">
                  <c:v>106.44826688873162</c:v>
                </c:pt>
                <c:pt idx="66">
                  <c:v>106.72696144651196</c:v>
                </c:pt>
                <c:pt idx="67">
                  <c:v>107.01439137538108</c:v>
                </c:pt>
                <c:pt idx="68">
                  <c:v>107.31109624274104</c:v>
                </c:pt>
                <c:pt idx="69">
                  <c:v>107.61766636026516</c:v>
                </c:pt>
                <c:pt idx="70">
                  <c:v>107.93474929708493</c:v>
                </c:pt>
                <c:pt idx="71">
                  <c:v>108.26305746691712</c:v>
                </c:pt>
                <c:pt idx="72">
                  <c:v>108.60337700807239</c:v>
                </c:pt>
                <c:pt idx="73">
                  <c:v>108.9565782290579</c:v>
                </c:pt>
                <c:pt idx="74">
                  <c:v>109.32362796185222</c:v>
                </c:pt>
                <c:pt idx="75">
                  <c:v>109.70560425518609</c:v>
                </c:pt>
                <c:pt idx="76">
                  <c:v>110.10371395863929</c:v>
                </c:pt>
                <c:pt idx="77">
                  <c:v>110.51931390537574</c:v>
                </c:pt>
                <c:pt idx="78">
                  <c:v>110.95393661156426</c:v>
                </c:pt>
                <c:pt idx="79">
                  <c:v>111.40932169512</c:v>
                </c:pt>
                <c:pt idx="80">
                  <c:v>111.88745460625944</c:v>
                </c:pt>
                <c:pt idx="81">
                  <c:v>112.3906148033447</c:v>
                </c:pt>
                <c:pt idx="82">
                  <c:v>112.92143626875506</c:v>
                </c:pt>
                <c:pt idx="83">
                  <c:v>113.48298434717152</c:v>
                </c:pt>
                <c:pt idx="84">
                  <c:v>114.07885446879506</c:v>
                </c:pt>
                <c:pt idx="85">
                  <c:v>114.71330065806717</c:v>
                </c:pt>
                <c:pt idx="86">
                  <c:v>115.3914052587447</c:v>
                </c:pt>
                <c:pt idx="87">
                  <c:v>116.11930675794822</c:v>
                </c:pt>
                <c:pt idx="88">
                  <c:v>116.90451122527833</c:v>
                </c:pt>
                <c:pt idx="89">
                  <c:v>117.75632694771868</c:v>
                </c:pt>
                <c:pt idx="90">
                  <c:v>118.68648550124738</c:v>
                </c:pt>
                <c:pt idx="91">
                  <c:v>119.71005379334629</c:v>
                </c:pt>
                <c:pt idx="92">
                  <c:v>120.84681681146876</c:v>
                </c:pt>
                <c:pt idx="93">
                  <c:v>122.12345476846372</c:v>
                </c:pt>
                <c:pt idx="94">
                  <c:v>123.57713076356129</c:v>
                </c:pt>
                <c:pt idx="95">
                  <c:v>125.26174345451926</c:v>
                </c:pt>
                <c:pt idx="96">
                  <c:v>127.25962324456084</c:v>
                </c:pt>
                <c:pt idx="97">
                  <c:v>129.705531199208</c:v>
                </c:pt>
                <c:pt idx="98">
                  <c:v>132.84256543810494</c:v>
                </c:pt>
                <c:pt idx="99">
                  <c:v>137.17925393295002</c:v>
                </c:pt>
                <c:pt idx="100">
                  <c:v>144.09472218192386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1A7-45F0-9E0D-2987223E82ED}"/>
            </c:ext>
          </c:extLst>
        </c:ser>
        <c:ser>
          <c:idx val="6"/>
          <c:order val="6"/>
          <c:tx>
            <c:v>G30 85L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'G30 85L (impacts;velo)'!$A$2:$A$42</c:f>
              <c:numCache>
                <c:formatCode>0.00E+00</c:formatCode>
                <c:ptCount val="41"/>
                <c:pt idx="0">
                  <c:v>23928.635238265408</c:v>
                </c:pt>
                <c:pt idx="1">
                  <c:v>3103.2448824625453</c:v>
                </c:pt>
                <c:pt idx="2">
                  <c:v>4965.1918119400734</c:v>
                </c:pt>
                <c:pt idx="3">
                  <c:v>5585.8407884325825</c:v>
                </c:pt>
                <c:pt idx="4">
                  <c:v>7447.7877179101079</c:v>
                </c:pt>
                <c:pt idx="5">
                  <c:v>8068.4366944026187</c:v>
                </c:pt>
                <c:pt idx="6">
                  <c:v>8689.0856708951269</c:v>
                </c:pt>
                <c:pt idx="7">
                  <c:v>11792.330553357673</c:v>
                </c:pt>
                <c:pt idx="8">
                  <c:v>2482.5959059700367</c:v>
                </c:pt>
                <c:pt idx="9">
                  <c:v>3103.2448824625453</c:v>
                </c:pt>
                <c:pt idx="10">
                  <c:v>4965.1918119400734</c:v>
                </c:pt>
                <c:pt idx="11">
                  <c:v>6827.1387414175997</c:v>
                </c:pt>
                <c:pt idx="12">
                  <c:v>7447.7877179101079</c:v>
                </c:pt>
                <c:pt idx="13">
                  <c:v>11792.330553357673</c:v>
                </c:pt>
                <c:pt idx="14">
                  <c:v>2482.5959059700367</c:v>
                </c:pt>
                <c:pt idx="15">
                  <c:v>3103.2448824625453</c:v>
                </c:pt>
                <c:pt idx="16">
                  <c:v>3723.8938589550539</c:v>
                </c:pt>
                <c:pt idx="17">
                  <c:v>4965.1918119400734</c:v>
                </c:pt>
                <c:pt idx="18">
                  <c:v>6206.4897649250906</c:v>
                </c:pt>
                <c:pt idx="19">
                  <c:v>6827.1387414175997</c:v>
                </c:pt>
                <c:pt idx="20">
                  <c:v>7447.7877179101079</c:v>
                </c:pt>
                <c:pt idx="21">
                  <c:v>8068.4366944026187</c:v>
                </c:pt>
                <c:pt idx="22">
                  <c:v>10551.032600372655</c:v>
                </c:pt>
                <c:pt idx="23">
                  <c:v>11792.330553357673</c:v>
                </c:pt>
                <c:pt idx="24">
                  <c:v>743.40786039715169</c:v>
                </c:pt>
                <c:pt idx="25">
                  <c:v>1115.1117905957276</c:v>
                </c:pt>
                <c:pt idx="26">
                  <c:v>1486.8157207943034</c:v>
                </c:pt>
                <c:pt idx="27">
                  <c:v>2230.2235811914552</c:v>
                </c:pt>
                <c:pt idx="28">
                  <c:v>2973.6314415886068</c:v>
                </c:pt>
                <c:pt idx="29">
                  <c:v>743.40786039715169</c:v>
                </c:pt>
                <c:pt idx="30">
                  <c:v>1115.1117905957276</c:v>
                </c:pt>
                <c:pt idx="31">
                  <c:v>1486.8157207943034</c:v>
                </c:pt>
                <c:pt idx="32">
                  <c:v>1858.5196509928794</c:v>
                </c:pt>
                <c:pt idx="33">
                  <c:v>2601.9275113900312</c:v>
                </c:pt>
                <c:pt idx="34">
                  <c:v>2973.6314415886068</c:v>
                </c:pt>
                <c:pt idx="35">
                  <c:v>371.70393019857585</c:v>
                </c:pt>
                <c:pt idx="36">
                  <c:v>743.40786039715169</c:v>
                </c:pt>
                <c:pt idx="37">
                  <c:v>1115.1117905957276</c:v>
                </c:pt>
                <c:pt idx="38">
                  <c:v>1486.8157207943034</c:v>
                </c:pt>
                <c:pt idx="39">
                  <c:v>2230.2235811914552</c:v>
                </c:pt>
                <c:pt idx="40">
                  <c:v>2973.6314415886068</c:v>
                </c:pt>
              </c:numCache>
            </c:numRef>
          </c:xVal>
          <c:yVal>
            <c:numRef>
              <c:f>'New Vestas G30 85L'!$X$7:$X$47</c:f>
              <c:numCache>
                <c:formatCode>General</c:formatCode>
                <c:ptCount val="41"/>
                <c:pt idx="0">
                  <c:v>1.8405541578591977E-2</c:v>
                </c:pt>
                <c:pt idx="1">
                  <c:v>2.5130537639122322E-2</c:v>
                </c:pt>
                <c:pt idx="2">
                  <c:v>2.4987732540416169E-2</c:v>
                </c:pt>
                <c:pt idx="3">
                  <c:v>2.430994147981147E-2</c:v>
                </c:pt>
                <c:pt idx="4">
                  <c:v>2.336486959784621E-2</c:v>
                </c:pt>
                <c:pt idx="5">
                  <c:v>2.2178678908705056E-2</c:v>
                </c:pt>
                <c:pt idx="6">
                  <c:v>2.2044535057805882E-2</c:v>
                </c:pt>
                <c:pt idx="7">
                  <c:v>2.0734753846542758E-2</c:v>
                </c:pt>
                <c:pt idx="8">
                  <c:v>2.7710299600996947E-2</c:v>
                </c:pt>
                <c:pt idx="9">
                  <c:v>2.6671237937694638E-2</c:v>
                </c:pt>
                <c:pt idx="10">
                  <c:v>2.4030691064545199E-2</c:v>
                </c:pt>
                <c:pt idx="11">
                  <c:v>2.2587733930469686E-2</c:v>
                </c:pt>
                <c:pt idx="12">
                  <c:v>2.0557738203718805E-2</c:v>
                </c:pt>
                <c:pt idx="13">
                  <c:v>2.0946784745064079E-2</c:v>
                </c:pt>
                <c:pt idx="14">
                  <c:v>2.8713084905226404E-2</c:v>
                </c:pt>
                <c:pt idx="15">
                  <c:v>2.7046304609354546E-2</c:v>
                </c:pt>
                <c:pt idx="16">
                  <c:v>2.664528107308969E-2</c:v>
                </c:pt>
                <c:pt idx="17">
                  <c:v>2.611177290712733E-2</c:v>
                </c:pt>
                <c:pt idx="18">
                  <c:v>2.5872936417868017E-2</c:v>
                </c:pt>
                <c:pt idx="19">
                  <c:v>2.5655826647439282E-2</c:v>
                </c:pt>
                <c:pt idx="20">
                  <c:v>2.4745848478559779E-2</c:v>
                </c:pt>
                <c:pt idx="21">
                  <c:v>2.4091639570788224E-2</c:v>
                </c:pt>
                <c:pt idx="22">
                  <c:v>2.3564694041329784E-2</c:v>
                </c:pt>
                <c:pt idx="23">
                  <c:v>2.3161054118535026E-2</c:v>
                </c:pt>
                <c:pt idx="24">
                  <c:v>3.6921283265510425E-2</c:v>
                </c:pt>
                <c:pt idx="25">
                  <c:v>3.2855063786122511E-2</c:v>
                </c:pt>
                <c:pt idx="26">
                  <c:v>3.0356688725903767E-2</c:v>
                </c:pt>
                <c:pt idx="27">
                  <c:v>2.772514366177484E-2</c:v>
                </c:pt>
                <c:pt idx="28">
                  <c:v>2.457924210971674E-2</c:v>
                </c:pt>
                <c:pt idx="29">
                  <c:v>3.8931317877364209E-2</c:v>
                </c:pt>
                <c:pt idx="30">
                  <c:v>3.4645882734126346E-2</c:v>
                </c:pt>
                <c:pt idx="31">
                  <c:v>3.348959508837749E-2</c:v>
                </c:pt>
                <c:pt idx="32">
                  <c:v>2.944430615444309E-2</c:v>
                </c:pt>
                <c:pt idx="33">
                  <c:v>2.8548747972703823E-2</c:v>
                </c:pt>
                <c:pt idx="34">
                  <c:v>2.7860330102470021E-2</c:v>
                </c:pt>
                <c:pt idx="35">
                  <c:v>4.0430172192397203E-2</c:v>
                </c:pt>
                <c:pt idx="36">
                  <c:v>3.8771478301745772E-2</c:v>
                </c:pt>
                <c:pt idx="37">
                  <c:v>3.5689421727304403E-2</c:v>
                </c:pt>
                <c:pt idx="38">
                  <c:v>3.2359039716118712E-2</c:v>
                </c:pt>
                <c:pt idx="39">
                  <c:v>3.0876947359568325E-2</c:v>
                </c:pt>
                <c:pt idx="40">
                  <c:v>2.7056447477504866E-2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A7-45F0-9E0D-2987223E82ED}"/>
            </c:ext>
          </c:extLst>
        </c:ser>
        <c:ser>
          <c:idx val="7"/>
          <c:order val="7"/>
          <c:tx>
            <c:v>Fir G30 85L</c:v>
          </c:tx>
          <c:spPr>
            <a:ln w="254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'G30 85L (impacts;velo)'!$N$2:$N$102</c:f>
              <c:numCache>
                <c:formatCode>0.000</c:formatCode>
                <c:ptCount val="101"/>
                <c:pt idx="0">
                  <c:v>23928.635238265408</c:v>
                </c:pt>
                <c:pt idx="1">
                  <c:v>23693.065925184783</c:v>
                </c:pt>
                <c:pt idx="2">
                  <c:v>23457.496612104103</c:v>
                </c:pt>
                <c:pt idx="3">
                  <c:v>23221.927299023453</c:v>
                </c:pt>
                <c:pt idx="4">
                  <c:v>22986.35798594277</c:v>
                </c:pt>
                <c:pt idx="5">
                  <c:v>22750.788672862094</c:v>
                </c:pt>
                <c:pt idx="6">
                  <c:v>22515.219359781422</c:v>
                </c:pt>
                <c:pt idx="7">
                  <c:v>22279.650046700754</c:v>
                </c:pt>
                <c:pt idx="8">
                  <c:v>22044.080733620063</c:v>
                </c:pt>
                <c:pt idx="9">
                  <c:v>21808.511420539424</c:v>
                </c:pt>
                <c:pt idx="10">
                  <c:v>21572.942107458723</c:v>
                </c:pt>
                <c:pt idx="11">
                  <c:v>21337.372794378094</c:v>
                </c:pt>
                <c:pt idx="12">
                  <c:v>21101.803481297382</c:v>
                </c:pt>
                <c:pt idx="13">
                  <c:v>20866.23416821675</c:v>
                </c:pt>
                <c:pt idx="14">
                  <c:v>20630.6648551361</c:v>
                </c:pt>
                <c:pt idx="15">
                  <c:v>20395.095542055413</c:v>
                </c:pt>
                <c:pt idx="16">
                  <c:v>20159.526228974719</c:v>
                </c:pt>
                <c:pt idx="17">
                  <c:v>19923.956915894047</c:v>
                </c:pt>
                <c:pt idx="18">
                  <c:v>19688.3876028134</c:v>
                </c:pt>
                <c:pt idx="19">
                  <c:v>19452.818289732753</c:v>
                </c:pt>
                <c:pt idx="20">
                  <c:v>19217.248976652048</c:v>
                </c:pt>
                <c:pt idx="21">
                  <c:v>18981.679663571394</c:v>
                </c:pt>
                <c:pt idx="22">
                  <c:v>18746.110350490737</c:v>
                </c:pt>
                <c:pt idx="23">
                  <c:v>18510.541037410054</c:v>
                </c:pt>
                <c:pt idx="24">
                  <c:v>18274.971724329374</c:v>
                </c:pt>
                <c:pt idx="25">
                  <c:v>18039.402411248688</c:v>
                </c:pt>
                <c:pt idx="26">
                  <c:v>17803.833098168048</c:v>
                </c:pt>
                <c:pt idx="27">
                  <c:v>17568.26378508738</c:v>
                </c:pt>
                <c:pt idx="28">
                  <c:v>17332.694472006689</c:v>
                </c:pt>
                <c:pt idx="29">
                  <c:v>17097.125158926043</c:v>
                </c:pt>
                <c:pt idx="30">
                  <c:v>16861.555845845374</c:v>
                </c:pt>
                <c:pt idx="31">
                  <c:v>16625.98653276468</c:v>
                </c:pt>
                <c:pt idx="32">
                  <c:v>16390.41721968403</c:v>
                </c:pt>
                <c:pt idx="33">
                  <c:v>16154.847906603394</c:v>
                </c:pt>
                <c:pt idx="34">
                  <c:v>15919.278593522678</c:v>
                </c:pt>
                <c:pt idx="35">
                  <c:v>15683.709280442014</c:v>
                </c:pt>
                <c:pt idx="36">
                  <c:v>15448.139967361372</c:v>
                </c:pt>
                <c:pt idx="37">
                  <c:v>15212.570654280709</c:v>
                </c:pt>
                <c:pt idx="38">
                  <c:v>14977.001341200026</c:v>
                </c:pt>
                <c:pt idx="39">
                  <c:v>14741.432028119356</c:v>
                </c:pt>
                <c:pt idx="40">
                  <c:v>14505.862715038682</c:v>
                </c:pt>
                <c:pt idx="41">
                  <c:v>14270.293401958019</c:v>
                </c:pt>
                <c:pt idx="42">
                  <c:v>14034.724088877365</c:v>
                </c:pt>
                <c:pt idx="43">
                  <c:v>13799.154775796691</c:v>
                </c:pt>
                <c:pt idx="44">
                  <c:v>13563.585462716017</c:v>
                </c:pt>
                <c:pt idx="45">
                  <c:v>13328.016149635347</c:v>
                </c:pt>
                <c:pt idx="46">
                  <c:v>13092.446836554667</c:v>
                </c:pt>
                <c:pt idx="47">
                  <c:v>12856.877523474001</c:v>
                </c:pt>
                <c:pt idx="48">
                  <c:v>12621.308210393358</c:v>
                </c:pt>
                <c:pt idx="49">
                  <c:v>12385.738897312665</c:v>
                </c:pt>
                <c:pt idx="50">
                  <c:v>12150.169584232019</c:v>
                </c:pt>
                <c:pt idx="51">
                  <c:v>11914.600271151332</c:v>
                </c:pt>
                <c:pt idx="52">
                  <c:v>11679.030958070676</c:v>
                </c:pt>
                <c:pt idx="53">
                  <c:v>11443.461644989984</c:v>
                </c:pt>
                <c:pt idx="54">
                  <c:v>11207.89233190933</c:v>
                </c:pt>
                <c:pt idx="55">
                  <c:v>10972.323018828656</c:v>
                </c:pt>
                <c:pt idx="56">
                  <c:v>10736.753705747984</c:v>
                </c:pt>
                <c:pt idx="57">
                  <c:v>10501.184392667319</c:v>
                </c:pt>
                <c:pt idx="58">
                  <c:v>10265.615079586654</c:v>
                </c:pt>
                <c:pt idx="59">
                  <c:v>10030.045766505989</c:v>
                </c:pt>
                <c:pt idx="60">
                  <c:v>9794.4764534253045</c:v>
                </c:pt>
                <c:pt idx="61">
                  <c:v>9558.9071403446469</c:v>
                </c:pt>
                <c:pt idx="62">
                  <c:v>9323.3378272639766</c:v>
                </c:pt>
                <c:pt idx="63">
                  <c:v>9087.7685141833081</c:v>
                </c:pt>
                <c:pt idx="64">
                  <c:v>8852.1992011026359</c:v>
                </c:pt>
                <c:pt idx="65">
                  <c:v>8616.6298880219692</c:v>
                </c:pt>
                <c:pt idx="66">
                  <c:v>8381.0605749413116</c:v>
                </c:pt>
                <c:pt idx="67">
                  <c:v>8145.4912618606386</c:v>
                </c:pt>
                <c:pt idx="68">
                  <c:v>7909.9219487799719</c:v>
                </c:pt>
                <c:pt idx="69">
                  <c:v>7674.3526356992952</c:v>
                </c:pt>
                <c:pt idx="70">
                  <c:v>7438.7833226186294</c:v>
                </c:pt>
                <c:pt idx="71">
                  <c:v>7203.2140095379655</c:v>
                </c:pt>
                <c:pt idx="72">
                  <c:v>6967.644696457297</c:v>
                </c:pt>
                <c:pt idx="73">
                  <c:v>6732.0753833766266</c:v>
                </c:pt>
                <c:pt idx="74">
                  <c:v>6496.5060702959609</c:v>
                </c:pt>
                <c:pt idx="75">
                  <c:v>6260.9367572152951</c:v>
                </c:pt>
                <c:pt idx="76">
                  <c:v>6025.3674441346184</c:v>
                </c:pt>
                <c:pt idx="77">
                  <c:v>5789.7981310539508</c:v>
                </c:pt>
                <c:pt idx="78">
                  <c:v>5554.2288179732832</c:v>
                </c:pt>
                <c:pt idx="79">
                  <c:v>5318.6595048926183</c:v>
                </c:pt>
                <c:pt idx="80">
                  <c:v>5083.0901918119507</c:v>
                </c:pt>
                <c:pt idx="81">
                  <c:v>4847.5208787312758</c:v>
                </c:pt>
                <c:pt idx="82">
                  <c:v>4611.9515656506037</c:v>
                </c:pt>
                <c:pt idx="83">
                  <c:v>4376.382252569937</c:v>
                </c:pt>
                <c:pt idx="84">
                  <c:v>4140.8129394892721</c:v>
                </c:pt>
                <c:pt idx="85">
                  <c:v>3905.2436264086027</c:v>
                </c:pt>
                <c:pt idx="86">
                  <c:v>3669.6743133279315</c:v>
                </c:pt>
                <c:pt idx="87">
                  <c:v>3434.1050002472684</c:v>
                </c:pt>
                <c:pt idx="88">
                  <c:v>3198.5356871665931</c:v>
                </c:pt>
                <c:pt idx="89">
                  <c:v>2962.9663740859287</c:v>
                </c:pt>
                <c:pt idx="90">
                  <c:v>2727.397061005257</c:v>
                </c:pt>
                <c:pt idx="91">
                  <c:v>2491.827747924594</c:v>
                </c:pt>
                <c:pt idx="92">
                  <c:v>2256.258434843925</c:v>
                </c:pt>
                <c:pt idx="93">
                  <c:v>2020.6891217632553</c:v>
                </c:pt>
                <c:pt idx="94">
                  <c:v>1785.1198086825843</c:v>
                </c:pt>
                <c:pt idx="95">
                  <c:v>1549.5504956019188</c:v>
                </c:pt>
                <c:pt idx="96">
                  <c:v>1313.98118252125</c:v>
                </c:pt>
                <c:pt idx="97">
                  <c:v>1078.4118694405811</c:v>
                </c:pt>
                <c:pt idx="98">
                  <c:v>842.84255635991258</c:v>
                </c:pt>
                <c:pt idx="99">
                  <c:v>607.27324327924021</c:v>
                </c:pt>
                <c:pt idx="100">
                  <c:v>371.70393019857528</c:v>
                </c:pt>
              </c:numCache>
            </c:numRef>
          </c:xVal>
          <c:yVal>
            <c:numRef>
              <c:f>'G30 85L (impacts;velo)'!$O$2:$O$102</c:f>
              <c:numCache>
                <c:formatCode>0</c:formatCode>
                <c:ptCount val="101"/>
                <c:pt idx="0">
                  <c:v>101.13008200050113</c:v>
                </c:pt>
                <c:pt idx="1">
                  <c:v>101.22788850277664</c:v>
                </c:pt>
                <c:pt idx="2">
                  <c:v>101.32676833995794</c:v>
                </c:pt>
                <c:pt idx="3">
                  <c:v>101.42674424877059</c:v>
                </c:pt>
                <c:pt idx="4">
                  <c:v>101.52783968444082</c:v>
                </c:pt>
                <c:pt idx="5">
                  <c:v>101.63007885104058</c:v>
                </c:pt>
                <c:pt idx="6">
                  <c:v>101.73348673344327</c:v>
                </c:pt>
                <c:pt idx="7">
                  <c:v>101.83808913099359</c:v>
                </c:pt>
                <c:pt idx="8">
                  <c:v>101.94391269300361</c:v>
                </c:pt>
                <c:pt idx="9">
                  <c:v>102.05098495619251</c:v>
                </c:pt>
                <c:pt idx="10">
                  <c:v>102.15933438420198</c:v>
                </c:pt>
                <c:pt idx="11">
                  <c:v>102.26899040932364</c:v>
                </c:pt>
                <c:pt idx="12">
                  <c:v>102.37998347658933</c:v>
                </c:pt>
                <c:pt idx="13">
                  <c:v>102.49234509038681</c:v>
                </c:pt>
                <c:pt idx="14">
                  <c:v>102.60610786377448</c:v>
                </c:pt>
                <c:pt idx="15">
                  <c:v>102.72130557068465</c:v>
                </c:pt>
                <c:pt idx="16">
                  <c:v>102.83797320122117</c:v>
                </c:pt>
                <c:pt idx="17">
                  <c:v>102.95614702027194</c:v>
                </c:pt>
                <c:pt idx="18">
                  <c:v>103.07586462967743</c:v>
                </c:pt>
                <c:pt idx="19">
                  <c:v>103.19716503421627</c:v>
                </c:pt>
                <c:pt idx="20">
                  <c:v>103.32008871169282</c:v>
                </c:pt>
                <c:pt idx="21">
                  <c:v>103.44467768743264</c:v>
                </c:pt>
                <c:pt idx="22">
                  <c:v>103.57097561352506</c:v>
                </c:pt>
                <c:pt idx="23">
                  <c:v>103.69902785317656</c:v>
                </c:pt>
                <c:pt idx="24">
                  <c:v>103.82888157057653</c:v>
                </c:pt>
                <c:pt idx="25">
                  <c:v>103.96058582670928</c:v>
                </c:pt>
                <c:pt idx="26">
                  <c:v>104.09419168159215</c:v>
                </c:pt>
                <c:pt idx="27">
                  <c:v>104.22975230345948</c:v>
                </c:pt>
                <c:pt idx="28">
                  <c:v>104.36732308546603</c:v>
                </c:pt>
                <c:pt idx="29">
                  <c:v>104.50696177053771</c:v>
                </c:pt>
                <c:pt idx="30">
                  <c:v>104.64872858505875</c:v>
                </c:pt>
                <c:pt idx="31">
                  <c:v>104.79268638215456</c:v>
                </c:pt>
                <c:pt idx="32">
                  <c:v>104.93890079540526</c:v>
                </c:pt>
                <c:pt idx="33">
                  <c:v>105.08744040391279</c:v>
                </c:pt>
                <c:pt idx="34">
                  <c:v>105.23837690973744</c:v>
                </c:pt>
                <c:pt idx="35">
                  <c:v>105.39178532883014</c:v>
                </c:pt>
                <c:pt idx="36">
                  <c:v>105.54774419670794</c:v>
                </c:pt>
                <c:pt idx="37">
                  <c:v>105.70633579025325</c:v>
                </c:pt>
                <c:pt idx="38">
                  <c:v>105.86764636717473</c:v>
                </c:pt>
                <c:pt idx="39">
                  <c:v>106.03176642483595</c:v>
                </c:pt>
                <c:pt idx="40">
                  <c:v>106.19879098035982</c:v>
                </c:pt>
                <c:pt idx="41">
                  <c:v>106.36881987413111</c:v>
                </c:pt>
                <c:pt idx="42">
                  <c:v>106.54195809907631</c:v>
                </c:pt>
                <c:pt idx="43">
                  <c:v>106.71831615838329</c:v>
                </c:pt>
                <c:pt idx="44">
                  <c:v>106.89801045465057</c:v>
                </c:pt>
                <c:pt idx="45">
                  <c:v>107.08116371382536</c:v>
                </c:pt>
                <c:pt idx="46">
                  <c:v>107.2679054477191</c:v>
                </c:pt>
                <c:pt idx="47">
                  <c:v>107.45837245937487</c:v>
                </c:pt>
                <c:pt idx="48">
                  <c:v>107.65270939612405</c:v>
                </c:pt>
                <c:pt idx="49">
                  <c:v>107.85106935581692</c:v>
                </c:pt>
                <c:pt idx="50">
                  <c:v>108.05361455245998</c:v>
                </c:pt>
                <c:pt idx="51">
                  <c:v>108.26051704836053</c:v>
                </c:pt>
                <c:pt idx="52">
                  <c:v>108.47195956088643</c:v>
                </c:pt>
                <c:pt idx="53">
                  <c:v>108.68813635312181</c:v>
                </c:pt>
                <c:pt idx="54">
                  <c:v>108.9092542190734</c:v>
                </c:pt>
                <c:pt idx="55">
                  <c:v>109.13553357568999</c:v>
                </c:pt>
                <c:pt idx="56">
                  <c:v>109.36720967584628</c:v>
                </c:pt>
                <c:pt idx="57">
                  <c:v>109.60453395867793</c:v>
                </c:pt>
                <c:pt idx="58">
                  <c:v>109.84777555629506</c:v>
                </c:pt>
                <c:pt idx="59">
                  <c:v>110.09722297903791</c:v>
                </c:pt>
                <c:pt idx="60">
                  <c:v>110.35318600518974</c:v>
                </c:pt>
                <c:pt idx="61">
                  <c:v>110.61599780553753</c:v>
                </c:pt>
                <c:pt idx="62">
                  <c:v>110.88601733857153</c:v>
                </c:pt>
                <c:pt idx="63">
                  <c:v>111.16363205861603</c:v>
                </c:pt>
                <c:pt idx="64">
                  <c:v>111.44926098708733</c:v>
                </c:pt>
                <c:pt idx="65">
                  <c:v>111.74335820669866</c:v>
                </c:pt>
                <c:pt idx="66">
                  <c:v>112.04641685021907</c:v>
                </c:pt>
                <c:pt idx="67">
                  <c:v>112.35897366991043</c:v>
                </c:pt>
                <c:pt idx="68">
                  <c:v>112.68161429174107</c:v>
                </c:pt>
                <c:pt idx="69">
                  <c:v>113.01497928085323</c:v>
                </c:pt>
                <c:pt idx="70">
                  <c:v>113.3597711728019</c:v>
                </c:pt>
                <c:pt idx="71">
                  <c:v>113.71676266045695</c:v>
                </c:pt>
                <c:pt idx="72">
                  <c:v>114.08680617135865</c:v>
                </c:pt>
                <c:pt idx="73">
                  <c:v>114.47084512777002</c:v>
                </c:pt>
                <c:pt idx="74">
                  <c:v>114.86992725572118</c:v>
                </c:pt>
                <c:pt idx="75">
                  <c:v>115.28522040559744</c:v>
                </c:pt>
                <c:pt idx="76">
                  <c:v>115.71803147306068</c:v>
                </c:pt>
                <c:pt idx="77">
                  <c:v>116.16982917619518</c:v>
                </c:pt>
                <c:pt idx="78">
                  <c:v>116.64227166826049</c:v>
                </c:pt>
                <c:pt idx="79">
                  <c:v>117.13724026758088</c:v>
                </c:pt>
                <c:pt idx="80">
                  <c:v>117.6568809994646</c:v>
                </c:pt>
                <c:pt idx="81">
                  <c:v>118.20365621777806</c:v>
                </c:pt>
                <c:pt idx="82">
                  <c:v>118.78040937842837</c:v>
                </c:pt>
                <c:pt idx="83">
                  <c:v>119.39044718458432</c:v>
                </c:pt>
                <c:pt idx="84">
                  <c:v>120.03764498735782</c:v>
                </c:pt>
                <c:pt idx="85">
                  <c:v>120.72658378232676</c:v>
                </c:pt>
                <c:pt idx="86">
                  <c:v>121.46273084268782</c:v>
                </c:pt>
                <c:pt idx="87">
                  <c:v>122.25268172888632</c:v>
                </c:pt>
                <c:pt idx="88">
                  <c:v>123.10449041222533</c:v>
                </c:pt>
                <c:pt idx="89">
                  <c:v>124.02812885738679</c:v>
                </c:pt>
                <c:pt idx="90">
                  <c:v>125.03614188533508</c:v>
                </c:pt>
                <c:pt idx="91">
                  <c:v>126.1446056619284</c:v>
                </c:pt>
                <c:pt idx="92">
                  <c:v>127.37457518854832</c:v>
                </c:pt>
                <c:pt idx="93">
                  <c:v>128.75435270442364</c:v>
                </c:pt>
                <c:pt idx="94">
                  <c:v>130.32320432501675</c:v>
                </c:pt>
                <c:pt idx="95">
                  <c:v>132.13779115623512</c:v>
                </c:pt>
                <c:pt idx="96">
                  <c:v>134.28408857555871</c:v>
                </c:pt>
                <c:pt idx="97">
                  <c:v>136.90154205156372</c:v>
                </c:pt>
                <c:pt idx="98">
                  <c:v>140.2383612285152</c:v>
                </c:pt>
                <c:pt idx="99">
                  <c:v>144.80273463377193</c:v>
                </c:pt>
                <c:pt idx="100">
                  <c:v>151.91716142811671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A7-45F0-9E0D-2987223E8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</c:scatterChart>
      <c:valAx>
        <c:axId val="530717344"/>
        <c:scaling>
          <c:logBase val="10"/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 baseline="0"/>
                  <a:t>impacts 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logBase val="10"/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Impact kinetic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Impacts/area</a:t>
            </a:r>
            <a:r>
              <a:rPr lang="da-DK" baseline="0"/>
              <a:t> vs kinetic energy of impact</a:t>
            </a:r>
            <a:r>
              <a:rPr lang="da-DK"/>
              <a:t> to incubation failure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4.5574886862969004E-2"/>
          <c:y val="8.6931517073309567E-2"/>
          <c:w val="0.7686690385034689"/>
          <c:h val="0.79480403182504267"/>
        </c:manualLayout>
      </c:layout>
      <c:scatterChart>
        <c:scatterStyle val="lineMarker"/>
        <c:varyColors val="0"/>
        <c:ser>
          <c:idx val="0"/>
          <c:order val="0"/>
          <c:tx>
            <c:v>G27 60L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 Vestas G27 60L'!$O$7:$O$49</c:f>
              <c:numCache>
                <c:formatCode>0.00000</c:formatCode>
                <c:ptCount val="43"/>
                <c:pt idx="0">
                  <c:v>3542117817.5462627</c:v>
                </c:pt>
                <c:pt idx="1">
                  <c:v>3060896420.076324</c:v>
                </c:pt>
                <c:pt idx="2">
                  <c:v>105661443.67408709</c:v>
                </c:pt>
                <c:pt idx="3">
                  <c:v>140881924.89878279</c:v>
                </c:pt>
                <c:pt idx="4">
                  <c:v>176102406.12347847</c:v>
                </c:pt>
                <c:pt idx="5">
                  <c:v>211322887.34817418</c:v>
                </c:pt>
                <c:pt idx="6">
                  <c:v>246543368.57286987</c:v>
                </c:pt>
                <c:pt idx="7">
                  <c:v>281763849.79756558</c:v>
                </c:pt>
                <c:pt idx="8">
                  <c:v>316984331.02226126</c:v>
                </c:pt>
                <c:pt idx="9">
                  <c:v>352204812.24695694</c:v>
                </c:pt>
                <c:pt idx="10">
                  <c:v>387425293.47165269</c:v>
                </c:pt>
                <c:pt idx="11">
                  <c:v>140881924.89878279</c:v>
                </c:pt>
                <c:pt idx="12">
                  <c:v>176102406.12347847</c:v>
                </c:pt>
                <c:pt idx="13">
                  <c:v>211322887.34817418</c:v>
                </c:pt>
                <c:pt idx="14">
                  <c:v>246543368.57286987</c:v>
                </c:pt>
                <c:pt idx="15">
                  <c:v>281763849.79756558</c:v>
                </c:pt>
                <c:pt idx="16">
                  <c:v>316984331.02226126</c:v>
                </c:pt>
                <c:pt idx="17">
                  <c:v>387425293.47165269</c:v>
                </c:pt>
                <c:pt idx="18">
                  <c:v>422645774.69634837</c:v>
                </c:pt>
                <c:pt idx="19">
                  <c:v>176102406.12347847</c:v>
                </c:pt>
                <c:pt idx="20">
                  <c:v>211322887.34817418</c:v>
                </c:pt>
                <c:pt idx="21">
                  <c:v>246543368.57286987</c:v>
                </c:pt>
                <c:pt idx="22">
                  <c:v>281763849.79756558</c:v>
                </c:pt>
                <c:pt idx="23">
                  <c:v>316984331.02226126</c:v>
                </c:pt>
                <c:pt idx="24">
                  <c:v>352204812.24695694</c:v>
                </c:pt>
                <c:pt idx="25">
                  <c:v>573388253.43339479</c:v>
                </c:pt>
                <c:pt idx="26">
                  <c:v>661601830.88468611</c:v>
                </c:pt>
                <c:pt idx="27">
                  <c:v>705708619.61033213</c:v>
                </c:pt>
                <c:pt idx="28">
                  <c:v>1014456140.6898522</c:v>
                </c:pt>
                <c:pt idx="29">
                  <c:v>485174675.98210317</c:v>
                </c:pt>
                <c:pt idx="30">
                  <c:v>529281464.70774895</c:v>
                </c:pt>
                <c:pt idx="31">
                  <c:v>573388253.43339479</c:v>
                </c:pt>
                <c:pt idx="32">
                  <c:v>617495042.15904045</c:v>
                </c:pt>
                <c:pt idx="33">
                  <c:v>661601830.88468611</c:v>
                </c:pt>
                <c:pt idx="34">
                  <c:v>882135774.51291502</c:v>
                </c:pt>
                <c:pt idx="35">
                  <c:v>1014456140.6898522</c:v>
                </c:pt>
                <c:pt idx="36">
                  <c:v>441067887.25645751</c:v>
                </c:pt>
                <c:pt idx="37">
                  <c:v>485174675.98210317</c:v>
                </c:pt>
                <c:pt idx="38">
                  <c:v>529281464.70774895</c:v>
                </c:pt>
                <c:pt idx="39">
                  <c:v>573388253.43339479</c:v>
                </c:pt>
                <c:pt idx="40">
                  <c:v>617495042.15904045</c:v>
                </c:pt>
                <c:pt idx="41">
                  <c:v>749815408.33597767</c:v>
                </c:pt>
                <c:pt idx="42">
                  <c:v>1014456140.6898522</c:v>
                </c:pt>
              </c:numCache>
            </c:numRef>
          </c:xVal>
          <c:yVal>
            <c:numRef>
              <c:f>'New Vestas G27 60L'!$X$7:$X$49</c:f>
              <c:numCache>
                <c:formatCode>General</c:formatCode>
                <c:ptCount val="43"/>
                <c:pt idx="0" formatCode="0.00E+00">
                  <c:v>3.5115944195112589E-2</c:v>
                </c:pt>
                <c:pt idx="1">
                  <c:v>3.252442637529742E-2</c:v>
                </c:pt>
                <c:pt idx="2">
                  <c:v>7.6451056804510642E-2</c:v>
                </c:pt>
                <c:pt idx="3">
                  <c:v>7.4493020671554847E-2</c:v>
                </c:pt>
                <c:pt idx="4">
                  <c:v>6.5925784656394135E-2</c:v>
                </c:pt>
                <c:pt idx="5">
                  <c:v>6.4944052058859017E-2</c:v>
                </c:pt>
                <c:pt idx="6">
                  <c:v>6.3416209034051207E-2</c:v>
                </c:pt>
                <c:pt idx="7">
                  <c:v>6.1416432584628616E-2</c:v>
                </c:pt>
                <c:pt idx="8">
                  <c:v>5.8092982255365751E-2</c:v>
                </c:pt>
                <c:pt idx="9">
                  <c:v>4.9772035843508054E-2</c:v>
                </c:pt>
                <c:pt idx="10">
                  <c:v>4.9089418399388379E-2</c:v>
                </c:pt>
                <c:pt idx="11">
                  <c:v>6.9664706025259468E-2</c:v>
                </c:pt>
                <c:pt idx="12">
                  <c:v>6.8768327046843478E-2</c:v>
                </c:pt>
                <c:pt idx="13">
                  <c:v>6.7820495226105476E-2</c:v>
                </c:pt>
                <c:pt idx="14">
                  <c:v>6.7334785142997289E-2</c:v>
                </c:pt>
                <c:pt idx="15">
                  <c:v>6.437349628870212E-2</c:v>
                </c:pt>
                <c:pt idx="16">
                  <c:v>6.3539644419278299E-2</c:v>
                </c:pt>
                <c:pt idx="17">
                  <c:v>5.674989593327015E-2</c:v>
                </c:pt>
                <c:pt idx="18">
                  <c:v>5.4469228512949545E-2</c:v>
                </c:pt>
                <c:pt idx="19">
                  <c:v>7.3691748175305896E-2</c:v>
                </c:pt>
                <c:pt idx="20">
                  <c:v>6.8849065210035379E-2</c:v>
                </c:pt>
                <c:pt idx="21">
                  <c:v>6.3421114603097656E-2</c:v>
                </c:pt>
                <c:pt idx="22">
                  <c:v>6.2675680845554554E-2</c:v>
                </c:pt>
                <c:pt idx="23">
                  <c:v>6.0899192397184415E-2</c:v>
                </c:pt>
                <c:pt idx="24">
                  <c:v>5.7422834821048249E-2</c:v>
                </c:pt>
                <c:pt idx="25">
                  <c:v>5.2064725892779315E-2</c:v>
                </c:pt>
                <c:pt idx="26">
                  <c:v>4.9566299170730986E-2</c:v>
                </c:pt>
                <c:pt idx="27">
                  <c:v>4.6238650654597022E-2</c:v>
                </c:pt>
                <c:pt idx="28">
                  <c:v>4.4618182401749994E-2</c:v>
                </c:pt>
                <c:pt idx="29">
                  <c:v>5.3282161383062798E-2</c:v>
                </c:pt>
                <c:pt idx="30">
                  <c:v>5.1249993651282105E-2</c:v>
                </c:pt>
                <c:pt idx="31">
                  <c:v>5.0567644907169543E-2</c:v>
                </c:pt>
                <c:pt idx="32">
                  <c:v>4.7723684389911342E-2</c:v>
                </c:pt>
                <c:pt idx="33">
                  <c:v>4.4671018073585617E-2</c:v>
                </c:pt>
                <c:pt idx="34">
                  <c:v>4.3306390152360853E-2</c:v>
                </c:pt>
                <c:pt idx="35">
                  <c:v>4.1029534583559887E-2</c:v>
                </c:pt>
                <c:pt idx="36">
                  <c:v>5.3812319736201285E-2</c:v>
                </c:pt>
                <c:pt idx="37">
                  <c:v>5.2166905425000035E-2</c:v>
                </c:pt>
                <c:pt idx="38">
                  <c:v>5.1208509006679094E-2</c:v>
                </c:pt>
                <c:pt idx="39">
                  <c:v>5.0156325790842546E-2</c:v>
                </c:pt>
                <c:pt idx="40">
                  <c:v>4.9828479867964855E-2</c:v>
                </c:pt>
                <c:pt idx="41">
                  <c:v>4.7783763464978785E-2</c:v>
                </c:pt>
                <c:pt idx="42">
                  <c:v>4.6037148945249379E-2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29-460B-BFED-A2AC2BAEABED}"/>
            </c:ext>
          </c:extLst>
        </c:ser>
        <c:ser>
          <c:idx val="2"/>
          <c:order val="2"/>
          <c:tx>
            <c:v>G20 120L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 Vestas G20 120L'!$O$7:$O$37</c:f>
              <c:numCache>
                <c:formatCode>0.00000</c:formatCode>
                <c:ptCount val="31"/>
                <c:pt idx="0">
                  <c:v>64940334.711308509</c:v>
                </c:pt>
                <c:pt idx="1">
                  <c:v>108233891.18551418</c:v>
                </c:pt>
                <c:pt idx="2">
                  <c:v>129880669.42261702</c:v>
                </c:pt>
                <c:pt idx="3">
                  <c:v>43293556.47420568</c:v>
                </c:pt>
                <c:pt idx="4">
                  <c:v>64940334.711308509</c:v>
                </c:pt>
                <c:pt idx="5">
                  <c:v>86587112.94841136</c:v>
                </c:pt>
                <c:pt idx="6">
                  <c:v>129880669.42261702</c:v>
                </c:pt>
                <c:pt idx="7">
                  <c:v>43293556.47420568</c:v>
                </c:pt>
                <c:pt idx="8">
                  <c:v>64940334.711308509</c:v>
                </c:pt>
                <c:pt idx="9">
                  <c:v>86587112.94841136</c:v>
                </c:pt>
                <c:pt idx="10">
                  <c:v>129880669.42261702</c:v>
                </c:pt>
                <c:pt idx="11">
                  <c:v>162650226.41860005</c:v>
                </c:pt>
                <c:pt idx="12">
                  <c:v>189758597.48836675</c:v>
                </c:pt>
                <c:pt idx="13">
                  <c:v>216866968.55813342</c:v>
                </c:pt>
                <c:pt idx="14">
                  <c:v>243975339.62790009</c:v>
                </c:pt>
                <c:pt idx="15">
                  <c:v>298192081.76743346</c:v>
                </c:pt>
                <c:pt idx="16">
                  <c:v>325300452.83720011</c:v>
                </c:pt>
                <c:pt idx="17">
                  <c:v>108433484.27906671</c:v>
                </c:pt>
                <c:pt idx="18">
                  <c:v>135541855.34883338</c:v>
                </c:pt>
                <c:pt idx="19">
                  <c:v>162650226.41860005</c:v>
                </c:pt>
                <c:pt idx="20">
                  <c:v>189758597.48836675</c:v>
                </c:pt>
                <c:pt idx="21">
                  <c:v>243975339.62790009</c:v>
                </c:pt>
                <c:pt idx="22">
                  <c:v>271083710.69766676</c:v>
                </c:pt>
                <c:pt idx="23">
                  <c:v>298192081.76743346</c:v>
                </c:pt>
                <c:pt idx="24">
                  <c:v>135541855.34883338</c:v>
                </c:pt>
                <c:pt idx="25">
                  <c:v>162650226.41860005</c:v>
                </c:pt>
                <c:pt idx="26">
                  <c:v>216866968.55813342</c:v>
                </c:pt>
                <c:pt idx="27">
                  <c:v>243975339.62790009</c:v>
                </c:pt>
                <c:pt idx="28">
                  <c:v>271083710.69766676</c:v>
                </c:pt>
                <c:pt idx="29">
                  <c:v>696761344.76508725</c:v>
                </c:pt>
                <c:pt idx="30">
                  <c:v>580634453.97090602</c:v>
                </c:pt>
              </c:numCache>
            </c:numRef>
          </c:xVal>
          <c:yVal>
            <c:numRef>
              <c:f>'New Vestas G20 120L'!$X$7:$X$37</c:f>
              <c:numCache>
                <c:formatCode>General</c:formatCode>
                <c:ptCount val="31"/>
                <c:pt idx="0">
                  <c:v>0.21523718362893049</c:v>
                </c:pt>
                <c:pt idx="1">
                  <c:v>0.18661365980874997</c:v>
                </c:pt>
                <c:pt idx="2">
                  <c:v>0.16105250229979537</c:v>
                </c:pt>
                <c:pt idx="3">
                  <c:v>0.23351108761240263</c:v>
                </c:pt>
                <c:pt idx="4">
                  <c:v>0.22283398040441765</c:v>
                </c:pt>
                <c:pt idx="5">
                  <c:v>0.18811139999220489</c:v>
                </c:pt>
                <c:pt idx="6">
                  <c:v>0.17286987651768485</c:v>
                </c:pt>
                <c:pt idx="7">
                  <c:v>0.22799113112402114</c:v>
                </c:pt>
                <c:pt idx="8">
                  <c:v>0.19991877742223157</c:v>
                </c:pt>
                <c:pt idx="9">
                  <c:v>0.17458919979862561</c:v>
                </c:pt>
                <c:pt idx="10">
                  <c:v>0.17230502574122131</c:v>
                </c:pt>
                <c:pt idx="11">
                  <c:v>0.1756327218355794</c:v>
                </c:pt>
                <c:pt idx="12">
                  <c:v>0.15203223025200766</c:v>
                </c:pt>
                <c:pt idx="13">
                  <c:v>0.14566422553141214</c:v>
                </c:pt>
                <c:pt idx="14">
                  <c:v>0.13992109159013547</c:v>
                </c:pt>
                <c:pt idx="15">
                  <c:v>0.13007485531930812</c:v>
                </c:pt>
                <c:pt idx="16">
                  <c:v>0.12755265610928382</c:v>
                </c:pt>
                <c:pt idx="17">
                  <c:v>0.1687160440085084</c:v>
                </c:pt>
                <c:pt idx="18">
                  <c:v>0.15723768277154276</c:v>
                </c:pt>
                <c:pt idx="19">
                  <c:v>0.15478470768729413</c:v>
                </c:pt>
                <c:pt idx="20">
                  <c:v>0.14968358465478571</c:v>
                </c:pt>
                <c:pt idx="21">
                  <c:v>0.14710238588361527</c:v>
                </c:pt>
                <c:pt idx="22">
                  <c:v>0.14454363666785958</c:v>
                </c:pt>
                <c:pt idx="23">
                  <c:v>0.12966258203703543</c:v>
                </c:pt>
                <c:pt idx="24">
                  <c:v>0.15800029041531136</c:v>
                </c:pt>
                <c:pt idx="25">
                  <c:v>0.14858922719463774</c:v>
                </c:pt>
                <c:pt idx="26">
                  <c:v>0.14167438401856008</c:v>
                </c:pt>
                <c:pt idx="27">
                  <c:v>0.13800522794903955</c:v>
                </c:pt>
                <c:pt idx="28">
                  <c:v>0.13739838204457172</c:v>
                </c:pt>
                <c:pt idx="29">
                  <c:v>0.11467637106443151</c:v>
                </c:pt>
                <c:pt idx="30">
                  <c:v>0.11104592131825418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F29-460B-BFED-A2AC2BAEABED}"/>
            </c:ext>
          </c:extLst>
        </c:ser>
        <c:ser>
          <c:idx val="4"/>
          <c:order val="4"/>
          <c:tx>
            <c:v>G27 105L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 Vestas G27 105L'!$O$7:$O$57</c:f>
              <c:numCache>
                <c:formatCode>0</c:formatCode>
                <c:ptCount val="51"/>
                <c:pt idx="0">
                  <c:v>134770285239.88643</c:v>
                </c:pt>
                <c:pt idx="1">
                  <c:v>148247313763.87506</c:v>
                </c:pt>
                <c:pt idx="2">
                  <c:v>148247313763.87506</c:v>
                </c:pt>
                <c:pt idx="3">
                  <c:v>168462856549.85803</c:v>
                </c:pt>
                <c:pt idx="4">
                  <c:v>175201370811.85236</c:v>
                </c:pt>
                <c:pt idx="5">
                  <c:v>121293256715.89778</c:v>
                </c:pt>
                <c:pt idx="6">
                  <c:v>128031770977.89211</c:v>
                </c:pt>
                <c:pt idx="7">
                  <c:v>168462856549.85803</c:v>
                </c:pt>
                <c:pt idx="8">
                  <c:v>16778900512.365856</c:v>
                </c:pt>
                <c:pt idx="9">
                  <c:v>20973625640.457321</c:v>
                </c:pt>
                <c:pt idx="10">
                  <c:v>29363075896.640247</c:v>
                </c:pt>
                <c:pt idx="11">
                  <c:v>41947251280.914642</c:v>
                </c:pt>
                <c:pt idx="12">
                  <c:v>46141976409.006104</c:v>
                </c:pt>
                <c:pt idx="13">
                  <c:v>67115602049.463425</c:v>
                </c:pt>
                <c:pt idx="14">
                  <c:v>75505052305.646362</c:v>
                </c:pt>
                <c:pt idx="15">
                  <c:v>79699777433.737823</c:v>
                </c:pt>
                <c:pt idx="16">
                  <c:v>83894502561.829285</c:v>
                </c:pt>
                <c:pt idx="17">
                  <c:v>12584175384.274391</c:v>
                </c:pt>
                <c:pt idx="18">
                  <c:v>16778900512.365856</c:v>
                </c:pt>
                <c:pt idx="19">
                  <c:v>20973625640.457321</c:v>
                </c:pt>
                <c:pt idx="20">
                  <c:v>41947251280.914642</c:v>
                </c:pt>
                <c:pt idx="21">
                  <c:v>46141976409.006104</c:v>
                </c:pt>
                <c:pt idx="22">
                  <c:v>50336701537.097565</c:v>
                </c:pt>
                <c:pt idx="23">
                  <c:v>62920876921.371964</c:v>
                </c:pt>
                <c:pt idx="24">
                  <c:v>83894502561.829285</c:v>
                </c:pt>
                <c:pt idx="25">
                  <c:v>16778900512.365856</c:v>
                </c:pt>
                <c:pt idx="26">
                  <c:v>25168350768.548782</c:v>
                </c:pt>
                <c:pt idx="27">
                  <c:v>29363075896.640247</c:v>
                </c:pt>
                <c:pt idx="28">
                  <c:v>41947251280.914642</c:v>
                </c:pt>
                <c:pt idx="29">
                  <c:v>62920876921.371964</c:v>
                </c:pt>
                <c:pt idx="30">
                  <c:v>79699777433.737823</c:v>
                </c:pt>
                <c:pt idx="31">
                  <c:v>2512202348.299758</c:v>
                </c:pt>
                <c:pt idx="32">
                  <c:v>5024404696.5995159</c:v>
                </c:pt>
                <c:pt idx="33">
                  <c:v>7536607044.8992739</c:v>
                </c:pt>
                <c:pt idx="34">
                  <c:v>10048809393.199032</c:v>
                </c:pt>
                <c:pt idx="35">
                  <c:v>12561011741.498789</c:v>
                </c:pt>
                <c:pt idx="36">
                  <c:v>15073214089.798548</c:v>
                </c:pt>
                <c:pt idx="37">
                  <c:v>17585416438.098301</c:v>
                </c:pt>
                <c:pt idx="38">
                  <c:v>22609821134.697815</c:v>
                </c:pt>
                <c:pt idx="39">
                  <c:v>2512202348.299758</c:v>
                </c:pt>
                <c:pt idx="40">
                  <c:v>5024404696.5995159</c:v>
                </c:pt>
                <c:pt idx="41">
                  <c:v>7536607044.8992739</c:v>
                </c:pt>
                <c:pt idx="42">
                  <c:v>10048809393.199032</c:v>
                </c:pt>
                <c:pt idx="43">
                  <c:v>15073214089.798548</c:v>
                </c:pt>
                <c:pt idx="44">
                  <c:v>25122023482.997578</c:v>
                </c:pt>
                <c:pt idx="45">
                  <c:v>5024404696.5995159</c:v>
                </c:pt>
                <c:pt idx="46">
                  <c:v>7536607044.8992739</c:v>
                </c:pt>
                <c:pt idx="47">
                  <c:v>10048809393.199032</c:v>
                </c:pt>
                <c:pt idx="48">
                  <c:v>15073214089.798548</c:v>
                </c:pt>
                <c:pt idx="49">
                  <c:v>20097618786.398064</c:v>
                </c:pt>
                <c:pt idx="50">
                  <c:v>22609821134.697815</c:v>
                </c:pt>
              </c:numCache>
            </c:numRef>
          </c:xVal>
          <c:yVal>
            <c:numRef>
              <c:f>'New Vestas G27 105L'!$X$7:$X$57</c:f>
              <c:numCache>
                <c:formatCode>General</c:formatCode>
                <c:ptCount val="51"/>
                <c:pt idx="0">
                  <c:v>1.0637416964586377E-3</c:v>
                </c:pt>
                <c:pt idx="1">
                  <c:v>9.9811166810319005E-4</c:v>
                </c:pt>
                <c:pt idx="2">
                  <c:v>1.1039241860224069E-3</c:v>
                </c:pt>
                <c:pt idx="3">
                  <c:v>1.0746711205698771E-3</c:v>
                </c:pt>
                <c:pt idx="4">
                  <c:v>9.4949930103621139E-4</c:v>
                </c:pt>
                <c:pt idx="5">
                  <c:v>1.1044688682055256E-3</c:v>
                </c:pt>
                <c:pt idx="6">
                  <c:v>1.0578044793524059E-3</c:v>
                </c:pt>
                <c:pt idx="7">
                  <c:v>1.0354783864046679E-3</c:v>
                </c:pt>
                <c:pt idx="8">
                  <c:v>1.6247154044352757E-3</c:v>
                </c:pt>
                <c:pt idx="9">
                  <c:v>1.5137060697197776E-3</c:v>
                </c:pt>
                <c:pt idx="10">
                  <c:v>1.4873483550261867E-3</c:v>
                </c:pt>
                <c:pt idx="11">
                  <c:v>1.4236891988812597E-3</c:v>
                </c:pt>
                <c:pt idx="12">
                  <c:v>1.3836297954927903E-3</c:v>
                </c:pt>
                <c:pt idx="13">
                  <c:v>1.3602270346011807E-3</c:v>
                </c:pt>
                <c:pt idx="14">
                  <c:v>1.3370238829502217E-3</c:v>
                </c:pt>
                <c:pt idx="15">
                  <c:v>1.2801791096798496E-3</c:v>
                </c:pt>
                <c:pt idx="16">
                  <c:v>1.2755459998789879E-3</c:v>
                </c:pt>
                <c:pt idx="17">
                  <c:v>1.8223154493581253E-3</c:v>
                </c:pt>
                <c:pt idx="18">
                  <c:v>1.714570346711926E-3</c:v>
                </c:pt>
                <c:pt idx="19">
                  <c:v>1.5546289799175227E-3</c:v>
                </c:pt>
                <c:pt idx="20">
                  <c:v>1.4951014006957975E-3</c:v>
                </c:pt>
                <c:pt idx="21">
                  <c:v>1.4269170163113071E-3</c:v>
                </c:pt>
                <c:pt idx="22">
                  <c:v>1.3543488972736733E-3</c:v>
                </c:pt>
                <c:pt idx="23">
                  <c:v>1.3123044676597948E-3</c:v>
                </c:pt>
                <c:pt idx="24">
                  <c:v>1.2871632724398277E-3</c:v>
                </c:pt>
                <c:pt idx="25">
                  <c:v>1.7108911959766628E-3</c:v>
                </c:pt>
                <c:pt idx="26">
                  <c:v>1.6564391638312483E-3</c:v>
                </c:pt>
                <c:pt idx="27">
                  <c:v>1.5642269906662874E-3</c:v>
                </c:pt>
                <c:pt idx="28">
                  <c:v>1.4314723061654368E-3</c:v>
                </c:pt>
                <c:pt idx="29">
                  <c:v>1.4210817996219548E-3</c:v>
                </c:pt>
                <c:pt idx="30">
                  <c:v>1.3853142452029726E-3</c:v>
                </c:pt>
                <c:pt idx="31">
                  <c:v>2.2466876326235792E-3</c:v>
                </c:pt>
                <c:pt idx="32">
                  <c:v>1.8088457725834418E-3</c:v>
                </c:pt>
                <c:pt idx="33">
                  <c:v>1.7394024910748727E-3</c:v>
                </c:pt>
                <c:pt idx="34">
                  <c:v>1.6776683934463953E-3</c:v>
                </c:pt>
                <c:pt idx="35">
                  <c:v>1.6657720778875558E-3</c:v>
                </c:pt>
                <c:pt idx="36">
                  <c:v>1.6499761681200158E-3</c:v>
                </c:pt>
                <c:pt idx="37">
                  <c:v>1.5976081653820552E-3</c:v>
                </c:pt>
                <c:pt idx="38">
                  <c:v>1.5644437696071872E-3</c:v>
                </c:pt>
                <c:pt idx="39">
                  <c:v>2.616418363173883E-3</c:v>
                </c:pt>
                <c:pt idx="40">
                  <c:v>2.2586986229629351E-3</c:v>
                </c:pt>
                <c:pt idx="41">
                  <c:v>2.0512211505383849E-3</c:v>
                </c:pt>
                <c:pt idx="42">
                  <c:v>1.8262225051090212E-3</c:v>
                </c:pt>
                <c:pt idx="43">
                  <c:v>1.6773739873694614E-3</c:v>
                </c:pt>
                <c:pt idx="44">
                  <c:v>1.6268108674949646E-3</c:v>
                </c:pt>
                <c:pt idx="45">
                  <c:v>2.1868159646677263E-3</c:v>
                </c:pt>
                <c:pt idx="46">
                  <c:v>1.9339752155110117E-3</c:v>
                </c:pt>
                <c:pt idx="47">
                  <c:v>1.8537029926504669E-3</c:v>
                </c:pt>
                <c:pt idx="48">
                  <c:v>1.7866041363159113E-3</c:v>
                </c:pt>
                <c:pt idx="49">
                  <c:v>1.7022660876800794E-3</c:v>
                </c:pt>
                <c:pt idx="50">
                  <c:v>1.6640285578211097E-3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29-460B-BFED-A2AC2BAEABED}"/>
            </c:ext>
          </c:extLst>
        </c:ser>
        <c:ser>
          <c:idx val="6"/>
          <c:order val="6"/>
          <c:tx>
            <c:v>G30 85L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power"/>
            <c:forward val="300000"/>
            <c:backward val="120"/>
            <c:dispRSqr val="0"/>
            <c:dispEq val="0"/>
          </c:trendline>
          <c:xVal>
            <c:numRef>
              <c:f>'New Vestas G30 85L'!$O$7:$O$47</c:f>
              <c:numCache>
                <c:formatCode>0</c:formatCode>
                <c:ptCount val="41"/>
                <c:pt idx="0">
                  <c:v>8404157059.0284328</c:v>
                </c:pt>
                <c:pt idx="1">
                  <c:v>1089914118.5927498</c:v>
                </c:pt>
                <c:pt idx="2">
                  <c:v>1743862589.7484002</c:v>
                </c:pt>
                <c:pt idx="3">
                  <c:v>1961845413.4669502</c:v>
                </c:pt>
                <c:pt idx="4">
                  <c:v>2615793884.6225996</c:v>
                </c:pt>
                <c:pt idx="5">
                  <c:v>2833776708.3411503</c:v>
                </c:pt>
                <c:pt idx="6">
                  <c:v>3051759532.0597</c:v>
                </c:pt>
                <c:pt idx="7">
                  <c:v>4141673650.6524501</c:v>
                </c:pt>
                <c:pt idx="8">
                  <c:v>871931294.87420011</c:v>
                </c:pt>
                <c:pt idx="9">
                  <c:v>1089914118.5927498</c:v>
                </c:pt>
                <c:pt idx="10">
                  <c:v>1743862589.7484002</c:v>
                </c:pt>
                <c:pt idx="11">
                  <c:v>2397811060.9040499</c:v>
                </c:pt>
                <c:pt idx="12">
                  <c:v>2615793884.6225996</c:v>
                </c:pt>
                <c:pt idx="13">
                  <c:v>4141673650.6524501</c:v>
                </c:pt>
                <c:pt idx="14">
                  <c:v>871931294.87420011</c:v>
                </c:pt>
                <c:pt idx="15">
                  <c:v>1089914118.5927498</c:v>
                </c:pt>
                <c:pt idx="16">
                  <c:v>1307896942.3112998</c:v>
                </c:pt>
                <c:pt idx="17">
                  <c:v>1743862589.7484002</c:v>
                </c:pt>
                <c:pt idx="18">
                  <c:v>2179828237.1854997</c:v>
                </c:pt>
                <c:pt idx="19">
                  <c:v>2397811060.9040499</c:v>
                </c:pt>
                <c:pt idx="20">
                  <c:v>2615793884.6225996</c:v>
                </c:pt>
                <c:pt idx="21">
                  <c:v>2833776708.3411503</c:v>
                </c:pt>
                <c:pt idx="22">
                  <c:v>3705708003.2153502</c:v>
                </c:pt>
                <c:pt idx="23">
                  <c:v>4141673650.6524501</c:v>
                </c:pt>
                <c:pt idx="24">
                  <c:v>261097900.29741973</c:v>
                </c:pt>
                <c:pt idx="25">
                  <c:v>391646850.44612962</c:v>
                </c:pt>
                <c:pt idx="26">
                  <c:v>522195800.59483945</c:v>
                </c:pt>
                <c:pt idx="27">
                  <c:v>783293700.89225924</c:v>
                </c:pt>
                <c:pt idx="28">
                  <c:v>1044391601.1896789</c:v>
                </c:pt>
                <c:pt idx="29">
                  <c:v>261097900.29741973</c:v>
                </c:pt>
                <c:pt idx="30">
                  <c:v>391646850.44612962</c:v>
                </c:pt>
                <c:pt idx="31">
                  <c:v>522195800.59483945</c:v>
                </c:pt>
                <c:pt idx="32">
                  <c:v>652744750.74354935</c:v>
                </c:pt>
                <c:pt idx="33">
                  <c:v>913842651.04096913</c:v>
                </c:pt>
                <c:pt idx="34">
                  <c:v>1044391601.1896789</c:v>
                </c:pt>
                <c:pt idx="35">
                  <c:v>130548950.14870986</c:v>
                </c:pt>
                <c:pt idx="36">
                  <c:v>261097900.29741973</c:v>
                </c:pt>
                <c:pt idx="37">
                  <c:v>391646850.44612962</c:v>
                </c:pt>
                <c:pt idx="38">
                  <c:v>522195800.59483945</c:v>
                </c:pt>
                <c:pt idx="39">
                  <c:v>783293700.89225924</c:v>
                </c:pt>
                <c:pt idx="40">
                  <c:v>1044391601.1896789</c:v>
                </c:pt>
              </c:numCache>
            </c:numRef>
          </c:xVal>
          <c:yVal>
            <c:numRef>
              <c:f>'New Vestas G30 85L'!$X$7:$X$47</c:f>
              <c:numCache>
                <c:formatCode>General</c:formatCode>
                <c:ptCount val="41"/>
                <c:pt idx="0">
                  <c:v>1.8405541578591977E-2</c:v>
                </c:pt>
                <c:pt idx="1">
                  <c:v>2.5130537639122322E-2</c:v>
                </c:pt>
                <c:pt idx="2">
                  <c:v>2.4987732540416169E-2</c:v>
                </c:pt>
                <c:pt idx="3">
                  <c:v>2.430994147981147E-2</c:v>
                </c:pt>
                <c:pt idx="4">
                  <c:v>2.336486959784621E-2</c:v>
                </c:pt>
                <c:pt idx="5">
                  <c:v>2.2178678908705056E-2</c:v>
                </c:pt>
                <c:pt idx="6">
                  <c:v>2.2044535057805882E-2</c:v>
                </c:pt>
                <c:pt idx="7">
                  <c:v>2.0734753846542758E-2</c:v>
                </c:pt>
                <c:pt idx="8">
                  <c:v>2.7710299600996947E-2</c:v>
                </c:pt>
                <c:pt idx="9">
                  <c:v>2.6671237937694638E-2</c:v>
                </c:pt>
                <c:pt idx="10">
                  <c:v>2.4030691064545199E-2</c:v>
                </c:pt>
                <c:pt idx="11">
                  <c:v>2.2587733930469686E-2</c:v>
                </c:pt>
                <c:pt idx="12">
                  <c:v>2.0557738203718805E-2</c:v>
                </c:pt>
                <c:pt idx="13">
                  <c:v>2.0946784745064079E-2</c:v>
                </c:pt>
                <c:pt idx="14">
                  <c:v>2.8713084905226404E-2</c:v>
                </c:pt>
                <c:pt idx="15">
                  <c:v>2.7046304609354546E-2</c:v>
                </c:pt>
                <c:pt idx="16">
                  <c:v>2.664528107308969E-2</c:v>
                </c:pt>
                <c:pt idx="17">
                  <c:v>2.611177290712733E-2</c:v>
                </c:pt>
                <c:pt idx="18">
                  <c:v>2.5872936417868017E-2</c:v>
                </c:pt>
                <c:pt idx="19">
                  <c:v>2.5655826647439282E-2</c:v>
                </c:pt>
                <c:pt idx="20">
                  <c:v>2.4745848478559779E-2</c:v>
                </c:pt>
                <c:pt idx="21">
                  <c:v>2.4091639570788224E-2</c:v>
                </c:pt>
                <c:pt idx="22">
                  <c:v>2.3564694041329784E-2</c:v>
                </c:pt>
                <c:pt idx="23">
                  <c:v>2.3161054118535026E-2</c:v>
                </c:pt>
                <c:pt idx="24">
                  <c:v>3.6921283265510425E-2</c:v>
                </c:pt>
                <c:pt idx="25">
                  <c:v>3.2855063786122511E-2</c:v>
                </c:pt>
                <c:pt idx="26">
                  <c:v>3.0356688725903767E-2</c:v>
                </c:pt>
                <c:pt idx="27">
                  <c:v>2.772514366177484E-2</c:v>
                </c:pt>
                <c:pt idx="28">
                  <c:v>2.457924210971674E-2</c:v>
                </c:pt>
                <c:pt idx="29">
                  <c:v>3.8931317877364209E-2</c:v>
                </c:pt>
                <c:pt idx="30">
                  <c:v>3.4645882734126346E-2</c:v>
                </c:pt>
                <c:pt idx="31">
                  <c:v>3.348959508837749E-2</c:v>
                </c:pt>
                <c:pt idx="32">
                  <c:v>2.944430615444309E-2</c:v>
                </c:pt>
                <c:pt idx="33">
                  <c:v>2.8548747972703823E-2</c:v>
                </c:pt>
                <c:pt idx="34">
                  <c:v>2.7860330102470021E-2</c:v>
                </c:pt>
                <c:pt idx="35">
                  <c:v>4.0430172192397203E-2</c:v>
                </c:pt>
                <c:pt idx="36">
                  <c:v>3.8771478301745772E-2</c:v>
                </c:pt>
                <c:pt idx="37">
                  <c:v>3.5689421727304403E-2</c:v>
                </c:pt>
                <c:pt idx="38">
                  <c:v>3.2359039716118712E-2</c:v>
                </c:pt>
                <c:pt idx="39">
                  <c:v>3.0876947359568325E-2</c:v>
                </c:pt>
                <c:pt idx="40">
                  <c:v>2.7056447477504866E-2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29-460B-BFED-A2AC2BAEA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G27 60L fit</c:v>
                </c:tx>
                <c:spPr>
                  <a:ln w="254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'G27 60L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15758.206889405428</c:v>
                      </c:pt>
                      <c:pt idx="1">
                        <c:v>15605.325496704039</c:v>
                      </c:pt>
                      <c:pt idx="2">
                        <c:v>15452.444104002621</c:v>
                      </c:pt>
                      <c:pt idx="3">
                        <c:v>15299.562711301212</c:v>
                      </c:pt>
                      <c:pt idx="4">
                        <c:v>15146.681318599807</c:v>
                      </c:pt>
                      <c:pt idx="5">
                        <c:v>14993.799925898415</c:v>
                      </c:pt>
                      <c:pt idx="6">
                        <c:v>14840.918533197013</c:v>
                      </c:pt>
                      <c:pt idx="7">
                        <c:v>14688.037140495597</c:v>
                      </c:pt>
                      <c:pt idx="8">
                        <c:v>14535.155747794184</c:v>
                      </c:pt>
                      <c:pt idx="9">
                        <c:v>14382.274355092801</c:v>
                      </c:pt>
                      <c:pt idx="10">
                        <c:v>14229.392962391379</c:v>
                      </c:pt>
                      <c:pt idx="11">
                        <c:v>14076.511569689974</c:v>
                      </c:pt>
                      <c:pt idx="12">
                        <c:v>13923.630176988585</c:v>
                      </c:pt>
                      <c:pt idx="13">
                        <c:v>13770.748784287172</c:v>
                      </c:pt>
                      <c:pt idx="14">
                        <c:v>13617.867391585753</c:v>
                      </c:pt>
                      <c:pt idx="15">
                        <c:v>13464.985998884355</c:v>
                      </c:pt>
                      <c:pt idx="16">
                        <c:v>13312.104606182957</c:v>
                      </c:pt>
                      <c:pt idx="17">
                        <c:v>13159.223213481517</c:v>
                      </c:pt>
                      <c:pt idx="18">
                        <c:v>13006.341820780128</c:v>
                      </c:pt>
                      <c:pt idx="19">
                        <c:v>12853.46042807873</c:v>
                      </c:pt>
                      <c:pt idx="20">
                        <c:v>12700.579035377321</c:v>
                      </c:pt>
                      <c:pt idx="21">
                        <c:v>12547.697642675912</c:v>
                      </c:pt>
                      <c:pt idx="22">
                        <c:v>12394.816249974496</c:v>
                      </c:pt>
                      <c:pt idx="23">
                        <c:v>12241.934857273114</c:v>
                      </c:pt>
                      <c:pt idx="24">
                        <c:v>12089.053464571711</c:v>
                      </c:pt>
                      <c:pt idx="25">
                        <c:v>11936.172071870295</c:v>
                      </c:pt>
                      <c:pt idx="26">
                        <c:v>11783.290679168871</c:v>
                      </c:pt>
                      <c:pt idx="27">
                        <c:v>11630.409286467477</c:v>
                      </c:pt>
                      <c:pt idx="28">
                        <c:v>11477.527893766059</c:v>
                      </c:pt>
                      <c:pt idx="29">
                        <c:v>11324.646501064668</c:v>
                      </c:pt>
                      <c:pt idx="30">
                        <c:v>11171.765108363259</c:v>
                      </c:pt>
                      <c:pt idx="31">
                        <c:v>11018.883715661845</c:v>
                      </c:pt>
                      <c:pt idx="32">
                        <c:v>10866.002322960443</c:v>
                      </c:pt>
                      <c:pt idx="33">
                        <c:v>10713.120930259038</c:v>
                      </c:pt>
                      <c:pt idx="34">
                        <c:v>10560.23953755764</c:v>
                      </c:pt>
                      <c:pt idx="35">
                        <c:v>10407.358144856249</c:v>
                      </c:pt>
                      <c:pt idx="36">
                        <c:v>10254.476752154826</c:v>
                      </c:pt>
                      <c:pt idx="37">
                        <c:v>10101.595359453429</c:v>
                      </c:pt>
                      <c:pt idx="38">
                        <c:v>9948.7139667520096</c:v>
                      </c:pt>
                      <c:pt idx="39">
                        <c:v>9795.8325740506061</c:v>
                      </c:pt>
                      <c:pt idx="40">
                        <c:v>9642.9511813491918</c:v>
                      </c:pt>
                      <c:pt idx="41">
                        <c:v>9490.0697886477974</c:v>
                      </c:pt>
                      <c:pt idx="42">
                        <c:v>9337.1883959463848</c:v>
                      </c:pt>
                      <c:pt idx="43">
                        <c:v>9184.3070032449759</c:v>
                      </c:pt>
                      <c:pt idx="44">
                        <c:v>9031.4256105435743</c:v>
                      </c:pt>
                      <c:pt idx="45">
                        <c:v>8878.5442178421599</c:v>
                      </c:pt>
                      <c:pt idx="46">
                        <c:v>8725.6628251407583</c:v>
                      </c:pt>
                      <c:pt idx="47">
                        <c:v>8572.7814324393585</c:v>
                      </c:pt>
                      <c:pt idx="48">
                        <c:v>8419.9000397379568</c:v>
                      </c:pt>
                      <c:pt idx="49">
                        <c:v>8267.0186470365388</c:v>
                      </c:pt>
                      <c:pt idx="50">
                        <c:v>8114.1372543351372</c:v>
                      </c:pt>
                      <c:pt idx="51">
                        <c:v>7961.2558616337328</c:v>
                      </c:pt>
                      <c:pt idx="52">
                        <c:v>7808.3744689323321</c:v>
                      </c:pt>
                      <c:pt idx="53">
                        <c:v>7655.4930762309177</c:v>
                      </c:pt>
                      <c:pt idx="54">
                        <c:v>7502.6116835295143</c:v>
                      </c:pt>
                      <c:pt idx="55">
                        <c:v>7349.7302908281163</c:v>
                      </c:pt>
                      <c:pt idx="56">
                        <c:v>7196.8488981267101</c:v>
                      </c:pt>
                      <c:pt idx="57">
                        <c:v>7043.9675054252912</c:v>
                      </c:pt>
                      <c:pt idx="58">
                        <c:v>6891.0861127238877</c:v>
                      </c:pt>
                      <c:pt idx="59">
                        <c:v>6738.2047200224806</c:v>
                      </c:pt>
                      <c:pt idx="60">
                        <c:v>6585.3233273210772</c:v>
                      </c:pt>
                      <c:pt idx="61">
                        <c:v>6432.4419346196728</c:v>
                      </c:pt>
                      <c:pt idx="62">
                        <c:v>6279.5605419182657</c:v>
                      </c:pt>
                      <c:pt idx="63">
                        <c:v>6126.6791492168531</c:v>
                      </c:pt>
                      <c:pt idx="64">
                        <c:v>5973.7977565154551</c:v>
                      </c:pt>
                      <c:pt idx="65">
                        <c:v>5820.9163638140453</c:v>
                      </c:pt>
                      <c:pt idx="66">
                        <c:v>5668.0349711126437</c:v>
                      </c:pt>
                      <c:pt idx="67">
                        <c:v>5515.1535784112339</c:v>
                      </c:pt>
                      <c:pt idx="68">
                        <c:v>5362.2721857098231</c:v>
                      </c:pt>
                      <c:pt idx="69">
                        <c:v>5209.3907930084215</c:v>
                      </c:pt>
                      <c:pt idx="70">
                        <c:v>5056.5094003070208</c:v>
                      </c:pt>
                      <c:pt idx="71">
                        <c:v>4903.6280076056073</c:v>
                      </c:pt>
                      <c:pt idx="72">
                        <c:v>4750.7466149042048</c:v>
                      </c:pt>
                      <c:pt idx="73">
                        <c:v>4597.8652222028022</c:v>
                      </c:pt>
                      <c:pt idx="74">
                        <c:v>4444.9838295013951</c:v>
                      </c:pt>
                      <c:pt idx="75">
                        <c:v>4292.1024367999844</c:v>
                      </c:pt>
                      <c:pt idx="76">
                        <c:v>4139.2210440985782</c:v>
                      </c:pt>
                      <c:pt idx="77">
                        <c:v>3986.3396513971743</c:v>
                      </c:pt>
                      <c:pt idx="78">
                        <c:v>3833.4582586957686</c:v>
                      </c:pt>
                      <c:pt idx="79">
                        <c:v>3680.5768659943606</c:v>
                      </c:pt>
                      <c:pt idx="80">
                        <c:v>3527.6954732929571</c:v>
                      </c:pt>
                      <c:pt idx="81">
                        <c:v>3374.8140805915473</c:v>
                      </c:pt>
                      <c:pt idx="82">
                        <c:v>3221.9326878901406</c:v>
                      </c:pt>
                      <c:pt idx="83">
                        <c:v>3069.0512951887372</c:v>
                      </c:pt>
                      <c:pt idx="84">
                        <c:v>2916.1699024873301</c:v>
                      </c:pt>
                      <c:pt idx="85">
                        <c:v>2763.2885097859244</c:v>
                      </c:pt>
                      <c:pt idx="86">
                        <c:v>2610.4071170845195</c:v>
                      </c:pt>
                      <c:pt idx="87">
                        <c:v>2457.5257243831124</c:v>
                      </c:pt>
                      <c:pt idx="88">
                        <c:v>2304.6443316817058</c:v>
                      </c:pt>
                      <c:pt idx="89">
                        <c:v>2151.7629389802996</c:v>
                      </c:pt>
                      <c:pt idx="90">
                        <c:v>1998.881546278893</c:v>
                      </c:pt>
                      <c:pt idx="91">
                        <c:v>1846.0001535774877</c:v>
                      </c:pt>
                      <c:pt idx="92">
                        <c:v>1693.1187608760831</c:v>
                      </c:pt>
                      <c:pt idx="93">
                        <c:v>1540.2373681746765</c:v>
                      </c:pt>
                      <c:pt idx="94">
                        <c:v>1387.3559754732717</c:v>
                      </c:pt>
                      <c:pt idx="95">
                        <c:v>1234.4745827718618</c:v>
                      </c:pt>
                      <c:pt idx="96">
                        <c:v>1081.5931900704575</c:v>
                      </c:pt>
                      <c:pt idx="97">
                        <c:v>928.71179736905151</c:v>
                      </c:pt>
                      <c:pt idx="98">
                        <c:v>775.83040466764646</c:v>
                      </c:pt>
                      <c:pt idx="99">
                        <c:v>622.94901196624096</c:v>
                      </c:pt>
                      <c:pt idx="100">
                        <c:v>470.0676192648354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'G27 60L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94.749439849172944</c:v>
                      </c:pt>
                      <c:pt idx="1">
                        <c:v>94.868325258856544</c:v>
                      </c:pt>
                      <c:pt idx="2">
                        <c:v>94.988532490945019</c:v>
                      </c:pt>
                      <c:pt idx="3">
                        <c:v>95.11008953978623</c:v>
                      </c:pt>
                      <c:pt idx="4">
                        <c:v>95.23302527990036</c:v>
                      </c:pt>
                      <c:pt idx="5">
                        <c:v>95.35736950287054</c:v>
                      </c:pt>
                      <c:pt idx="6">
                        <c:v>95.483152956172717</c:v>
                      </c:pt>
                      <c:pt idx="7">
                        <c:v>95.610407384069575</c:v>
                      </c:pt>
                      <c:pt idx="8">
                        <c:v>95.739165570699939</c:v>
                      </c:pt>
                      <c:pt idx="9">
                        <c:v>95.869461385507421</c:v>
                      </c:pt>
                      <c:pt idx="10">
                        <c:v>96.001329831159907</c:v>
                      </c:pt>
                      <c:pt idx="11">
                        <c:v>96.134807094126089</c:v>
                      </c:pt>
                      <c:pt idx="12">
                        <c:v>96.269930598086816</c:v>
                      </c:pt>
                      <c:pt idx="13">
                        <c:v>96.406739060372658</c:v>
                      </c:pt>
                      <c:pt idx="14">
                        <c:v>96.545272551635875</c:v>
                      </c:pt>
                      <c:pt idx="15">
                        <c:v>96.685572558979374</c:v>
                      </c:pt>
                      <c:pt idx="16">
                        <c:v>96.827682052786741</c:v>
                      </c:pt>
                      <c:pt idx="17">
                        <c:v>96.971645557513114</c:v>
                      </c:pt>
                      <c:pt idx="18">
                        <c:v>97.117509226723328</c:v>
                      </c:pt>
                      <c:pt idx="19">
                        <c:v>97.265320922683131</c:v>
                      </c:pt>
                      <c:pt idx="20">
                        <c:v>97.415130300839294</c:v>
                      </c:pt>
                      <c:pt idx="21">
                        <c:v>97.566988899550836</c:v>
                      </c:pt>
                      <c:pt idx="22">
                        <c:v>97.720950235466276</c:v>
                      </c:pt>
                      <c:pt idx="23">
                        <c:v>97.87706990497756</c:v>
                      </c:pt>
                      <c:pt idx="24">
                        <c:v>98.035405692217779</c:v>
                      </c:pt>
                      <c:pt idx="25">
                        <c:v>98.196017684114892</c:v>
                      </c:pt>
                      <c:pt idx="26">
                        <c:v>98.358968393058177</c:v>
                      </c:pt>
                      <c:pt idx="27">
                        <c:v>98.524322887787861</c:v>
                      </c:pt>
                      <c:pt idx="28">
                        <c:v>98.692148933176227</c:v>
                      </c:pt>
                      <c:pt idx="29">
                        <c:v>98.862517139629176</c:v>
                      </c:pt>
                      <c:pt idx="30">
                        <c:v>99.035501122913885</c:v>
                      </c:pt>
                      <c:pt idx="31">
                        <c:v>99.211177675289846</c:v>
                      </c:pt>
                      <c:pt idx="32">
                        <c:v>99.389626948916003</c:v>
                      </c:pt>
                      <c:pt idx="33">
                        <c:v>99.570932652598245</c:v>
                      </c:pt>
                      <c:pt idx="34">
                        <c:v>99.75518226305482</c:v>
                      </c:pt>
                      <c:pt idx="35">
                        <c:v>99.942467251998593</c:v>
                      </c:pt>
                      <c:pt idx="36">
                        <c:v>100.13288333047167</c:v>
                      </c:pt>
                      <c:pt idx="37">
                        <c:v>100.3265307120223</c:v>
                      </c:pt>
                      <c:pt idx="38">
                        <c:v>100.52351439648791</c:v>
                      </c:pt>
                      <c:pt idx="39">
                        <c:v>100.72394447634045</c:v>
                      </c:pt>
                      <c:pt idx="40">
                        <c:v>100.92793646777304</c:v>
                      </c:pt>
                      <c:pt idx="41">
                        <c:v>101.13561166895387</c:v>
                      </c:pt>
                      <c:pt idx="42">
                        <c:v>101.34709754815297</c:v>
                      </c:pt>
                      <c:pt idx="43">
                        <c:v>101.56252816476925</c:v>
                      </c:pt>
                      <c:pt idx="44">
                        <c:v>101.78204462664668</c:v>
                      </c:pt>
                      <c:pt idx="45">
                        <c:v>102.00579558747991</c:v>
                      </c:pt>
                      <c:pt idx="46">
                        <c:v>102.23393778858372</c:v>
                      </c:pt>
                      <c:pt idx="47">
                        <c:v>102.46663664983669</c:v>
                      </c:pt>
                      <c:pt idx="48">
                        <c:v>102.70406691523009</c:v>
                      </c:pt>
                      <c:pt idx="49">
                        <c:v>102.94641335916248</c:v>
                      </c:pt>
                      <c:pt idx="50">
                        <c:v>103.19387156043778</c:v>
                      </c:pt>
                      <c:pt idx="51">
                        <c:v>103.44664875187028</c:v>
                      </c:pt>
                      <c:pt idx="52">
                        <c:v>103.70496475449373</c:v>
                      </c:pt>
                      <c:pt idx="53">
                        <c:v>103.96905300664267</c:v>
                      </c:pt>
                      <c:pt idx="54">
                        <c:v>104.23916169965061</c:v>
                      </c:pt>
                      <c:pt idx="55">
                        <c:v>104.51555503363878</c:v>
                      </c:pt>
                      <c:pt idx="56">
                        <c:v>104.79851460888902</c:v>
                      </c:pt>
                      <c:pt idx="57">
                        <c:v>105.08834097067064</c:v>
                      </c:pt>
                      <c:pt idx="58">
                        <c:v>105.38535532819222</c:v>
                      </c:pt>
                      <c:pt idx="59">
                        <c:v>105.68990147165681</c:v>
                      </c:pt>
                      <c:pt idx="60">
                        <c:v>106.00234791533367</c:v>
                      </c:pt>
                      <c:pt idx="61">
                        <c:v>106.32309029923881</c:v>
                      </c:pt>
                      <c:pt idx="62">
                        <c:v>106.65255408761629</c:v>
                      </c:pt>
                      <c:pt idx="63">
                        <c:v>106.99119760913345</c:v>
                      </c:pt>
                      <c:pt idx="64">
                        <c:v>107.33951549181501</c:v>
                      </c:pt>
                      <c:pt idx="65">
                        <c:v>107.69804255554982</c:v>
                      </c:pt>
                      <c:pt idx="66">
                        <c:v>108.06735823696381</c:v>
                      </c:pt>
                      <c:pt idx="67">
                        <c:v>108.44809163604603</c:v>
                      </c:pt>
                      <c:pt idx="68">
                        <c:v>108.84092729188035</c:v>
                      </c:pt>
                      <c:pt idx="69">
                        <c:v>109.24661181701391</c:v>
                      </c:pt>
                      <c:pt idx="70">
                        <c:v>109.66596154755797</c:v>
                      </c:pt>
                      <c:pt idx="71">
                        <c:v>110.09987140059411</c:v>
                      </c:pt>
                      <c:pt idx="72">
                        <c:v>110.54932517380239</c:v>
                      </c:pt>
                      <c:pt idx="73">
                        <c:v>111.01540757716718</c:v>
                      </c:pt>
                      <c:pt idx="74">
                        <c:v>111.49931835665937</c:v>
                      </c:pt>
                      <c:pt idx="75">
                        <c:v>112.00238895985314</c:v>
                      </c:pt>
                      <c:pt idx="76">
                        <c:v>112.52610231010229</c:v>
                      </c:pt>
                      <c:pt idx="77">
                        <c:v>113.07211640838621</c:v>
                      </c:pt>
                      <c:pt idx="78">
                        <c:v>113.64229268303744</c:v>
                      </c:pt>
                      <c:pt idx="79">
                        <c:v>114.23873027543871</c:v>
                      </c:pt>
                      <c:pt idx="80">
                        <c:v>114.86380781034327</c:v>
                      </c:pt>
                      <c:pt idx="81">
                        <c:v>115.52023469041008</c:v>
                      </c:pt>
                      <c:pt idx="82">
                        <c:v>116.21111463121133</c:v>
                      </c:pt>
                      <c:pt idx="83">
                        <c:v>116.94002509817804</c:v>
                      </c:pt>
                      <c:pt idx="84">
                        <c:v>117.71111764653008</c:v>
                      </c:pt>
                      <c:pt idx="85">
                        <c:v>118.52924609401947</c:v>
                      </c:pt>
                      <c:pt idx="86">
                        <c:v>119.40013228207917</c:v>
                      </c:pt>
                      <c:pt idx="87">
                        <c:v>120.33058340068497</c:v>
                      </c:pt>
                      <c:pt idx="88">
                        <c:v>121.32878128833792</c:v>
                      </c:pt>
                      <c:pt idx="89">
                        <c:v>122.40467416915912</c:v>
                      </c:pt>
                      <c:pt idx="90">
                        <c:v>123.57051740392396</c:v>
                      </c:pt>
                      <c:pt idx="91">
                        <c:v>124.84163645160963</c:v>
                      </c:pt>
                      <c:pt idx="92">
                        <c:v>126.23753072806882</c:v>
                      </c:pt>
                      <c:pt idx="93">
                        <c:v>127.78351787718852</c:v>
                      </c:pt>
                      <c:pt idx="94">
                        <c:v>129.51326825201693</c:v>
                      </c:pt>
                      <c:pt idx="95">
                        <c:v>131.47287415548496</c:v>
                      </c:pt>
                      <c:pt idx="96">
                        <c:v>133.7277147234785</c:v>
                      </c:pt>
                      <c:pt idx="97">
                        <c:v>136.37477110573002</c:v>
                      </c:pt>
                      <c:pt idx="98">
                        <c:v>139.56652443438028</c:v>
                      </c:pt>
                      <c:pt idx="99">
                        <c:v>143.56243422306133</c:v>
                      </c:pt>
                      <c:pt idx="100">
                        <c:v>148.85736298171392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F29-460B-BFED-A2AC2BAEABED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Fit G20 120L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6703.6297361842471</c:v>
                      </c:pt>
                      <c:pt idx="1">
                        <c:v>6640.7587670907851</c:v>
                      </c:pt>
                      <c:pt idx="2">
                        <c:v>6577.8877979973076</c:v>
                      </c:pt>
                      <c:pt idx="3">
                        <c:v>6515.0168289038256</c:v>
                      </c:pt>
                      <c:pt idx="4">
                        <c:v>6452.1458598103591</c:v>
                      </c:pt>
                      <c:pt idx="5">
                        <c:v>6389.2748907168852</c:v>
                      </c:pt>
                      <c:pt idx="6">
                        <c:v>6326.4039216234114</c:v>
                      </c:pt>
                      <c:pt idx="7">
                        <c:v>6263.5329525299348</c:v>
                      </c:pt>
                      <c:pt idx="8">
                        <c:v>6200.6619834364656</c:v>
                      </c:pt>
                      <c:pt idx="9">
                        <c:v>6137.791014342989</c:v>
                      </c:pt>
                      <c:pt idx="10">
                        <c:v>6074.9200452495088</c:v>
                      </c:pt>
                      <c:pt idx="11">
                        <c:v>6012.0490761560413</c:v>
                      </c:pt>
                      <c:pt idx="12">
                        <c:v>5949.1781070625611</c:v>
                      </c:pt>
                      <c:pt idx="13">
                        <c:v>5886.30713796909</c:v>
                      </c:pt>
                      <c:pt idx="14">
                        <c:v>5823.4361688756144</c:v>
                      </c:pt>
                      <c:pt idx="15">
                        <c:v>5760.5651997821406</c:v>
                      </c:pt>
                      <c:pt idx="16">
                        <c:v>5697.6942306886731</c:v>
                      </c:pt>
                      <c:pt idx="17">
                        <c:v>5634.8232615951974</c:v>
                      </c:pt>
                      <c:pt idx="18">
                        <c:v>5571.9522925017218</c:v>
                      </c:pt>
                      <c:pt idx="19">
                        <c:v>5509.0813234082516</c:v>
                      </c:pt>
                      <c:pt idx="20">
                        <c:v>5446.2103543147796</c:v>
                      </c:pt>
                      <c:pt idx="21">
                        <c:v>5383.3393852212994</c:v>
                      </c:pt>
                      <c:pt idx="22">
                        <c:v>5320.4684161278274</c:v>
                      </c:pt>
                      <c:pt idx="23">
                        <c:v>5257.5974470343563</c:v>
                      </c:pt>
                      <c:pt idx="24">
                        <c:v>5194.7264779408779</c:v>
                      </c:pt>
                      <c:pt idx="25">
                        <c:v>5131.8555088474031</c:v>
                      </c:pt>
                      <c:pt idx="26">
                        <c:v>5068.9845397539357</c:v>
                      </c:pt>
                      <c:pt idx="27">
                        <c:v>5006.1135706604573</c:v>
                      </c:pt>
                      <c:pt idx="28">
                        <c:v>4943.2426015669835</c:v>
                      </c:pt>
                      <c:pt idx="29">
                        <c:v>4880.3716324735042</c:v>
                      </c:pt>
                      <c:pt idx="30">
                        <c:v>4817.5006633800385</c:v>
                      </c:pt>
                      <c:pt idx="31">
                        <c:v>4754.6296942865674</c:v>
                      </c:pt>
                      <c:pt idx="32">
                        <c:v>4691.75872519309</c:v>
                      </c:pt>
                      <c:pt idx="33">
                        <c:v>4628.8877560996152</c:v>
                      </c:pt>
                      <c:pt idx="34">
                        <c:v>4566.0167870061423</c:v>
                      </c:pt>
                      <c:pt idx="35">
                        <c:v>4503.1458179126694</c:v>
                      </c:pt>
                      <c:pt idx="36">
                        <c:v>4440.2748488191964</c:v>
                      </c:pt>
                      <c:pt idx="37">
                        <c:v>4377.403879725719</c:v>
                      </c:pt>
                      <c:pt idx="38">
                        <c:v>4314.5329106322433</c:v>
                      </c:pt>
                      <c:pt idx="39">
                        <c:v>4251.6619415387731</c:v>
                      </c:pt>
                      <c:pt idx="40">
                        <c:v>4188.7909724452948</c:v>
                      </c:pt>
                      <c:pt idx="41">
                        <c:v>4125.9200033518209</c:v>
                      </c:pt>
                      <c:pt idx="42">
                        <c:v>4063.0490342583453</c:v>
                      </c:pt>
                      <c:pt idx="43">
                        <c:v>4000.1780651648774</c:v>
                      </c:pt>
                      <c:pt idx="44">
                        <c:v>3937.3070960714031</c:v>
                      </c:pt>
                      <c:pt idx="45">
                        <c:v>3874.4361269779279</c:v>
                      </c:pt>
                      <c:pt idx="46">
                        <c:v>3811.5651578844513</c:v>
                      </c:pt>
                      <c:pt idx="47">
                        <c:v>3748.6941887909838</c:v>
                      </c:pt>
                      <c:pt idx="48">
                        <c:v>3685.8232196975046</c:v>
                      </c:pt>
                      <c:pt idx="49">
                        <c:v>3622.9522506040294</c:v>
                      </c:pt>
                      <c:pt idx="50">
                        <c:v>3560.0812815105596</c:v>
                      </c:pt>
                      <c:pt idx="51">
                        <c:v>3497.2103124170853</c:v>
                      </c:pt>
                      <c:pt idx="52">
                        <c:v>3434.3393433236092</c:v>
                      </c:pt>
                      <c:pt idx="53">
                        <c:v>3371.4683742301345</c:v>
                      </c:pt>
                      <c:pt idx="54">
                        <c:v>3308.5974051366625</c:v>
                      </c:pt>
                      <c:pt idx="55">
                        <c:v>3245.72643604319</c:v>
                      </c:pt>
                      <c:pt idx="56">
                        <c:v>3182.8554669497153</c:v>
                      </c:pt>
                      <c:pt idx="57">
                        <c:v>3119.9844978562392</c:v>
                      </c:pt>
                      <c:pt idx="58">
                        <c:v>3057.1135287627662</c:v>
                      </c:pt>
                      <c:pt idx="59">
                        <c:v>2994.2425596692938</c:v>
                      </c:pt>
                      <c:pt idx="60">
                        <c:v>2931.3715905758195</c:v>
                      </c:pt>
                      <c:pt idx="61">
                        <c:v>2868.500621482347</c:v>
                      </c:pt>
                      <c:pt idx="62">
                        <c:v>2805.6296523888714</c:v>
                      </c:pt>
                      <c:pt idx="63">
                        <c:v>2742.7586832954003</c:v>
                      </c:pt>
                      <c:pt idx="64">
                        <c:v>2679.8877142019232</c:v>
                      </c:pt>
                      <c:pt idx="65">
                        <c:v>2617.0167451084494</c:v>
                      </c:pt>
                      <c:pt idx="66">
                        <c:v>2554.1457760149774</c:v>
                      </c:pt>
                      <c:pt idx="67">
                        <c:v>2491.2748069215022</c:v>
                      </c:pt>
                      <c:pt idx="68">
                        <c:v>2428.4038378280288</c:v>
                      </c:pt>
                      <c:pt idx="69">
                        <c:v>2365.5328687345559</c:v>
                      </c:pt>
                      <c:pt idx="70">
                        <c:v>2302.6618996410812</c:v>
                      </c:pt>
                      <c:pt idx="71">
                        <c:v>2239.7909305476073</c:v>
                      </c:pt>
                      <c:pt idx="72">
                        <c:v>2176.9199614541335</c:v>
                      </c:pt>
                      <c:pt idx="73">
                        <c:v>2114.0489923606597</c:v>
                      </c:pt>
                      <c:pt idx="74">
                        <c:v>2051.1780232671863</c:v>
                      </c:pt>
                      <c:pt idx="75">
                        <c:v>1988.3070541737127</c:v>
                      </c:pt>
                      <c:pt idx="76">
                        <c:v>1925.4360850802384</c:v>
                      </c:pt>
                      <c:pt idx="77">
                        <c:v>1862.5651159867634</c:v>
                      </c:pt>
                      <c:pt idx="78">
                        <c:v>1799.6941468932903</c:v>
                      </c:pt>
                      <c:pt idx="79">
                        <c:v>1736.8231777998162</c:v>
                      </c:pt>
                      <c:pt idx="80">
                        <c:v>1673.9522087063433</c:v>
                      </c:pt>
                      <c:pt idx="81">
                        <c:v>1611.0812396128676</c:v>
                      </c:pt>
                      <c:pt idx="82">
                        <c:v>1548.2102705193956</c:v>
                      </c:pt>
                      <c:pt idx="83">
                        <c:v>1485.3393014259209</c:v>
                      </c:pt>
                      <c:pt idx="84">
                        <c:v>1422.468332332448</c:v>
                      </c:pt>
                      <c:pt idx="85">
                        <c:v>1359.5973632389737</c:v>
                      </c:pt>
                      <c:pt idx="86">
                        <c:v>1296.7263941454983</c:v>
                      </c:pt>
                      <c:pt idx="87">
                        <c:v>1233.8554250520265</c:v>
                      </c:pt>
                      <c:pt idx="88">
                        <c:v>1170.9844559585513</c:v>
                      </c:pt>
                      <c:pt idx="89">
                        <c:v>1108.113486865077</c:v>
                      </c:pt>
                      <c:pt idx="90">
                        <c:v>1045.2425177716043</c:v>
                      </c:pt>
                      <c:pt idx="91">
                        <c:v>982.37154867812978</c:v>
                      </c:pt>
                      <c:pt idx="92">
                        <c:v>919.50057958465607</c:v>
                      </c:pt>
                      <c:pt idx="93">
                        <c:v>856.62961049118292</c:v>
                      </c:pt>
                      <c:pt idx="94">
                        <c:v>793.75864139770715</c:v>
                      </c:pt>
                      <c:pt idx="95">
                        <c:v>730.88767230423389</c:v>
                      </c:pt>
                      <c:pt idx="96">
                        <c:v>668.01670321076028</c:v>
                      </c:pt>
                      <c:pt idx="97">
                        <c:v>605.14573411728588</c:v>
                      </c:pt>
                      <c:pt idx="98">
                        <c:v>542.27476502381307</c:v>
                      </c:pt>
                      <c:pt idx="99">
                        <c:v>479.40379593033896</c:v>
                      </c:pt>
                      <c:pt idx="100">
                        <c:v>416.53282683686507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'G20 120L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97.087688831232569</c:v>
                      </c:pt>
                      <c:pt idx="1">
                        <c:v>97.214232167439448</c:v>
                      </c:pt>
                      <c:pt idx="2">
                        <c:v>97.342146558217522</c:v>
                      </c:pt>
                      <c:pt idx="3">
                        <c:v>97.471460177725959</c:v>
                      </c:pt>
                      <c:pt idx="4">
                        <c:v>97.60220205809803</c:v>
                      </c:pt>
                      <c:pt idx="5">
                        <c:v>97.734402124232474</c:v>
                      </c:pt>
                      <c:pt idx="6">
                        <c:v>97.868091230353102</c:v>
                      </c:pt>
                      <c:pt idx="7">
                        <c:v>98.003301198446138</c:v>
                      </c:pt>
                      <c:pt idx="8">
                        <c:v>98.140064858691744</c:v>
                      </c:pt>
                      <c:pt idx="9">
                        <c:v>98.278416092014268</c:v>
                      </c:pt>
                      <c:pt idx="10">
                        <c:v>98.418389874884753</c:v>
                      </c:pt>
                      <c:pt idx="11">
                        <c:v>98.560022326520837</c:v>
                      </c:pt>
                      <c:pt idx="12">
                        <c:v>98.703350758637384</c:v>
                      </c:pt>
                      <c:pt idx="13">
                        <c:v>98.848413727916025</c:v>
                      </c:pt>
                      <c:pt idx="14">
                        <c:v>98.995251091371003</c:v>
                      </c:pt>
                      <c:pt idx="15">
                        <c:v>99.143904064806321</c:v>
                      </c:pt>
                      <c:pt idx="16">
                        <c:v>99.294415284571457</c:v>
                      </c:pt>
                      <c:pt idx="17">
                        <c:v>99.446828872840399</c:v>
                      </c:pt>
                      <c:pt idx="18">
                        <c:v>99.601190506658071</c:v>
                      </c:pt>
                      <c:pt idx="19">
                        <c:v>99.75754749101543</c:v>
                      </c:pt>
                      <c:pt idx="20">
                        <c:v>99.915948836237632</c:v>
                      </c:pt>
                      <c:pt idx="21">
                        <c:v>100.07644533999395</c:v>
                      </c:pt>
                      <c:pt idx="22">
                        <c:v>100.23908967426115</c:v>
                      </c:pt>
                      <c:pt idx="23">
                        <c:v>100.40393647760443</c:v>
                      </c:pt>
                      <c:pt idx="24">
                        <c:v>100.5710424531664</c:v>
                      </c:pt>
                      <c:pt idx="25">
                        <c:v>100.74046647279258</c:v>
                      </c:pt>
                      <c:pt idx="26">
                        <c:v>100.91226968775929</c:v>
                      </c:pt>
                      <c:pt idx="27">
                        <c:v>101.08651564660687</c:v>
                      </c:pt>
                      <c:pt idx="28">
                        <c:v>101.26327042063363</c:v>
                      </c:pt>
                      <c:pt idx="29">
                        <c:v>101.44260273764974</c:v>
                      </c:pt>
                      <c:pt idx="30">
                        <c:v>101.6245841246526</c:v>
                      </c:pt>
                      <c:pt idx="31">
                        <c:v>101.8092890601399</c:v>
                      </c:pt>
                      <c:pt idx="32">
                        <c:v>101.99679513685243</c:v>
                      </c:pt>
                      <c:pt idx="33">
                        <c:v>102.18718323580761</c:v>
                      </c:pt>
                      <c:pt idx="34">
                        <c:v>102.38053771257538</c:v>
                      </c:pt>
                      <c:pt idx="35">
                        <c:v>102.57694659683841</c:v>
                      </c:pt>
                      <c:pt idx="36">
                        <c:v>102.77650180638308</c:v>
                      </c:pt>
                      <c:pt idx="37">
                        <c:v>102.97929937678816</c:v>
                      </c:pt>
                      <c:pt idx="38">
                        <c:v>103.18543970820427</c:v>
                      </c:pt>
                      <c:pt idx="39">
                        <c:v>103.39502783076777</c:v>
                      </c:pt>
                      <c:pt idx="40">
                        <c:v>103.60817369035372</c:v>
                      </c:pt>
                      <c:pt idx="41">
                        <c:v>103.82499245655877</c:v>
                      </c:pt>
                      <c:pt idx="42">
                        <c:v>104.04560485501085</c:v>
                      </c:pt>
                      <c:pt idx="43">
                        <c:v>104.27013752633862</c:v>
                      </c:pt>
                      <c:pt idx="44">
                        <c:v>104.49872341439455</c:v>
                      </c:pt>
                      <c:pt idx="45">
                        <c:v>104.73150218662704</c:v>
                      </c:pt>
                      <c:pt idx="46">
                        <c:v>104.96862068983222</c:v>
                      </c:pt>
                      <c:pt idx="47">
                        <c:v>105.21023344490415</c:v>
                      </c:pt>
                      <c:pt idx="48">
                        <c:v>105.45650318463655</c:v>
                      </c:pt>
                      <c:pt idx="49">
                        <c:v>105.70760143912764</c:v>
                      </c:pt>
                      <c:pt idx="50">
                        <c:v>105.96370917391121</c:v>
                      </c:pt>
                      <c:pt idx="51">
                        <c:v>106.22501748658915</c:v>
                      </c:pt>
                      <c:pt idx="52">
                        <c:v>106.49172836848574</c:v>
                      </c:pt>
                      <c:pt idx="53">
                        <c:v>106.76405553871226</c:v>
                      </c:pt>
                      <c:pt idx="54">
                        <c:v>107.04222535901842</c:v>
                      </c:pt>
                      <c:pt idx="55">
                        <c:v>107.32647783895811</c:v>
                      </c:pt>
                      <c:pt idx="56">
                        <c:v>107.61706774223154</c:v>
                      </c:pt>
                      <c:pt idx="57">
                        <c:v>107.91426580661035</c:v>
                      </c:pt>
                      <c:pt idx="58">
                        <c:v>108.21836009166429</c:v>
                      </c:pt>
                      <c:pt idx="59">
                        <c:v>108.52965747061289</c:v>
                      </c:pt>
                      <c:pt idx="60">
                        <c:v>108.84848528511078</c:v>
                      </c:pt>
                      <c:pt idx="61">
                        <c:v>109.17519318468364</c:v>
                      </c:pt>
                      <c:pt idx="62">
                        <c:v>109.51015517597854</c:v>
                      </c:pt>
                      <c:pt idx="63">
                        <c:v>109.85377191106869</c:v>
                      </c:pt>
                      <c:pt idx="64">
                        <c:v>110.20647324890082</c:v>
                      </c:pt>
                      <c:pt idx="65">
                        <c:v>110.56872112976326</c:v>
                      </c:pt>
                      <c:pt idx="66">
                        <c:v>110.94101280958608</c:v>
                      </c:pt>
                      <c:pt idx="67">
                        <c:v>111.32388450923304</c:v>
                      </c:pt>
                      <c:pt idx="68">
                        <c:v>111.71791554402391</c:v>
                      </c:pt>
                      <c:pt idx="69">
                        <c:v>112.12373301097443</c:v>
                      </c:pt>
                      <c:pt idx="70">
                        <c:v>112.5420171261691</c:v>
                      </c:pt>
                      <c:pt idx="71">
                        <c:v>112.97350732298511</c:v>
                      </c:pt>
                      <c:pt idx="72">
                        <c:v>113.41900924444451</c:v>
                      </c:pt>
                      <c:pt idx="73">
                        <c:v>113.87940279091363</c:v>
                      </c:pt>
                      <c:pt idx="74">
                        <c:v>114.35565141920637</c:v>
                      </c:pt>
                      <c:pt idx="75">
                        <c:v>114.84881293282162</c:v>
                      </c:pt>
                      <c:pt idx="76">
                        <c:v>115.36005205818341</c:v>
                      </c:pt>
                      <c:pt idx="77">
                        <c:v>115.89065517181744</c:v>
                      </c:pt>
                      <c:pt idx="78">
                        <c:v>116.44204763311193</c:v>
                      </c:pt>
                      <c:pt idx="79">
                        <c:v>117.01581429305935</c:v>
                      </c:pt>
                      <c:pt idx="80">
                        <c:v>117.61372389996976</c:v>
                      </c:pt>
                      <c:pt idx="81">
                        <c:v>118.23775832082032</c:v>
                      </c:pt>
                      <c:pt idx="82">
                        <c:v>118.8901477588351</c:v>
                      </c:pt>
                      <c:pt idx="83">
                        <c:v>119.57341349852298</c:v>
                      </c:pt>
                      <c:pt idx="84">
                        <c:v>120.29042018392796</c:v>
                      </c:pt>
                      <c:pt idx="85">
                        <c:v>121.04444028566435</c:v>
                      </c:pt>
                      <c:pt idx="86">
                        <c:v>121.83923431360178</c:v>
                      </c:pt>
                      <c:pt idx="87">
                        <c:v>122.67915159957518</c:v>
                      </c:pt>
                      <c:pt idx="88">
                        <c:v>123.56925828413698</c:v>
                      </c:pt>
                      <c:pt idx="89">
                        <c:v>124.51550176800993</c:v>
                      </c:pt>
                      <c:pt idx="90">
                        <c:v>125.52492477114548</c:v>
                      </c:pt>
                      <c:pt idx="91">
                        <c:v>126.60594799636613</c:v>
                      </c:pt>
                      <c:pt idx="92">
                        <c:v>127.76874942028434</c:v>
                      </c:pt>
                      <c:pt idx="93">
                        <c:v>129.02578249937002</c:v>
                      </c:pt>
                      <c:pt idx="94">
                        <c:v>130.3924987628252</c:v>
                      </c:pt>
                      <c:pt idx="95">
                        <c:v>131.88837915171709</c:v>
                      </c:pt>
                      <c:pt idx="96">
                        <c:v>133.53844609213445</c:v>
                      </c:pt>
                      <c:pt idx="97">
                        <c:v>135.37555091076749</c:v>
                      </c:pt>
                      <c:pt idx="98">
                        <c:v>137.44396464837521</c:v>
                      </c:pt>
                      <c:pt idx="99">
                        <c:v>139.80527126397001</c:v>
                      </c:pt>
                      <c:pt idx="100">
                        <c:v>142.54858113635476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29-460B-BFED-A2AC2BAEABED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Fit G27 105L</c:v>
                </c:tx>
                <c:spPr>
                  <a:ln w="2540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79270.378709181925</c:v>
                      </c:pt>
                      <c:pt idx="1">
                        <c:v>78489.041455960294</c:v>
                      </c:pt>
                      <c:pt idx="2">
                        <c:v>77707.704202738794</c:v>
                      </c:pt>
                      <c:pt idx="3">
                        <c:v>76926.366949517076</c:v>
                      </c:pt>
                      <c:pt idx="4">
                        <c:v>76145.029696295489</c:v>
                      </c:pt>
                      <c:pt idx="5">
                        <c:v>75363.692443073902</c:v>
                      </c:pt>
                      <c:pt idx="6">
                        <c:v>74582.355189852184</c:v>
                      </c:pt>
                      <c:pt idx="7">
                        <c:v>73801.017936630684</c:v>
                      </c:pt>
                      <c:pt idx="8">
                        <c:v>73019.680683409009</c:v>
                      </c:pt>
                      <c:pt idx="9">
                        <c:v>72238.343430187349</c:v>
                      </c:pt>
                      <c:pt idx="10">
                        <c:v>71457.006176965777</c:v>
                      </c:pt>
                      <c:pt idx="11">
                        <c:v>70675.668923744146</c:v>
                      </c:pt>
                      <c:pt idx="12">
                        <c:v>69894.331670522515</c:v>
                      </c:pt>
                      <c:pt idx="13">
                        <c:v>69112.994417300928</c:v>
                      </c:pt>
                      <c:pt idx="14">
                        <c:v>68331.65716407921</c:v>
                      </c:pt>
                      <c:pt idx="15">
                        <c:v>67550.31991085771</c:v>
                      </c:pt>
                      <c:pt idx="16">
                        <c:v>66768.982657636108</c:v>
                      </c:pt>
                      <c:pt idx="17">
                        <c:v>65987.645404414448</c:v>
                      </c:pt>
                      <c:pt idx="18">
                        <c:v>65206.308151192832</c:v>
                      </c:pt>
                      <c:pt idx="19">
                        <c:v>64424.970897971209</c:v>
                      </c:pt>
                      <c:pt idx="20">
                        <c:v>63643.633644749643</c:v>
                      </c:pt>
                      <c:pt idx="21">
                        <c:v>62862.296391527881</c:v>
                      </c:pt>
                      <c:pt idx="22">
                        <c:v>62080.959138306425</c:v>
                      </c:pt>
                      <c:pt idx="23">
                        <c:v>61299.621885084773</c:v>
                      </c:pt>
                      <c:pt idx="24">
                        <c:v>60518.284631863025</c:v>
                      </c:pt>
                      <c:pt idx="25">
                        <c:v>59736.947378641482</c:v>
                      </c:pt>
                      <c:pt idx="26">
                        <c:v>58955.610125419822</c:v>
                      </c:pt>
                      <c:pt idx="27">
                        <c:v>58174.272872198148</c:v>
                      </c:pt>
                      <c:pt idx="28">
                        <c:v>57392.935618976691</c:v>
                      </c:pt>
                      <c:pt idx="29">
                        <c:v>56611.598365755024</c:v>
                      </c:pt>
                      <c:pt idx="30">
                        <c:v>55830.261112533357</c:v>
                      </c:pt>
                      <c:pt idx="31">
                        <c:v>55048.923859311733</c:v>
                      </c:pt>
                      <c:pt idx="32">
                        <c:v>54267.586606090117</c:v>
                      </c:pt>
                      <c:pt idx="33">
                        <c:v>53486.249352868486</c:v>
                      </c:pt>
                      <c:pt idx="34">
                        <c:v>52704.912099646855</c:v>
                      </c:pt>
                      <c:pt idx="35">
                        <c:v>51923.574846425247</c:v>
                      </c:pt>
                      <c:pt idx="36">
                        <c:v>51142.237593203652</c:v>
                      </c:pt>
                      <c:pt idx="37">
                        <c:v>50360.900339982087</c:v>
                      </c:pt>
                      <c:pt idx="38">
                        <c:v>49579.563086760369</c:v>
                      </c:pt>
                      <c:pt idx="39">
                        <c:v>48798.225833538832</c:v>
                      </c:pt>
                      <c:pt idx="40">
                        <c:v>48016.888580317107</c:v>
                      </c:pt>
                      <c:pt idx="41">
                        <c:v>47235.551327095469</c:v>
                      </c:pt>
                      <c:pt idx="42">
                        <c:v>46454.214073873882</c:v>
                      </c:pt>
                      <c:pt idx="43">
                        <c:v>45672.87682065228</c:v>
                      </c:pt>
                      <c:pt idx="44">
                        <c:v>44891.539567430664</c:v>
                      </c:pt>
                      <c:pt idx="45">
                        <c:v>44110.202314209026</c:v>
                      </c:pt>
                      <c:pt idx="46">
                        <c:v>43328.865060987438</c:v>
                      </c:pt>
                      <c:pt idx="47">
                        <c:v>42547.527807765808</c:v>
                      </c:pt>
                      <c:pt idx="48">
                        <c:v>41766.190554544213</c:v>
                      </c:pt>
                      <c:pt idx="49">
                        <c:v>40984.853301322597</c:v>
                      </c:pt>
                      <c:pt idx="50">
                        <c:v>40203.516048100952</c:v>
                      </c:pt>
                      <c:pt idx="51">
                        <c:v>39422.178794879328</c:v>
                      </c:pt>
                      <c:pt idx="52">
                        <c:v>38640.841541657661</c:v>
                      </c:pt>
                      <c:pt idx="53">
                        <c:v>37859.504288436052</c:v>
                      </c:pt>
                      <c:pt idx="54">
                        <c:v>37078.167035214501</c:v>
                      </c:pt>
                      <c:pt idx="55">
                        <c:v>36296.829781992856</c:v>
                      </c:pt>
                      <c:pt idx="56">
                        <c:v>35515.492528771189</c:v>
                      </c:pt>
                      <c:pt idx="57">
                        <c:v>34734.155275549594</c:v>
                      </c:pt>
                      <c:pt idx="58">
                        <c:v>33952.818022327985</c:v>
                      </c:pt>
                      <c:pt idx="59">
                        <c:v>33171.480769106311</c:v>
                      </c:pt>
                      <c:pt idx="60">
                        <c:v>32390.143515884745</c:v>
                      </c:pt>
                      <c:pt idx="61">
                        <c:v>31608.806262663107</c:v>
                      </c:pt>
                      <c:pt idx="62">
                        <c:v>30827.469009441487</c:v>
                      </c:pt>
                      <c:pt idx="63">
                        <c:v>30046.131756219853</c:v>
                      </c:pt>
                      <c:pt idx="64">
                        <c:v>29264.794502998258</c:v>
                      </c:pt>
                      <c:pt idx="65">
                        <c:v>28483.457249776628</c:v>
                      </c:pt>
                      <c:pt idx="66">
                        <c:v>27702.119996555</c:v>
                      </c:pt>
                      <c:pt idx="67">
                        <c:v>26920.782743333402</c:v>
                      </c:pt>
                      <c:pt idx="68">
                        <c:v>26139.445490111717</c:v>
                      </c:pt>
                      <c:pt idx="69">
                        <c:v>25358.108236890144</c:v>
                      </c:pt>
                      <c:pt idx="70">
                        <c:v>24576.770983668524</c:v>
                      </c:pt>
                      <c:pt idx="71">
                        <c:v>23795.433730446934</c:v>
                      </c:pt>
                      <c:pt idx="72">
                        <c:v>23014.096477225241</c:v>
                      </c:pt>
                      <c:pt idx="73">
                        <c:v>22232.759224003679</c:v>
                      </c:pt>
                      <c:pt idx="74">
                        <c:v>21451.421970782041</c:v>
                      </c:pt>
                      <c:pt idx="75">
                        <c:v>20670.084717560425</c:v>
                      </c:pt>
                      <c:pt idx="76">
                        <c:v>19888.747464338801</c:v>
                      </c:pt>
                      <c:pt idx="77">
                        <c:v>19107.410211117196</c:v>
                      </c:pt>
                      <c:pt idx="78">
                        <c:v>18326.072957895525</c:v>
                      </c:pt>
                      <c:pt idx="79">
                        <c:v>17544.73570467392</c:v>
                      </c:pt>
                      <c:pt idx="80">
                        <c:v>16763.398451452318</c:v>
                      </c:pt>
                      <c:pt idx="81">
                        <c:v>15982.061198230678</c:v>
                      </c:pt>
                      <c:pt idx="82">
                        <c:v>15200.723945009056</c:v>
                      </c:pt>
                      <c:pt idx="83">
                        <c:v>14419.386691787418</c:v>
                      </c:pt>
                      <c:pt idx="84">
                        <c:v>13638.04943856584</c:v>
                      </c:pt>
                      <c:pt idx="85">
                        <c:v>12856.712185344195</c:v>
                      </c:pt>
                      <c:pt idx="86">
                        <c:v>12075.374932122573</c:v>
                      </c:pt>
                      <c:pt idx="87">
                        <c:v>11294.037678900952</c:v>
                      </c:pt>
                      <c:pt idx="88">
                        <c:v>10512.700425679348</c:v>
                      </c:pt>
                      <c:pt idx="89">
                        <c:v>9731.3631724577081</c:v>
                      </c:pt>
                      <c:pt idx="90">
                        <c:v>8950.0259192361009</c:v>
                      </c:pt>
                      <c:pt idx="91">
                        <c:v>8168.6886660144773</c:v>
                      </c:pt>
                      <c:pt idx="92">
                        <c:v>7387.3514127928529</c:v>
                      </c:pt>
                      <c:pt idx="93">
                        <c:v>6606.0141595712248</c:v>
                      </c:pt>
                      <c:pt idx="94">
                        <c:v>5824.6769063496131</c:v>
                      </c:pt>
                      <c:pt idx="95">
                        <c:v>5043.3396531279886</c:v>
                      </c:pt>
                      <c:pt idx="96">
                        <c:v>4262.0023999063642</c:v>
                      </c:pt>
                      <c:pt idx="97">
                        <c:v>3480.6651466847434</c:v>
                      </c:pt>
                      <c:pt idx="98">
                        <c:v>2699.3278934631276</c:v>
                      </c:pt>
                      <c:pt idx="99">
                        <c:v>1917.9906402414949</c:v>
                      </c:pt>
                      <c:pt idx="100">
                        <c:v>1136.6533870198773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'G27 105L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96.683356682692278</c:v>
                      </c:pt>
                      <c:pt idx="1">
                        <c:v>96.773426862331959</c:v>
                      </c:pt>
                      <c:pt idx="2">
                        <c:v>96.864483339484352</c:v>
                      </c:pt>
                      <c:pt idx="3">
                        <c:v>96.956546995835353</c:v>
                      </c:pt>
                      <c:pt idx="4">
                        <c:v>97.049639372978632</c:v>
                      </c:pt>
                      <c:pt idx="5">
                        <c:v>97.143782700295219</c:v>
                      </c:pt>
                      <c:pt idx="6">
                        <c:v>97.238999924315095</c:v>
                      </c:pt>
                      <c:pt idx="7">
                        <c:v>97.335314739652759</c:v>
                      </c:pt>
                      <c:pt idx="8">
                        <c:v>97.432751621623055</c:v>
                      </c:pt>
                      <c:pt idx="9">
                        <c:v>97.531335860643836</c:v>
                      </c:pt>
                      <c:pt idx="10">
                        <c:v>97.631093598546698</c:v>
                      </c:pt>
                      <c:pt idx="11">
                        <c:v>97.732051866921182</c:v>
                      </c:pt>
                      <c:pt idx="12">
                        <c:v>97.834238627633042</c:v>
                      </c:pt>
                      <c:pt idx="13">
                        <c:v>97.937682815662853</c:v>
                      </c:pt>
                      <c:pt idx="14">
                        <c:v>98.042414384428298</c:v>
                      </c:pt>
                      <c:pt idx="15">
                        <c:v>98.148464353762037</c:v>
                      </c:pt>
                      <c:pt idx="16">
                        <c:v>98.255864860735372</c:v>
                      </c:pt>
                      <c:pt idx="17">
                        <c:v>98.36464921353128</c:v>
                      </c:pt>
                      <c:pt idx="18">
                        <c:v>98.474851948587698</c:v>
                      </c:pt>
                      <c:pt idx="19">
                        <c:v>98.58650889125262</c:v>
                      </c:pt>
                      <c:pt idx="20">
                        <c:v>98.699657220211122</c:v>
                      </c:pt>
                      <c:pt idx="21">
                        <c:v>98.814335535969761</c:v>
                      </c:pt>
                      <c:pt idx="22">
                        <c:v>98.930583933706401</c:v>
                      </c:pt>
                      <c:pt idx="23">
                        <c:v>99.048444080823614</c:v>
                      </c:pt>
                      <c:pt idx="24">
                        <c:v>99.167959299573084</c:v>
                      </c:pt>
                      <c:pt idx="25">
                        <c:v>99.289174655153758</c:v>
                      </c:pt>
                      <c:pt idx="26">
                        <c:v>99.412137049721167</c:v>
                      </c:pt>
                      <c:pt idx="27">
                        <c:v>99.536895322791793</c:v>
                      </c:pt>
                      <c:pt idx="28">
                        <c:v>99.663500358567177</c:v>
                      </c:pt>
                      <c:pt idx="29">
                        <c:v>99.7920052007576</c:v>
                      </c:pt>
                      <c:pt idx="30">
                        <c:v>99.92246517554085</c:v>
                      </c:pt>
                      <c:pt idx="31">
                        <c:v>100.05493802335511</c:v>
                      </c:pt>
                      <c:pt idx="32">
                        <c:v>100.1894840402958</c:v>
                      </c:pt>
                      <c:pt idx="33">
                        <c:v>100.32616622996605</c:v>
                      </c:pt>
                      <c:pt idx="34">
                        <c:v>100.46505046672027</c:v>
                      </c:pt>
                      <c:pt idx="35">
                        <c:v>100.60620567133621</c:v>
                      </c:pt>
                      <c:pt idx="36">
                        <c:v>100.74970400026601</c:v>
                      </c:pt>
                      <c:pt idx="37">
                        <c:v>100.89562104974243</c:v>
                      </c:pt>
                      <c:pt idx="38">
                        <c:v>101.04403607615536</c:v>
                      </c:pt>
                      <c:pt idx="39">
                        <c:v>101.19503223427533</c:v>
                      </c:pt>
                      <c:pt idx="40">
                        <c:v>101.34869683508096</c:v>
                      </c:pt>
                      <c:pt idx="41">
                        <c:v>101.50512162515301</c:v>
                      </c:pt>
                      <c:pt idx="42">
                        <c:v>101.66440308982847</c:v>
                      </c:pt>
                      <c:pt idx="43">
                        <c:v>101.82664278257195</c:v>
                      </c:pt>
                      <c:pt idx="44">
                        <c:v>101.99194768332616</c:v>
                      </c:pt>
                      <c:pt idx="45">
                        <c:v>102.16043058894283</c:v>
                      </c:pt>
                      <c:pt idx="46">
                        <c:v>102.33221053919409</c:v>
                      </c:pt>
                      <c:pt idx="47">
                        <c:v>102.50741328230988</c:v>
                      </c:pt>
                      <c:pt idx="48">
                        <c:v>102.68617178451586</c:v>
                      </c:pt>
                      <c:pt idx="49">
                        <c:v>102.8686267886351</c:v>
                      </c:pt>
                      <c:pt idx="50">
                        <c:v>103.0549274275195</c:v>
                      </c:pt>
                      <c:pt idx="51">
                        <c:v>103.24523189887223</c:v>
                      </c:pt>
                      <c:pt idx="52">
                        <c:v>103.43970820896112</c:v>
                      </c:pt>
                      <c:pt idx="53">
                        <c:v>103.63853499380821</c:v>
                      </c:pt>
                      <c:pt idx="54">
                        <c:v>103.84190242771167</c:v>
                      </c:pt>
                      <c:pt idx="55">
                        <c:v>104.05001323044962</c:v>
                      </c:pt>
                      <c:pt idx="56">
                        <c:v>104.26308378626912</c:v>
                      </c:pt>
                      <c:pt idx="57">
                        <c:v>104.48134538983169</c:v>
                      </c:pt>
                      <c:pt idx="58">
                        <c:v>104.70504563674058</c:v>
                      </c:pt>
                      <c:pt idx="59">
                        <c:v>104.93444997919177</c:v>
                      </c:pt>
                      <c:pt idx="60">
                        <c:v>105.16984347076452</c:v>
                      </c:pt>
                      <c:pt idx="61">
                        <c:v>105.41153272853722</c:v>
                      </c:pt>
                      <c:pt idx="62">
                        <c:v>105.65984814572396</c:v>
                      </c:pt>
                      <c:pt idx="63">
                        <c:v>105.91514639408562</c:v>
                      </c:pt>
                      <c:pt idx="64">
                        <c:v>106.17781326271087</c:v>
                      </c:pt>
                      <c:pt idx="65">
                        <c:v>106.44826688873162</c:v>
                      </c:pt>
                      <c:pt idx="66">
                        <c:v>106.72696144651196</c:v>
                      </c:pt>
                      <c:pt idx="67">
                        <c:v>107.01439137538108</c:v>
                      </c:pt>
                      <c:pt idx="68">
                        <c:v>107.31109624274104</c:v>
                      </c:pt>
                      <c:pt idx="69">
                        <c:v>107.61766636026516</c:v>
                      </c:pt>
                      <c:pt idx="70">
                        <c:v>107.93474929708493</c:v>
                      </c:pt>
                      <c:pt idx="71">
                        <c:v>108.26305746691712</c:v>
                      </c:pt>
                      <c:pt idx="72">
                        <c:v>108.60337700807239</c:v>
                      </c:pt>
                      <c:pt idx="73">
                        <c:v>108.9565782290579</c:v>
                      </c:pt>
                      <c:pt idx="74">
                        <c:v>109.32362796185222</c:v>
                      </c:pt>
                      <c:pt idx="75">
                        <c:v>109.70560425518609</c:v>
                      </c:pt>
                      <c:pt idx="76">
                        <c:v>110.10371395863929</c:v>
                      </c:pt>
                      <c:pt idx="77">
                        <c:v>110.51931390537574</c:v>
                      </c:pt>
                      <c:pt idx="78">
                        <c:v>110.95393661156426</c:v>
                      </c:pt>
                      <c:pt idx="79">
                        <c:v>111.40932169512</c:v>
                      </c:pt>
                      <c:pt idx="80">
                        <c:v>111.88745460625944</c:v>
                      </c:pt>
                      <c:pt idx="81">
                        <c:v>112.3906148033447</c:v>
                      </c:pt>
                      <c:pt idx="82">
                        <c:v>112.92143626875506</c:v>
                      </c:pt>
                      <c:pt idx="83">
                        <c:v>113.48298434717152</c:v>
                      </c:pt>
                      <c:pt idx="84">
                        <c:v>114.07885446879506</c:v>
                      </c:pt>
                      <c:pt idx="85">
                        <c:v>114.71330065806717</c:v>
                      </c:pt>
                      <c:pt idx="86">
                        <c:v>115.3914052587447</c:v>
                      </c:pt>
                      <c:pt idx="87">
                        <c:v>116.11930675794822</c:v>
                      </c:pt>
                      <c:pt idx="88">
                        <c:v>116.90451122527833</c:v>
                      </c:pt>
                      <c:pt idx="89">
                        <c:v>117.75632694771868</c:v>
                      </c:pt>
                      <c:pt idx="90">
                        <c:v>118.68648550124738</c:v>
                      </c:pt>
                      <c:pt idx="91">
                        <c:v>119.71005379334629</c:v>
                      </c:pt>
                      <c:pt idx="92">
                        <c:v>120.84681681146876</c:v>
                      </c:pt>
                      <c:pt idx="93">
                        <c:v>122.12345476846372</c:v>
                      </c:pt>
                      <c:pt idx="94">
                        <c:v>123.57713076356129</c:v>
                      </c:pt>
                      <c:pt idx="95">
                        <c:v>125.26174345451926</c:v>
                      </c:pt>
                      <c:pt idx="96">
                        <c:v>127.25962324456084</c:v>
                      </c:pt>
                      <c:pt idx="97">
                        <c:v>129.705531199208</c:v>
                      </c:pt>
                      <c:pt idx="98">
                        <c:v>132.84256543810494</c:v>
                      </c:pt>
                      <c:pt idx="99">
                        <c:v>137.17925393295002</c:v>
                      </c:pt>
                      <c:pt idx="100">
                        <c:v>144.09472218192386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29-460B-BFED-A2AC2BAEABE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Fir G30 85L</c:v>
                </c:tx>
                <c:spPr>
                  <a:ln w="25400" cap="rnd">
                    <a:solidFill>
                      <a:srgbClr val="FFC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(impacts;velo)'!$N$2:$N$102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23928.635238265408</c:v>
                      </c:pt>
                      <c:pt idx="1">
                        <c:v>23693.065925184783</c:v>
                      </c:pt>
                      <c:pt idx="2">
                        <c:v>23457.496612104103</c:v>
                      </c:pt>
                      <c:pt idx="3">
                        <c:v>23221.927299023453</c:v>
                      </c:pt>
                      <c:pt idx="4">
                        <c:v>22986.35798594277</c:v>
                      </c:pt>
                      <c:pt idx="5">
                        <c:v>22750.788672862094</c:v>
                      </c:pt>
                      <c:pt idx="6">
                        <c:v>22515.219359781422</c:v>
                      </c:pt>
                      <c:pt idx="7">
                        <c:v>22279.650046700754</c:v>
                      </c:pt>
                      <c:pt idx="8">
                        <c:v>22044.080733620063</c:v>
                      </c:pt>
                      <c:pt idx="9">
                        <c:v>21808.511420539424</c:v>
                      </c:pt>
                      <c:pt idx="10">
                        <c:v>21572.942107458723</c:v>
                      </c:pt>
                      <c:pt idx="11">
                        <c:v>21337.372794378094</c:v>
                      </c:pt>
                      <c:pt idx="12">
                        <c:v>21101.803481297382</c:v>
                      </c:pt>
                      <c:pt idx="13">
                        <c:v>20866.23416821675</c:v>
                      </c:pt>
                      <c:pt idx="14">
                        <c:v>20630.6648551361</c:v>
                      </c:pt>
                      <c:pt idx="15">
                        <c:v>20395.095542055413</c:v>
                      </c:pt>
                      <c:pt idx="16">
                        <c:v>20159.526228974719</c:v>
                      </c:pt>
                      <c:pt idx="17">
                        <c:v>19923.956915894047</c:v>
                      </c:pt>
                      <c:pt idx="18">
                        <c:v>19688.3876028134</c:v>
                      </c:pt>
                      <c:pt idx="19">
                        <c:v>19452.818289732753</c:v>
                      </c:pt>
                      <c:pt idx="20">
                        <c:v>19217.248976652048</c:v>
                      </c:pt>
                      <c:pt idx="21">
                        <c:v>18981.679663571394</c:v>
                      </c:pt>
                      <c:pt idx="22">
                        <c:v>18746.110350490737</c:v>
                      </c:pt>
                      <c:pt idx="23">
                        <c:v>18510.541037410054</c:v>
                      </c:pt>
                      <c:pt idx="24">
                        <c:v>18274.971724329374</c:v>
                      </c:pt>
                      <c:pt idx="25">
                        <c:v>18039.402411248688</c:v>
                      </c:pt>
                      <c:pt idx="26">
                        <c:v>17803.833098168048</c:v>
                      </c:pt>
                      <c:pt idx="27">
                        <c:v>17568.26378508738</c:v>
                      </c:pt>
                      <c:pt idx="28">
                        <c:v>17332.694472006689</c:v>
                      </c:pt>
                      <c:pt idx="29">
                        <c:v>17097.125158926043</c:v>
                      </c:pt>
                      <c:pt idx="30">
                        <c:v>16861.555845845374</c:v>
                      </c:pt>
                      <c:pt idx="31">
                        <c:v>16625.98653276468</c:v>
                      </c:pt>
                      <c:pt idx="32">
                        <c:v>16390.41721968403</c:v>
                      </c:pt>
                      <c:pt idx="33">
                        <c:v>16154.847906603394</c:v>
                      </c:pt>
                      <c:pt idx="34">
                        <c:v>15919.278593522678</c:v>
                      </c:pt>
                      <c:pt idx="35">
                        <c:v>15683.709280442014</c:v>
                      </c:pt>
                      <c:pt idx="36">
                        <c:v>15448.139967361372</c:v>
                      </c:pt>
                      <c:pt idx="37">
                        <c:v>15212.570654280709</c:v>
                      </c:pt>
                      <c:pt idx="38">
                        <c:v>14977.001341200026</c:v>
                      </c:pt>
                      <c:pt idx="39">
                        <c:v>14741.432028119356</c:v>
                      </c:pt>
                      <c:pt idx="40">
                        <c:v>14505.862715038682</c:v>
                      </c:pt>
                      <c:pt idx="41">
                        <c:v>14270.293401958019</c:v>
                      </c:pt>
                      <c:pt idx="42">
                        <c:v>14034.724088877365</c:v>
                      </c:pt>
                      <c:pt idx="43">
                        <c:v>13799.154775796691</c:v>
                      </c:pt>
                      <c:pt idx="44">
                        <c:v>13563.585462716017</c:v>
                      </c:pt>
                      <c:pt idx="45">
                        <c:v>13328.016149635347</c:v>
                      </c:pt>
                      <c:pt idx="46">
                        <c:v>13092.446836554667</c:v>
                      </c:pt>
                      <c:pt idx="47">
                        <c:v>12856.877523474001</c:v>
                      </c:pt>
                      <c:pt idx="48">
                        <c:v>12621.308210393358</c:v>
                      </c:pt>
                      <c:pt idx="49">
                        <c:v>12385.738897312665</c:v>
                      </c:pt>
                      <c:pt idx="50">
                        <c:v>12150.169584232019</c:v>
                      </c:pt>
                      <c:pt idx="51">
                        <c:v>11914.600271151332</c:v>
                      </c:pt>
                      <c:pt idx="52">
                        <c:v>11679.030958070676</c:v>
                      </c:pt>
                      <c:pt idx="53">
                        <c:v>11443.461644989984</c:v>
                      </c:pt>
                      <c:pt idx="54">
                        <c:v>11207.89233190933</c:v>
                      </c:pt>
                      <c:pt idx="55">
                        <c:v>10972.323018828656</c:v>
                      </c:pt>
                      <c:pt idx="56">
                        <c:v>10736.753705747984</c:v>
                      </c:pt>
                      <c:pt idx="57">
                        <c:v>10501.184392667319</c:v>
                      </c:pt>
                      <c:pt idx="58">
                        <c:v>10265.615079586654</c:v>
                      </c:pt>
                      <c:pt idx="59">
                        <c:v>10030.045766505989</c:v>
                      </c:pt>
                      <c:pt idx="60">
                        <c:v>9794.4764534253045</c:v>
                      </c:pt>
                      <c:pt idx="61">
                        <c:v>9558.9071403446469</c:v>
                      </c:pt>
                      <c:pt idx="62">
                        <c:v>9323.3378272639766</c:v>
                      </c:pt>
                      <c:pt idx="63">
                        <c:v>9087.7685141833081</c:v>
                      </c:pt>
                      <c:pt idx="64">
                        <c:v>8852.1992011026359</c:v>
                      </c:pt>
                      <c:pt idx="65">
                        <c:v>8616.6298880219692</c:v>
                      </c:pt>
                      <c:pt idx="66">
                        <c:v>8381.0605749413116</c:v>
                      </c:pt>
                      <c:pt idx="67">
                        <c:v>8145.4912618606386</c:v>
                      </c:pt>
                      <c:pt idx="68">
                        <c:v>7909.9219487799719</c:v>
                      </c:pt>
                      <c:pt idx="69">
                        <c:v>7674.3526356992952</c:v>
                      </c:pt>
                      <c:pt idx="70">
                        <c:v>7438.7833226186294</c:v>
                      </c:pt>
                      <c:pt idx="71">
                        <c:v>7203.2140095379655</c:v>
                      </c:pt>
                      <c:pt idx="72">
                        <c:v>6967.644696457297</c:v>
                      </c:pt>
                      <c:pt idx="73">
                        <c:v>6732.0753833766266</c:v>
                      </c:pt>
                      <c:pt idx="74">
                        <c:v>6496.5060702959609</c:v>
                      </c:pt>
                      <c:pt idx="75">
                        <c:v>6260.9367572152951</c:v>
                      </c:pt>
                      <c:pt idx="76">
                        <c:v>6025.3674441346184</c:v>
                      </c:pt>
                      <c:pt idx="77">
                        <c:v>5789.7981310539508</c:v>
                      </c:pt>
                      <c:pt idx="78">
                        <c:v>5554.2288179732832</c:v>
                      </c:pt>
                      <c:pt idx="79">
                        <c:v>5318.6595048926183</c:v>
                      </c:pt>
                      <c:pt idx="80">
                        <c:v>5083.0901918119507</c:v>
                      </c:pt>
                      <c:pt idx="81">
                        <c:v>4847.5208787312758</c:v>
                      </c:pt>
                      <c:pt idx="82">
                        <c:v>4611.9515656506037</c:v>
                      </c:pt>
                      <c:pt idx="83">
                        <c:v>4376.382252569937</c:v>
                      </c:pt>
                      <c:pt idx="84">
                        <c:v>4140.8129394892721</c:v>
                      </c:pt>
                      <c:pt idx="85">
                        <c:v>3905.2436264086027</c:v>
                      </c:pt>
                      <c:pt idx="86">
                        <c:v>3669.6743133279315</c:v>
                      </c:pt>
                      <c:pt idx="87">
                        <c:v>3434.1050002472684</c:v>
                      </c:pt>
                      <c:pt idx="88">
                        <c:v>3198.5356871665931</c:v>
                      </c:pt>
                      <c:pt idx="89">
                        <c:v>2962.9663740859287</c:v>
                      </c:pt>
                      <c:pt idx="90">
                        <c:v>2727.397061005257</c:v>
                      </c:pt>
                      <c:pt idx="91">
                        <c:v>2491.827747924594</c:v>
                      </c:pt>
                      <c:pt idx="92">
                        <c:v>2256.258434843925</c:v>
                      </c:pt>
                      <c:pt idx="93">
                        <c:v>2020.6891217632553</c:v>
                      </c:pt>
                      <c:pt idx="94">
                        <c:v>1785.1198086825843</c:v>
                      </c:pt>
                      <c:pt idx="95">
                        <c:v>1549.5504956019188</c:v>
                      </c:pt>
                      <c:pt idx="96">
                        <c:v>1313.98118252125</c:v>
                      </c:pt>
                      <c:pt idx="97">
                        <c:v>1078.4118694405811</c:v>
                      </c:pt>
                      <c:pt idx="98">
                        <c:v>842.84255635991258</c:v>
                      </c:pt>
                      <c:pt idx="99">
                        <c:v>607.27324327924021</c:v>
                      </c:pt>
                      <c:pt idx="100">
                        <c:v>371.70393019857528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'G30 85L (impacts;velo)'!$O$2:$O$102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101.13008200050113</c:v>
                      </c:pt>
                      <c:pt idx="1">
                        <c:v>101.22788850277664</c:v>
                      </c:pt>
                      <c:pt idx="2">
                        <c:v>101.32676833995794</c:v>
                      </c:pt>
                      <c:pt idx="3">
                        <c:v>101.42674424877059</c:v>
                      </c:pt>
                      <c:pt idx="4">
                        <c:v>101.52783968444082</c:v>
                      </c:pt>
                      <c:pt idx="5">
                        <c:v>101.63007885104058</c:v>
                      </c:pt>
                      <c:pt idx="6">
                        <c:v>101.73348673344327</c:v>
                      </c:pt>
                      <c:pt idx="7">
                        <c:v>101.83808913099359</c:v>
                      </c:pt>
                      <c:pt idx="8">
                        <c:v>101.94391269300361</c:v>
                      </c:pt>
                      <c:pt idx="9">
                        <c:v>102.05098495619251</c:v>
                      </c:pt>
                      <c:pt idx="10">
                        <c:v>102.15933438420198</c:v>
                      </c:pt>
                      <c:pt idx="11">
                        <c:v>102.26899040932364</c:v>
                      </c:pt>
                      <c:pt idx="12">
                        <c:v>102.37998347658933</c:v>
                      </c:pt>
                      <c:pt idx="13">
                        <c:v>102.49234509038681</c:v>
                      </c:pt>
                      <c:pt idx="14">
                        <c:v>102.60610786377448</c:v>
                      </c:pt>
                      <c:pt idx="15">
                        <c:v>102.72130557068465</c:v>
                      </c:pt>
                      <c:pt idx="16">
                        <c:v>102.83797320122117</c:v>
                      </c:pt>
                      <c:pt idx="17">
                        <c:v>102.95614702027194</c:v>
                      </c:pt>
                      <c:pt idx="18">
                        <c:v>103.07586462967743</c:v>
                      </c:pt>
                      <c:pt idx="19">
                        <c:v>103.19716503421627</c:v>
                      </c:pt>
                      <c:pt idx="20">
                        <c:v>103.32008871169282</c:v>
                      </c:pt>
                      <c:pt idx="21">
                        <c:v>103.44467768743264</c:v>
                      </c:pt>
                      <c:pt idx="22">
                        <c:v>103.57097561352506</c:v>
                      </c:pt>
                      <c:pt idx="23">
                        <c:v>103.69902785317656</c:v>
                      </c:pt>
                      <c:pt idx="24">
                        <c:v>103.82888157057653</c:v>
                      </c:pt>
                      <c:pt idx="25">
                        <c:v>103.96058582670928</c:v>
                      </c:pt>
                      <c:pt idx="26">
                        <c:v>104.09419168159215</c:v>
                      </c:pt>
                      <c:pt idx="27">
                        <c:v>104.22975230345948</c:v>
                      </c:pt>
                      <c:pt idx="28">
                        <c:v>104.36732308546603</c:v>
                      </c:pt>
                      <c:pt idx="29">
                        <c:v>104.50696177053771</c:v>
                      </c:pt>
                      <c:pt idx="30">
                        <c:v>104.64872858505875</c:v>
                      </c:pt>
                      <c:pt idx="31">
                        <c:v>104.79268638215456</c:v>
                      </c:pt>
                      <c:pt idx="32">
                        <c:v>104.93890079540526</c:v>
                      </c:pt>
                      <c:pt idx="33">
                        <c:v>105.08744040391279</c:v>
                      </c:pt>
                      <c:pt idx="34">
                        <c:v>105.23837690973744</c:v>
                      </c:pt>
                      <c:pt idx="35">
                        <c:v>105.39178532883014</c:v>
                      </c:pt>
                      <c:pt idx="36">
                        <c:v>105.54774419670794</c:v>
                      </c:pt>
                      <c:pt idx="37">
                        <c:v>105.70633579025325</c:v>
                      </c:pt>
                      <c:pt idx="38">
                        <c:v>105.86764636717473</c:v>
                      </c:pt>
                      <c:pt idx="39">
                        <c:v>106.03176642483595</c:v>
                      </c:pt>
                      <c:pt idx="40">
                        <c:v>106.19879098035982</c:v>
                      </c:pt>
                      <c:pt idx="41">
                        <c:v>106.36881987413111</c:v>
                      </c:pt>
                      <c:pt idx="42">
                        <c:v>106.54195809907631</c:v>
                      </c:pt>
                      <c:pt idx="43">
                        <c:v>106.71831615838329</c:v>
                      </c:pt>
                      <c:pt idx="44">
                        <c:v>106.89801045465057</c:v>
                      </c:pt>
                      <c:pt idx="45">
                        <c:v>107.08116371382536</c:v>
                      </c:pt>
                      <c:pt idx="46">
                        <c:v>107.2679054477191</c:v>
                      </c:pt>
                      <c:pt idx="47">
                        <c:v>107.45837245937487</c:v>
                      </c:pt>
                      <c:pt idx="48">
                        <c:v>107.65270939612405</c:v>
                      </c:pt>
                      <c:pt idx="49">
                        <c:v>107.85106935581692</c:v>
                      </c:pt>
                      <c:pt idx="50">
                        <c:v>108.05361455245998</c:v>
                      </c:pt>
                      <c:pt idx="51">
                        <c:v>108.26051704836053</c:v>
                      </c:pt>
                      <c:pt idx="52">
                        <c:v>108.47195956088643</c:v>
                      </c:pt>
                      <c:pt idx="53">
                        <c:v>108.68813635312181</c:v>
                      </c:pt>
                      <c:pt idx="54">
                        <c:v>108.9092542190734</c:v>
                      </c:pt>
                      <c:pt idx="55">
                        <c:v>109.13553357568999</c:v>
                      </c:pt>
                      <c:pt idx="56">
                        <c:v>109.36720967584628</c:v>
                      </c:pt>
                      <c:pt idx="57">
                        <c:v>109.60453395867793</c:v>
                      </c:pt>
                      <c:pt idx="58">
                        <c:v>109.84777555629506</c:v>
                      </c:pt>
                      <c:pt idx="59">
                        <c:v>110.09722297903791</c:v>
                      </c:pt>
                      <c:pt idx="60">
                        <c:v>110.35318600518974</c:v>
                      </c:pt>
                      <c:pt idx="61">
                        <c:v>110.61599780553753</c:v>
                      </c:pt>
                      <c:pt idx="62">
                        <c:v>110.88601733857153</c:v>
                      </c:pt>
                      <c:pt idx="63">
                        <c:v>111.16363205861603</c:v>
                      </c:pt>
                      <c:pt idx="64">
                        <c:v>111.44926098708733</c:v>
                      </c:pt>
                      <c:pt idx="65">
                        <c:v>111.74335820669866</c:v>
                      </c:pt>
                      <c:pt idx="66">
                        <c:v>112.04641685021907</c:v>
                      </c:pt>
                      <c:pt idx="67">
                        <c:v>112.35897366991043</c:v>
                      </c:pt>
                      <c:pt idx="68">
                        <c:v>112.68161429174107</c:v>
                      </c:pt>
                      <c:pt idx="69">
                        <c:v>113.01497928085323</c:v>
                      </c:pt>
                      <c:pt idx="70">
                        <c:v>113.3597711728019</c:v>
                      </c:pt>
                      <c:pt idx="71">
                        <c:v>113.71676266045695</c:v>
                      </c:pt>
                      <c:pt idx="72">
                        <c:v>114.08680617135865</c:v>
                      </c:pt>
                      <c:pt idx="73">
                        <c:v>114.47084512777002</c:v>
                      </c:pt>
                      <c:pt idx="74">
                        <c:v>114.86992725572118</c:v>
                      </c:pt>
                      <c:pt idx="75">
                        <c:v>115.28522040559744</c:v>
                      </c:pt>
                      <c:pt idx="76">
                        <c:v>115.71803147306068</c:v>
                      </c:pt>
                      <c:pt idx="77">
                        <c:v>116.16982917619518</c:v>
                      </c:pt>
                      <c:pt idx="78">
                        <c:v>116.64227166826049</c:v>
                      </c:pt>
                      <c:pt idx="79">
                        <c:v>117.13724026758088</c:v>
                      </c:pt>
                      <c:pt idx="80">
                        <c:v>117.6568809994646</c:v>
                      </c:pt>
                      <c:pt idx="81">
                        <c:v>118.20365621777806</c:v>
                      </c:pt>
                      <c:pt idx="82">
                        <c:v>118.78040937842837</c:v>
                      </c:pt>
                      <c:pt idx="83">
                        <c:v>119.39044718458432</c:v>
                      </c:pt>
                      <c:pt idx="84">
                        <c:v>120.03764498735782</c:v>
                      </c:pt>
                      <c:pt idx="85">
                        <c:v>120.72658378232676</c:v>
                      </c:pt>
                      <c:pt idx="86">
                        <c:v>121.46273084268782</c:v>
                      </c:pt>
                      <c:pt idx="87">
                        <c:v>122.25268172888632</c:v>
                      </c:pt>
                      <c:pt idx="88">
                        <c:v>123.10449041222533</c:v>
                      </c:pt>
                      <c:pt idx="89">
                        <c:v>124.02812885738679</c:v>
                      </c:pt>
                      <c:pt idx="90">
                        <c:v>125.03614188533508</c:v>
                      </c:pt>
                      <c:pt idx="91">
                        <c:v>126.1446056619284</c:v>
                      </c:pt>
                      <c:pt idx="92">
                        <c:v>127.37457518854832</c:v>
                      </c:pt>
                      <c:pt idx="93">
                        <c:v>128.75435270442364</c:v>
                      </c:pt>
                      <c:pt idx="94">
                        <c:v>130.32320432501675</c:v>
                      </c:pt>
                      <c:pt idx="95">
                        <c:v>132.13779115623512</c:v>
                      </c:pt>
                      <c:pt idx="96">
                        <c:v>134.28408857555871</c:v>
                      </c:pt>
                      <c:pt idx="97">
                        <c:v>136.90154205156372</c:v>
                      </c:pt>
                      <c:pt idx="98">
                        <c:v>140.2383612285152</c:v>
                      </c:pt>
                      <c:pt idx="99">
                        <c:v>144.80273463377193</c:v>
                      </c:pt>
                      <c:pt idx="100">
                        <c:v>151.91716142811671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29-460B-BFED-A2AC2BAEABED}"/>
                  </c:ext>
                </c:extLst>
              </c15:ser>
            </c15:filteredScatterSeries>
          </c:ext>
        </c:extLst>
      </c:scatterChart>
      <c:valAx>
        <c:axId val="530717344"/>
        <c:scaling>
          <c:logBase val="10"/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impacts per mm</a:t>
                </a:r>
                <a:r>
                  <a:rPr lang="da-DK" baseline="30000"/>
                  <a:t>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At val="1.0000000000000003E-4"/>
        <c:crossBetween val="midCat"/>
      </c:valAx>
      <c:valAx>
        <c:axId val="530716360"/>
        <c:scaling>
          <c:logBase val="10"/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Impact kinetic energy each impact [J]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01255746883317"/>
          <c:y val="0.40088096200809603"/>
          <c:w val="0.15646481737576107"/>
          <c:h val="0.27599172621393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da-DK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G27 60L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'G27 60L (impacts;velo)'!$A$2:$A$44</c:f>
              <c:numCache>
                <c:formatCode>0.00E+00</c:formatCode>
                <c:ptCount val="43"/>
                <c:pt idx="0">
                  <c:v>15758.206889405415</c:v>
                </c:pt>
                <c:pt idx="1">
                  <c:v>13617.34463367356</c:v>
                </c:pt>
                <c:pt idx="2">
                  <c:v>470.06761926483398</c:v>
                </c:pt>
                <c:pt idx="3">
                  <c:v>626.75682568644538</c:v>
                </c:pt>
                <c:pt idx="4">
                  <c:v>783.44603210805667</c:v>
                </c:pt>
                <c:pt idx="5">
                  <c:v>940.13523852966796</c:v>
                </c:pt>
                <c:pt idx="6">
                  <c:v>1096.8244449512792</c:v>
                </c:pt>
                <c:pt idx="7">
                  <c:v>1253.5136513728908</c:v>
                </c:pt>
                <c:pt idx="8">
                  <c:v>1410.2028577945018</c:v>
                </c:pt>
                <c:pt idx="9">
                  <c:v>1566.8920642161133</c:v>
                </c:pt>
                <c:pt idx="10">
                  <c:v>1723.5812706377249</c:v>
                </c:pt>
                <c:pt idx="11">
                  <c:v>626.75682568644538</c:v>
                </c:pt>
                <c:pt idx="12">
                  <c:v>783.44603210805667</c:v>
                </c:pt>
                <c:pt idx="13">
                  <c:v>940.13523852966796</c:v>
                </c:pt>
                <c:pt idx="14">
                  <c:v>1096.8244449512792</c:v>
                </c:pt>
                <c:pt idx="15">
                  <c:v>1253.5136513728908</c:v>
                </c:pt>
                <c:pt idx="16">
                  <c:v>1410.2028577945018</c:v>
                </c:pt>
                <c:pt idx="17">
                  <c:v>1723.5812706377249</c:v>
                </c:pt>
                <c:pt idx="18">
                  <c:v>1880.2704770593359</c:v>
                </c:pt>
                <c:pt idx="19">
                  <c:v>783.44603210805667</c:v>
                </c:pt>
                <c:pt idx="20">
                  <c:v>940.13523852966796</c:v>
                </c:pt>
                <c:pt idx="21">
                  <c:v>1096.8244449512792</c:v>
                </c:pt>
                <c:pt idx="22">
                  <c:v>1253.5136513728908</c:v>
                </c:pt>
                <c:pt idx="23">
                  <c:v>1410.2028577945018</c:v>
                </c:pt>
                <c:pt idx="24">
                  <c:v>1566.8920642161133</c:v>
                </c:pt>
                <c:pt idx="25">
                  <c:v>2550.8950269241709</c:v>
                </c:pt>
                <c:pt idx="26">
                  <c:v>2943.3404156817351</c:v>
                </c:pt>
                <c:pt idx="27">
                  <c:v>3139.5631100605183</c:v>
                </c:pt>
                <c:pt idx="28">
                  <c:v>4513.1219707119944</c:v>
                </c:pt>
                <c:pt idx="29">
                  <c:v>2158.4496381666058</c:v>
                </c:pt>
                <c:pt idx="30">
                  <c:v>2354.6723325453881</c:v>
                </c:pt>
                <c:pt idx="31">
                  <c:v>2550.8950269241709</c:v>
                </c:pt>
                <c:pt idx="32">
                  <c:v>2747.1177213029532</c:v>
                </c:pt>
                <c:pt idx="33">
                  <c:v>2943.3404156817351</c:v>
                </c:pt>
                <c:pt idx="34">
                  <c:v>3924.4538875756475</c:v>
                </c:pt>
                <c:pt idx="35">
                  <c:v>4513.1219707119944</c:v>
                </c:pt>
                <c:pt idx="36">
                  <c:v>1962.2269437878238</c:v>
                </c:pt>
                <c:pt idx="37">
                  <c:v>2158.4496381666058</c:v>
                </c:pt>
                <c:pt idx="38">
                  <c:v>2354.6723325453881</c:v>
                </c:pt>
                <c:pt idx="39">
                  <c:v>2550.8950269241709</c:v>
                </c:pt>
                <c:pt idx="40">
                  <c:v>2747.1177213029532</c:v>
                </c:pt>
                <c:pt idx="41">
                  <c:v>3335.7858044393001</c:v>
                </c:pt>
                <c:pt idx="42">
                  <c:v>4513.1219707119944</c:v>
                </c:pt>
              </c:numCache>
            </c:numRef>
          </c:xVal>
          <c:yVal>
            <c:numRef>
              <c:f>'G27 60L (impacts;velo)'!$B$2:$B$44</c:f>
              <c:numCache>
                <c:formatCode>#,##0.000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92-4757-BAA7-394D4C03CAC1}"/>
            </c:ext>
          </c:extLst>
        </c:ser>
        <c:ser>
          <c:idx val="1"/>
          <c:order val="1"/>
          <c:tx>
            <c:v>G27 60L fit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'G27 60L (impacts;velo)'!$N$2:$N$102</c:f>
              <c:numCache>
                <c:formatCode>0.000</c:formatCode>
                <c:ptCount val="101"/>
                <c:pt idx="0">
                  <c:v>15758.206889405428</c:v>
                </c:pt>
                <c:pt idx="1">
                  <c:v>15605.325496704039</c:v>
                </c:pt>
                <c:pt idx="2">
                  <c:v>15452.444104002621</c:v>
                </c:pt>
                <c:pt idx="3">
                  <c:v>15299.562711301212</c:v>
                </c:pt>
                <c:pt idx="4">
                  <c:v>15146.681318599807</c:v>
                </c:pt>
                <c:pt idx="5">
                  <c:v>14993.799925898415</c:v>
                </c:pt>
                <c:pt idx="6">
                  <c:v>14840.918533197013</c:v>
                </c:pt>
                <c:pt idx="7">
                  <c:v>14688.037140495597</c:v>
                </c:pt>
                <c:pt idx="8">
                  <c:v>14535.155747794184</c:v>
                </c:pt>
                <c:pt idx="9">
                  <c:v>14382.274355092801</c:v>
                </c:pt>
                <c:pt idx="10">
                  <c:v>14229.392962391379</c:v>
                </c:pt>
                <c:pt idx="11">
                  <c:v>14076.511569689974</c:v>
                </c:pt>
                <c:pt idx="12">
                  <c:v>13923.630176988585</c:v>
                </c:pt>
                <c:pt idx="13">
                  <c:v>13770.748784287172</c:v>
                </c:pt>
                <c:pt idx="14">
                  <c:v>13617.867391585753</c:v>
                </c:pt>
                <c:pt idx="15">
                  <c:v>13464.985998884355</c:v>
                </c:pt>
                <c:pt idx="16">
                  <c:v>13312.104606182957</c:v>
                </c:pt>
                <c:pt idx="17">
                  <c:v>13159.223213481517</c:v>
                </c:pt>
                <c:pt idx="18">
                  <c:v>13006.341820780128</c:v>
                </c:pt>
                <c:pt idx="19">
                  <c:v>12853.46042807873</c:v>
                </c:pt>
                <c:pt idx="20">
                  <c:v>12700.579035377321</c:v>
                </c:pt>
                <c:pt idx="21">
                  <c:v>12547.697642675912</c:v>
                </c:pt>
                <c:pt idx="22">
                  <c:v>12394.816249974496</c:v>
                </c:pt>
                <c:pt idx="23">
                  <c:v>12241.934857273114</c:v>
                </c:pt>
                <c:pt idx="24">
                  <c:v>12089.053464571711</c:v>
                </c:pt>
                <c:pt idx="25">
                  <c:v>11936.172071870295</c:v>
                </c:pt>
                <c:pt idx="26">
                  <c:v>11783.290679168871</c:v>
                </c:pt>
                <c:pt idx="27">
                  <c:v>11630.409286467477</c:v>
                </c:pt>
                <c:pt idx="28">
                  <c:v>11477.527893766059</c:v>
                </c:pt>
                <c:pt idx="29">
                  <c:v>11324.646501064668</c:v>
                </c:pt>
                <c:pt idx="30">
                  <c:v>11171.765108363259</c:v>
                </c:pt>
                <c:pt idx="31">
                  <c:v>11018.883715661845</c:v>
                </c:pt>
                <c:pt idx="32">
                  <c:v>10866.002322960443</c:v>
                </c:pt>
                <c:pt idx="33">
                  <c:v>10713.120930259038</c:v>
                </c:pt>
                <c:pt idx="34">
                  <c:v>10560.23953755764</c:v>
                </c:pt>
                <c:pt idx="35">
                  <c:v>10407.358144856249</c:v>
                </c:pt>
                <c:pt idx="36">
                  <c:v>10254.476752154826</c:v>
                </c:pt>
                <c:pt idx="37">
                  <c:v>10101.595359453429</c:v>
                </c:pt>
                <c:pt idx="38">
                  <c:v>9948.7139667520096</c:v>
                </c:pt>
                <c:pt idx="39">
                  <c:v>9795.8325740506061</c:v>
                </c:pt>
                <c:pt idx="40">
                  <c:v>9642.9511813491918</c:v>
                </c:pt>
                <c:pt idx="41">
                  <c:v>9490.0697886477974</c:v>
                </c:pt>
                <c:pt idx="42">
                  <c:v>9337.1883959463848</c:v>
                </c:pt>
                <c:pt idx="43">
                  <c:v>9184.3070032449759</c:v>
                </c:pt>
                <c:pt idx="44">
                  <c:v>9031.4256105435743</c:v>
                </c:pt>
                <c:pt idx="45">
                  <c:v>8878.5442178421599</c:v>
                </c:pt>
                <c:pt idx="46">
                  <c:v>8725.6628251407583</c:v>
                </c:pt>
                <c:pt idx="47">
                  <c:v>8572.7814324393585</c:v>
                </c:pt>
                <c:pt idx="48">
                  <c:v>8419.9000397379568</c:v>
                </c:pt>
                <c:pt idx="49">
                  <c:v>8267.0186470365388</c:v>
                </c:pt>
                <c:pt idx="50">
                  <c:v>8114.1372543351372</c:v>
                </c:pt>
                <c:pt idx="51">
                  <c:v>7961.2558616337328</c:v>
                </c:pt>
                <c:pt idx="52">
                  <c:v>7808.3744689323321</c:v>
                </c:pt>
                <c:pt idx="53">
                  <c:v>7655.4930762309177</c:v>
                </c:pt>
                <c:pt idx="54">
                  <c:v>7502.6116835295143</c:v>
                </c:pt>
                <c:pt idx="55">
                  <c:v>7349.7302908281163</c:v>
                </c:pt>
                <c:pt idx="56">
                  <c:v>7196.8488981267101</c:v>
                </c:pt>
                <c:pt idx="57">
                  <c:v>7043.9675054252912</c:v>
                </c:pt>
                <c:pt idx="58">
                  <c:v>6891.0861127238877</c:v>
                </c:pt>
                <c:pt idx="59">
                  <c:v>6738.2047200224806</c:v>
                </c:pt>
                <c:pt idx="60">
                  <c:v>6585.3233273210772</c:v>
                </c:pt>
                <c:pt idx="61">
                  <c:v>6432.4419346196728</c:v>
                </c:pt>
                <c:pt idx="62">
                  <c:v>6279.5605419182657</c:v>
                </c:pt>
                <c:pt idx="63">
                  <c:v>6126.6791492168531</c:v>
                </c:pt>
                <c:pt idx="64">
                  <c:v>5973.7977565154551</c:v>
                </c:pt>
                <c:pt idx="65">
                  <c:v>5820.9163638140453</c:v>
                </c:pt>
                <c:pt idx="66">
                  <c:v>5668.0349711126437</c:v>
                </c:pt>
                <c:pt idx="67">
                  <c:v>5515.1535784112339</c:v>
                </c:pt>
                <c:pt idx="68">
                  <c:v>5362.2721857098231</c:v>
                </c:pt>
                <c:pt idx="69">
                  <c:v>5209.3907930084215</c:v>
                </c:pt>
                <c:pt idx="70">
                  <c:v>5056.5094003070208</c:v>
                </c:pt>
                <c:pt idx="71">
                  <c:v>4903.6280076056073</c:v>
                </c:pt>
                <c:pt idx="72">
                  <c:v>4750.7466149042048</c:v>
                </c:pt>
                <c:pt idx="73">
                  <c:v>4597.8652222028022</c:v>
                </c:pt>
                <c:pt idx="74">
                  <c:v>4444.9838295013951</c:v>
                </c:pt>
                <c:pt idx="75">
                  <c:v>4292.1024367999844</c:v>
                </c:pt>
                <c:pt idx="76">
                  <c:v>4139.2210440985782</c:v>
                </c:pt>
                <c:pt idx="77">
                  <c:v>3986.3396513971743</c:v>
                </c:pt>
                <c:pt idx="78">
                  <c:v>3833.4582586957686</c:v>
                </c:pt>
                <c:pt idx="79">
                  <c:v>3680.5768659943606</c:v>
                </c:pt>
                <c:pt idx="80">
                  <c:v>3527.6954732929571</c:v>
                </c:pt>
                <c:pt idx="81">
                  <c:v>3374.8140805915473</c:v>
                </c:pt>
                <c:pt idx="82">
                  <c:v>3221.9326878901406</c:v>
                </c:pt>
                <c:pt idx="83">
                  <c:v>3069.0512951887372</c:v>
                </c:pt>
                <c:pt idx="84">
                  <c:v>2916.1699024873301</c:v>
                </c:pt>
                <c:pt idx="85">
                  <c:v>2763.2885097859244</c:v>
                </c:pt>
                <c:pt idx="86">
                  <c:v>2610.4071170845195</c:v>
                </c:pt>
                <c:pt idx="87">
                  <c:v>2457.5257243831124</c:v>
                </c:pt>
                <c:pt idx="88">
                  <c:v>2304.6443316817058</c:v>
                </c:pt>
                <c:pt idx="89">
                  <c:v>2151.7629389802996</c:v>
                </c:pt>
                <c:pt idx="90">
                  <c:v>1998.881546278893</c:v>
                </c:pt>
                <c:pt idx="91">
                  <c:v>1846.0001535774877</c:v>
                </c:pt>
                <c:pt idx="92">
                  <c:v>1693.1187608760831</c:v>
                </c:pt>
                <c:pt idx="93">
                  <c:v>1540.2373681746765</c:v>
                </c:pt>
                <c:pt idx="94">
                  <c:v>1387.3559754732717</c:v>
                </c:pt>
                <c:pt idx="95">
                  <c:v>1234.4745827718618</c:v>
                </c:pt>
                <c:pt idx="96">
                  <c:v>1081.5931900704575</c:v>
                </c:pt>
                <c:pt idx="97">
                  <c:v>928.71179736905151</c:v>
                </c:pt>
                <c:pt idx="98">
                  <c:v>775.83040466764646</c:v>
                </c:pt>
                <c:pt idx="99">
                  <c:v>622.94901196624096</c:v>
                </c:pt>
                <c:pt idx="100">
                  <c:v>470.0676192648354</c:v>
                </c:pt>
              </c:numCache>
            </c:numRef>
          </c:xVal>
          <c:yVal>
            <c:numRef>
              <c:f>'G27 60L (impacts;velo)'!$O$2:$O$102</c:f>
              <c:numCache>
                <c:formatCode>0</c:formatCode>
                <c:ptCount val="101"/>
                <c:pt idx="0">
                  <c:v>94.749439849172944</c:v>
                </c:pt>
                <c:pt idx="1">
                  <c:v>94.868325258856544</c:v>
                </c:pt>
                <c:pt idx="2">
                  <c:v>94.988532490945019</c:v>
                </c:pt>
                <c:pt idx="3">
                  <c:v>95.11008953978623</c:v>
                </c:pt>
                <c:pt idx="4">
                  <c:v>95.23302527990036</c:v>
                </c:pt>
                <c:pt idx="5">
                  <c:v>95.35736950287054</c:v>
                </c:pt>
                <c:pt idx="6">
                  <c:v>95.483152956172717</c:v>
                </c:pt>
                <c:pt idx="7">
                  <c:v>95.610407384069575</c:v>
                </c:pt>
                <c:pt idx="8">
                  <c:v>95.739165570699939</c:v>
                </c:pt>
                <c:pt idx="9">
                  <c:v>95.869461385507421</c:v>
                </c:pt>
                <c:pt idx="10">
                  <c:v>96.001329831159907</c:v>
                </c:pt>
                <c:pt idx="11">
                  <c:v>96.134807094126089</c:v>
                </c:pt>
                <c:pt idx="12">
                  <c:v>96.269930598086816</c:v>
                </c:pt>
                <c:pt idx="13">
                  <c:v>96.406739060372658</c:v>
                </c:pt>
                <c:pt idx="14">
                  <c:v>96.545272551635875</c:v>
                </c:pt>
                <c:pt idx="15">
                  <c:v>96.685572558979374</c:v>
                </c:pt>
                <c:pt idx="16">
                  <c:v>96.827682052786741</c:v>
                </c:pt>
                <c:pt idx="17">
                  <c:v>96.971645557513114</c:v>
                </c:pt>
                <c:pt idx="18">
                  <c:v>97.117509226723328</c:v>
                </c:pt>
                <c:pt idx="19">
                  <c:v>97.265320922683131</c:v>
                </c:pt>
                <c:pt idx="20">
                  <c:v>97.415130300839294</c:v>
                </c:pt>
                <c:pt idx="21">
                  <c:v>97.566988899550836</c:v>
                </c:pt>
                <c:pt idx="22">
                  <c:v>97.720950235466276</c:v>
                </c:pt>
                <c:pt idx="23">
                  <c:v>97.87706990497756</c:v>
                </c:pt>
                <c:pt idx="24">
                  <c:v>98.035405692217779</c:v>
                </c:pt>
                <c:pt idx="25">
                  <c:v>98.196017684114892</c:v>
                </c:pt>
                <c:pt idx="26">
                  <c:v>98.358968393058177</c:v>
                </c:pt>
                <c:pt idx="27">
                  <c:v>98.524322887787861</c:v>
                </c:pt>
                <c:pt idx="28">
                  <c:v>98.692148933176227</c:v>
                </c:pt>
                <c:pt idx="29">
                  <c:v>98.862517139629176</c:v>
                </c:pt>
                <c:pt idx="30">
                  <c:v>99.035501122913885</c:v>
                </c:pt>
                <c:pt idx="31">
                  <c:v>99.211177675289846</c:v>
                </c:pt>
                <c:pt idx="32">
                  <c:v>99.389626948916003</c:v>
                </c:pt>
                <c:pt idx="33">
                  <c:v>99.570932652598245</c:v>
                </c:pt>
                <c:pt idx="34">
                  <c:v>99.75518226305482</c:v>
                </c:pt>
                <c:pt idx="35">
                  <c:v>99.942467251998593</c:v>
                </c:pt>
                <c:pt idx="36">
                  <c:v>100.13288333047167</c:v>
                </c:pt>
                <c:pt idx="37">
                  <c:v>100.3265307120223</c:v>
                </c:pt>
                <c:pt idx="38">
                  <c:v>100.52351439648791</c:v>
                </c:pt>
                <c:pt idx="39">
                  <c:v>100.72394447634045</c:v>
                </c:pt>
                <c:pt idx="40">
                  <c:v>100.92793646777304</c:v>
                </c:pt>
                <c:pt idx="41">
                  <c:v>101.13561166895387</c:v>
                </c:pt>
                <c:pt idx="42">
                  <c:v>101.34709754815297</c:v>
                </c:pt>
                <c:pt idx="43">
                  <c:v>101.56252816476925</c:v>
                </c:pt>
                <c:pt idx="44">
                  <c:v>101.78204462664668</c:v>
                </c:pt>
                <c:pt idx="45">
                  <c:v>102.00579558747991</c:v>
                </c:pt>
                <c:pt idx="46">
                  <c:v>102.23393778858372</c:v>
                </c:pt>
                <c:pt idx="47">
                  <c:v>102.46663664983669</c:v>
                </c:pt>
                <c:pt idx="48">
                  <c:v>102.70406691523009</c:v>
                </c:pt>
                <c:pt idx="49">
                  <c:v>102.94641335916248</c:v>
                </c:pt>
                <c:pt idx="50">
                  <c:v>103.19387156043778</c:v>
                </c:pt>
                <c:pt idx="51">
                  <c:v>103.44664875187028</c:v>
                </c:pt>
                <c:pt idx="52">
                  <c:v>103.70496475449373</c:v>
                </c:pt>
                <c:pt idx="53">
                  <c:v>103.96905300664267</c:v>
                </c:pt>
                <c:pt idx="54">
                  <c:v>104.23916169965061</c:v>
                </c:pt>
                <c:pt idx="55">
                  <c:v>104.51555503363878</c:v>
                </c:pt>
                <c:pt idx="56">
                  <c:v>104.79851460888902</c:v>
                </c:pt>
                <c:pt idx="57">
                  <c:v>105.08834097067064</c:v>
                </c:pt>
                <c:pt idx="58">
                  <c:v>105.38535532819222</c:v>
                </c:pt>
                <c:pt idx="59">
                  <c:v>105.68990147165681</c:v>
                </c:pt>
                <c:pt idx="60">
                  <c:v>106.00234791533367</c:v>
                </c:pt>
                <c:pt idx="61">
                  <c:v>106.32309029923881</c:v>
                </c:pt>
                <c:pt idx="62">
                  <c:v>106.65255408761629</c:v>
                </c:pt>
                <c:pt idx="63">
                  <c:v>106.99119760913345</c:v>
                </c:pt>
                <c:pt idx="64">
                  <c:v>107.33951549181501</c:v>
                </c:pt>
                <c:pt idx="65">
                  <c:v>107.69804255554982</c:v>
                </c:pt>
                <c:pt idx="66">
                  <c:v>108.06735823696381</c:v>
                </c:pt>
                <c:pt idx="67">
                  <c:v>108.44809163604603</c:v>
                </c:pt>
                <c:pt idx="68">
                  <c:v>108.84092729188035</c:v>
                </c:pt>
                <c:pt idx="69">
                  <c:v>109.24661181701391</c:v>
                </c:pt>
                <c:pt idx="70">
                  <c:v>109.66596154755797</c:v>
                </c:pt>
                <c:pt idx="71">
                  <c:v>110.09987140059411</c:v>
                </c:pt>
                <c:pt idx="72">
                  <c:v>110.54932517380239</c:v>
                </c:pt>
                <c:pt idx="73">
                  <c:v>111.01540757716718</c:v>
                </c:pt>
                <c:pt idx="74">
                  <c:v>111.49931835665937</c:v>
                </c:pt>
                <c:pt idx="75">
                  <c:v>112.00238895985314</c:v>
                </c:pt>
                <c:pt idx="76">
                  <c:v>112.52610231010229</c:v>
                </c:pt>
                <c:pt idx="77">
                  <c:v>113.07211640838621</c:v>
                </c:pt>
                <c:pt idx="78">
                  <c:v>113.64229268303744</c:v>
                </c:pt>
                <c:pt idx="79">
                  <c:v>114.23873027543871</c:v>
                </c:pt>
                <c:pt idx="80">
                  <c:v>114.86380781034327</c:v>
                </c:pt>
                <c:pt idx="81">
                  <c:v>115.52023469041008</c:v>
                </c:pt>
                <c:pt idx="82">
                  <c:v>116.21111463121133</c:v>
                </c:pt>
                <c:pt idx="83">
                  <c:v>116.94002509817804</c:v>
                </c:pt>
                <c:pt idx="84">
                  <c:v>117.71111764653008</c:v>
                </c:pt>
                <c:pt idx="85">
                  <c:v>118.52924609401947</c:v>
                </c:pt>
                <c:pt idx="86">
                  <c:v>119.40013228207917</c:v>
                </c:pt>
                <c:pt idx="87">
                  <c:v>120.33058340068497</c:v>
                </c:pt>
                <c:pt idx="88">
                  <c:v>121.32878128833792</c:v>
                </c:pt>
                <c:pt idx="89">
                  <c:v>122.40467416915912</c:v>
                </c:pt>
                <c:pt idx="90">
                  <c:v>123.57051740392396</c:v>
                </c:pt>
                <c:pt idx="91">
                  <c:v>124.84163645160963</c:v>
                </c:pt>
                <c:pt idx="92">
                  <c:v>126.23753072806882</c:v>
                </c:pt>
                <c:pt idx="93">
                  <c:v>127.78351787718852</c:v>
                </c:pt>
                <c:pt idx="94">
                  <c:v>129.51326825201693</c:v>
                </c:pt>
                <c:pt idx="95">
                  <c:v>131.47287415548496</c:v>
                </c:pt>
                <c:pt idx="96">
                  <c:v>133.7277147234785</c:v>
                </c:pt>
                <c:pt idx="97">
                  <c:v>136.37477110573002</c:v>
                </c:pt>
                <c:pt idx="98">
                  <c:v>139.56652443438028</c:v>
                </c:pt>
                <c:pt idx="99">
                  <c:v>143.56243422306133</c:v>
                </c:pt>
                <c:pt idx="100">
                  <c:v>148.85736298171392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2-4757-BAA7-394D4C03C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717344"/>
        <c:axId val="530716360"/>
      </c:scatterChart>
      <c:valAx>
        <c:axId val="530717344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6360"/>
        <c:crosses val="autoZero"/>
        <c:crossBetween val="midCat"/>
      </c:valAx>
      <c:valAx>
        <c:axId val="53071636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3071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25981416246702E-2"/>
          <c:y val="6.3551514008759233E-2"/>
          <c:w val="0.8426073568896274"/>
          <c:h val="0.90003944860334917"/>
        </c:manualLayout>
      </c:layout>
      <c:scatterChart>
        <c:scatterStyle val="lineMarker"/>
        <c:varyColors val="0"/>
        <c:ser>
          <c:idx val="0"/>
          <c:order val="0"/>
          <c:tx>
            <c:v>blade 1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 Vestas G27 105L'!$R$15:$R$23</c:f>
              <c:numCache>
                <c:formatCode>0.000000000</c:formatCode>
                <c:ptCount val="9"/>
                <c:pt idx="0">
                  <c:v>3.8413815750325635</c:v>
                </c:pt>
                <c:pt idx="1">
                  <c:v>4.8017269687907049</c:v>
                </c:pt>
                <c:pt idx="2">
                  <c:v>6.722417756306986</c:v>
                </c:pt>
                <c:pt idx="3">
                  <c:v>9.6034539375814099</c:v>
                </c:pt>
                <c:pt idx="4">
                  <c:v>10.563799331339549</c:v>
                </c:pt>
                <c:pt idx="5">
                  <c:v>15.365526300130254</c:v>
                </c:pt>
                <c:pt idx="6">
                  <c:v>17.286217087646538</c:v>
                </c:pt>
                <c:pt idx="7">
                  <c:v>18.246562481404677</c:v>
                </c:pt>
                <c:pt idx="8">
                  <c:v>19.20690787516282</c:v>
                </c:pt>
              </c:numCache>
            </c:numRef>
          </c:xVal>
          <c:yVal>
            <c:numRef>
              <c:f>'New Vestas G27 105L'!$T$15:$T$23</c:f>
              <c:numCache>
                <c:formatCode>0.0</c:formatCode>
                <c:ptCount val="9"/>
                <c:pt idx="0">
                  <c:v>119.13563169228982</c:v>
                </c:pt>
                <c:pt idx="1">
                  <c:v>114.99363409754525</c:v>
                </c:pt>
                <c:pt idx="2">
                  <c:v>113.98806242714483</c:v>
                </c:pt>
                <c:pt idx="3">
                  <c:v>111.52201761640093</c:v>
                </c:pt>
                <c:pt idx="4">
                  <c:v>109.94183356291457</c:v>
                </c:pt>
                <c:pt idx="5">
                  <c:v>109.0080884403999</c:v>
                </c:pt>
                <c:pt idx="6">
                  <c:v>108.07434331788519</c:v>
                </c:pt>
                <c:pt idx="7">
                  <c:v>105.75195160291281</c:v>
                </c:pt>
                <c:pt idx="8">
                  <c:v>105.56041414188415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6-4911-ACEA-5B9EA5A38A9A}"/>
            </c:ext>
          </c:extLst>
        </c:ser>
        <c:ser>
          <c:idx val="1"/>
          <c:order val="1"/>
          <c:tx>
            <c:v>blade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 Vestas G27 105L'!$R$24:$R$31</c:f>
              <c:numCache>
                <c:formatCode>0.000000000</c:formatCode>
                <c:ptCount val="8"/>
                <c:pt idx="0">
                  <c:v>2.8810361812744225</c:v>
                </c:pt>
                <c:pt idx="1">
                  <c:v>3.8413815750325635</c:v>
                </c:pt>
                <c:pt idx="2">
                  <c:v>4.8017269687907049</c:v>
                </c:pt>
                <c:pt idx="3">
                  <c:v>9.6034539375814099</c:v>
                </c:pt>
                <c:pt idx="4">
                  <c:v>10.563799331339549</c:v>
                </c:pt>
                <c:pt idx="5">
                  <c:v>11.52414472509769</c:v>
                </c:pt>
                <c:pt idx="6">
                  <c:v>14.405180906372113</c:v>
                </c:pt>
                <c:pt idx="7">
                  <c:v>19.20690787516282</c:v>
                </c:pt>
              </c:numCache>
            </c:numRef>
          </c:xVal>
          <c:yVal>
            <c:numRef>
              <c:f>'New Vestas G27 105L'!$T$24:$T$31</c:f>
              <c:numCache>
                <c:formatCode>0.0</c:formatCode>
                <c:ptCount val="8"/>
                <c:pt idx="0">
                  <c:v>126.17252703498713</c:v>
                </c:pt>
                <c:pt idx="1">
                  <c:v>122.38570023480405</c:v>
                </c:pt>
                <c:pt idx="2">
                  <c:v>116.53768922634551</c:v>
                </c:pt>
                <c:pt idx="3">
                  <c:v>114.28476694963702</c:v>
                </c:pt>
                <c:pt idx="4">
                  <c:v>111.64836854649269</c:v>
                </c:pt>
                <c:pt idx="5">
                  <c:v>108.77229755650337</c:v>
                </c:pt>
                <c:pt idx="6">
                  <c:v>107.07062222328031</c:v>
                </c:pt>
                <c:pt idx="7">
                  <c:v>106.04003012696514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6-4911-ACEA-5B9EA5A38A9A}"/>
            </c:ext>
          </c:extLst>
        </c:ser>
        <c:ser>
          <c:idx val="2"/>
          <c:order val="2"/>
          <c:tx>
            <c:v>blade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'New Vestas G27 105L'!$R$32:$R$37</c:f>
              <c:numCache>
                <c:formatCode>0.000000000</c:formatCode>
                <c:ptCount val="6"/>
                <c:pt idx="0">
                  <c:v>3.8413815750325635</c:v>
                </c:pt>
                <c:pt idx="1">
                  <c:v>5.762072362548845</c:v>
                </c:pt>
                <c:pt idx="2">
                  <c:v>6.722417756306986</c:v>
                </c:pt>
                <c:pt idx="3">
                  <c:v>9.6034539375814099</c:v>
                </c:pt>
                <c:pt idx="4">
                  <c:v>14.405180906372113</c:v>
                </c:pt>
                <c:pt idx="5">
                  <c:v>18.246562481404677</c:v>
                </c:pt>
              </c:numCache>
            </c:numRef>
          </c:xVal>
          <c:yVal>
            <c:numRef>
              <c:f>'New Vestas G27 105L'!$T$32:$T$37</c:f>
              <c:numCache>
                <c:formatCode>0.0</c:formatCode>
                <c:ptCount val="6"/>
                <c:pt idx="0">
                  <c:v>122.25432118368342</c:v>
                </c:pt>
                <c:pt idx="1">
                  <c:v>120.29311410924292</c:v>
                </c:pt>
                <c:pt idx="2">
                  <c:v>116.89687746813868</c:v>
                </c:pt>
                <c:pt idx="3">
                  <c:v>111.82643966592674</c:v>
                </c:pt>
                <c:pt idx="4">
                  <c:v>111.41984795537198</c:v>
                </c:pt>
                <c:pt idx="5">
                  <c:v>110.00873554815261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6-4911-ACEA-5B9EA5A38A9A}"/>
            </c:ext>
          </c:extLst>
        </c:ser>
        <c:ser>
          <c:idx val="3"/>
          <c:order val="3"/>
          <c:tx>
            <c:v>1193 Balde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'New Vestas G27 105L'!$R$38:$R$45</c:f>
              <c:numCache>
                <c:formatCode>0.000000000</c:formatCode>
                <c:ptCount val="8"/>
                <c:pt idx="0">
                  <c:v>0.57514661383205934</c:v>
                </c:pt>
                <c:pt idx="1">
                  <c:v>1.1502932276641187</c:v>
                </c:pt>
                <c:pt idx="2">
                  <c:v>1.725439841496178</c:v>
                </c:pt>
                <c:pt idx="3">
                  <c:v>2.3005864553282374</c:v>
                </c:pt>
                <c:pt idx="4">
                  <c:v>2.8757330691602965</c:v>
                </c:pt>
                <c:pt idx="5">
                  <c:v>3.450879682992356</c:v>
                </c:pt>
                <c:pt idx="6">
                  <c:v>4.0260262968244147</c:v>
                </c:pt>
                <c:pt idx="7">
                  <c:v>5.1763195244885329</c:v>
                </c:pt>
              </c:numCache>
            </c:numRef>
          </c:xVal>
          <c:yVal>
            <c:numRef>
              <c:f>'New Vestas G27 105L'!$T$38:$T$45</c:f>
              <c:numCache>
                <c:formatCode>0.0</c:formatCode>
                <c:ptCount val="8"/>
                <c:pt idx="0">
                  <c:v>140.09555954729694</c:v>
                </c:pt>
                <c:pt idx="1">
                  <c:v>125.70535893441595</c:v>
                </c:pt>
                <c:pt idx="2">
                  <c:v>123.2687711812389</c:v>
                </c:pt>
                <c:pt idx="3">
                  <c:v>121.06150933424321</c:v>
                </c:pt>
                <c:pt idx="4">
                  <c:v>120.63152326015314</c:v>
                </c:pt>
                <c:pt idx="5">
                  <c:v>120.05820849469971</c:v>
                </c:pt>
                <c:pt idx="6">
                  <c:v>118.13760403043072</c:v>
                </c:pt>
                <c:pt idx="7">
                  <c:v>116.90497728470585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6-4911-ACEA-5B9EA5A38A9A}"/>
            </c:ext>
          </c:extLst>
        </c:ser>
        <c:ser>
          <c:idx val="4"/>
          <c:order val="4"/>
          <c:tx>
            <c:v>1193 Blade 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'New Vestas G27 105L'!$R$46:$R$51</c:f>
              <c:numCache>
                <c:formatCode>0.000000000</c:formatCode>
                <c:ptCount val="6"/>
                <c:pt idx="0">
                  <c:v>0.57514661383205934</c:v>
                </c:pt>
                <c:pt idx="1">
                  <c:v>1.1502932276641187</c:v>
                </c:pt>
                <c:pt idx="2">
                  <c:v>1.725439841496178</c:v>
                </c:pt>
                <c:pt idx="3">
                  <c:v>2.3005864553282374</c:v>
                </c:pt>
                <c:pt idx="4">
                  <c:v>3.450879682992356</c:v>
                </c:pt>
                <c:pt idx="5">
                  <c:v>5.7514661383205929</c:v>
                </c:pt>
              </c:numCache>
            </c:numRef>
          </c:xVal>
          <c:yVal>
            <c:numRef>
              <c:f>'New Vestas G27 105L'!$T$46:$T$51</c:f>
              <c:numCache>
                <c:formatCode>0.0</c:formatCode>
                <c:ptCount val="6"/>
                <c:pt idx="0">
                  <c:v>151.18427342926574</c:v>
                </c:pt>
                <c:pt idx="1">
                  <c:v>140.46954198969809</c:v>
                </c:pt>
                <c:pt idx="2">
                  <c:v>133.86260302177348</c:v>
                </c:pt>
                <c:pt idx="3">
                  <c:v>126.30771195903883</c:v>
                </c:pt>
                <c:pt idx="4">
                  <c:v>121.05088661287125</c:v>
                </c:pt>
                <c:pt idx="5">
                  <c:v>119.21243402712456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6-4911-ACEA-5B9EA5A38A9A}"/>
            </c:ext>
          </c:extLst>
        </c:ser>
        <c:ser>
          <c:idx val="5"/>
          <c:order val="5"/>
          <c:tx>
            <c:v>1193 Blade 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'New Vestas G27 105L'!$R$52:$R$57</c:f>
              <c:numCache>
                <c:formatCode>0.000000000</c:formatCode>
                <c:ptCount val="6"/>
                <c:pt idx="0">
                  <c:v>1.1502932276641187</c:v>
                </c:pt>
                <c:pt idx="1">
                  <c:v>1.725439841496178</c:v>
                </c:pt>
                <c:pt idx="2">
                  <c:v>2.3005864553282374</c:v>
                </c:pt>
                <c:pt idx="3">
                  <c:v>3.450879682992356</c:v>
                </c:pt>
                <c:pt idx="4">
                  <c:v>4.6011729106564747</c:v>
                </c:pt>
                <c:pt idx="5">
                  <c:v>5.1763195244885329</c:v>
                </c:pt>
              </c:numCache>
            </c:numRef>
          </c:xVal>
          <c:yVal>
            <c:numRef>
              <c:f>'New Vestas G27 105L'!$T$52:$T$57</c:f>
              <c:numCache>
                <c:formatCode>0.0</c:formatCode>
                <c:ptCount val="6"/>
                <c:pt idx="0">
                  <c:v>138.21626111911107</c:v>
                </c:pt>
                <c:pt idx="1">
                  <c:v>129.98058130777247</c:v>
                </c:pt>
                <c:pt idx="2">
                  <c:v>127.25448519557391</c:v>
                </c:pt>
                <c:pt idx="3">
                  <c:v>124.93012956898552</c:v>
                </c:pt>
                <c:pt idx="4">
                  <c:v>121.94577173299243</c:v>
                </c:pt>
                <c:pt idx="5">
                  <c:v>120.56837580196087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6-4911-ACEA-5B9EA5A38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593408"/>
        <c:axId val="779589144"/>
      </c:scatterChart>
      <c:valAx>
        <c:axId val="7795934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79589144"/>
        <c:crosses val="autoZero"/>
        <c:crossBetween val="midCat"/>
      </c:valAx>
      <c:valAx>
        <c:axId val="77958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7959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0.76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8200000000000000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0.30000000000000004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'Drop size and fallvelocity'!$D$29</c:f>
              <c:numCache>
                <c:formatCode>General</c:formatCode>
                <c:ptCount val="1"/>
                <c:pt idx="0">
                  <c:v>0.75900000000000001</c:v>
                </c:pt>
              </c:numCache>
            </c:numRef>
          </c:xVal>
          <c:yVal>
            <c:numRef>
              <c:f>'Drop size and fallvelocity'!$E$29</c:f>
              <c:numCache>
                <c:formatCode>0.00</c:formatCode>
                <c:ptCount val="1"/>
                <c:pt idx="0">
                  <c:v>10.502216330077403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ED-474E-BEB0-87615A8BE3DC}"/>
            </c:ext>
          </c:extLst>
        </c:ser>
        <c:ser>
          <c:idx val="2"/>
          <c:order val="2"/>
          <c:tx>
            <c:v>1.9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96000000000000008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percentage"/>
            <c:noEndCap val="0"/>
            <c:val val="1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'Drop size and fallvelocity'!$D$30</c:f>
              <c:numCache>
                <c:formatCode>General</c:formatCode>
                <c:ptCount val="1"/>
                <c:pt idx="0">
                  <c:v>1.9040000000000001</c:v>
                </c:pt>
              </c:numCache>
            </c:numRef>
          </c:xVal>
          <c:yVal>
            <c:numRef>
              <c:f>'Drop size and fallvelocity'!$E$30</c:f>
              <c:numCache>
                <c:formatCode>0.00</c:formatCode>
                <c:ptCount val="1"/>
                <c:pt idx="0">
                  <c:v>10.234577187497061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ED-474E-BEB0-87615A8BE3DC}"/>
            </c:ext>
          </c:extLst>
        </c:ser>
        <c:ser>
          <c:idx val="3"/>
          <c:order val="3"/>
          <c:tx>
            <c:v>2.35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64000000000000012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percentage"/>
            <c:noEndCap val="0"/>
            <c:val val="1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'Drop size and fallvelocity'!$D$28</c:f>
              <c:numCache>
                <c:formatCode>General</c:formatCode>
                <c:ptCount val="1"/>
                <c:pt idx="0">
                  <c:v>2.3800000000000003</c:v>
                </c:pt>
              </c:numCache>
            </c:numRef>
          </c:xVal>
          <c:yVal>
            <c:numRef>
              <c:f>'Drop size and fallvelocity'!$E$28</c:f>
              <c:numCache>
                <c:formatCode>0.00</c:formatCode>
                <c:ptCount val="1"/>
                <c:pt idx="0">
                  <c:v>7.774697634475225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ED-474E-BEB0-87615A8BE3DC}"/>
            </c:ext>
          </c:extLst>
        </c:ser>
        <c:ser>
          <c:idx val="4"/>
          <c:order val="4"/>
          <c:tx>
            <c:v>3.5 mm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68000000000000016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percentage"/>
            <c:noEndCap val="0"/>
            <c:val val="1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'Drop size and fallvelocity'!$D$27</c:f>
              <c:numCache>
                <c:formatCode>General</c:formatCode>
                <c:ptCount val="1"/>
                <c:pt idx="0">
                  <c:v>3.5</c:v>
                </c:pt>
              </c:numCache>
            </c:numRef>
          </c:xVal>
          <c:yVal>
            <c:numRef>
              <c:f>'Drop size and fallvelocity'!$E$27</c:f>
              <c:numCache>
                <c:formatCode>0.00</c:formatCode>
                <c:ptCount val="1"/>
                <c:pt idx="0">
                  <c:v>7.2342321866673309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ED-474E-BEB0-87615A8BE3DC}"/>
            </c:ext>
          </c:extLst>
        </c:ser>
        <c:ser>
          <c:idx val="5"/>
          <c:order val="5"/>
          <c:tx>
            <c:v>all drop sizes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0"/>
            <c:val val="0.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'Drop size and fallvelocity'!$D$32</c:f>
              <c:numCache>
                <c:formatCode>General</c:formatCode>
                <c:ptCount val="1"/>
                <c:pt idx="0">
                  <c:v>2.1357500000000003</c:v>
                </c:pt>
              </c:numCache>
            </c:numRef>
          </c:xVal>
          <c:yVal>
            <c:numRef>
              <c:f>'Drop size and fallvelocity'!$E$32</c:f>
              <c:numCache>
                <c:formatCode>0.00</c:formatCode>
                <c:ptCount val="1"/>
                <c:pt idx="0">
                  <c:v>9.5734587425080395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ED-474E-BEB0-87615A8BE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014168"/>
        <c:axId val="52901876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exponent vs dropsize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forward val="2"/>
                  <c:backward val="0.5"/>
                  <c:dispRSqr val="1"/>
                  <c:dispEq val="1"/>
                  <c:trendlineLbl>
                    <c:layout>
                      <c:manualLayout>
                        <c:x val="1.306972648465553E-2"/>
                        <c:y val="-0.1359813179958663"/>
                      </c:manualLayout>
                    </c:layout>
                    <c:numFmt formatCode="#,##0.0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6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da-DK"/>
                      </a:p>
                    </c:txPr>
                  </c:trendlineLbl>
                </c:trendline>
                <c:xVal>
                  <c:numRef>
                    <c:extLst>
                      <c:ext uri="{02D57815-91ED-43cb-92C2-25804820EDAC}">
                        <c15:formulaRef>
                          <c15:sqref>'Drop size and fallvelocity'!$D$27:$D$30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3.5</c:v>
                      </c:pt>
                      <c:pt idx="1">
                        <c:v>2.3800000000000003</c:v>
                      </c:pt>
                      <c:pt idx="2">
                        <c:v>0.75900000000000001</c:v>
                      </c:pt>
                      <c:pt idx="3">
                        <c:v>1.9040000000000001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'Drop size and fallvelocity'!$E$27:$E$30</c15:sqref>
                        </c15:formulaRef>
                      </c:ext>
                    </c:extLst>
                    <c:numCache>
                      <c:formatCode>0.00</c:formatCode>
                      <c:ptCount val="4"/>
                      <c:pt idx="0">
                        <c:v>7.2342321866673309</c:v>
                      </c:pt>
                      <c:pt idx="1">
                        <c:v>7.774697634475225</c:v>
                      </c:pt>
                      <c:pt idx="2">
                        <c:v>10.502216330077403</c:v>
                      </c:pt>
                      <c:pt idx="3">
                        <c:v>10.234577187497061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856-402A-8440-3993A4B1F87C}"/>
                  </c:ext>
                </c:extLst>
              </c15:ser>
            </c15:filteredScatterSeries>
          </c:ext>
        </c:extLst>
      </c:scatterChart>
      <c:valAx>
        <c:axId val="529014168"/>
        <c:scaling>
          <c:orientation val="minMax"/>
          <c:max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droplet diameter [mm]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9018760"/>
        <c:crosses val="autoZero"/>
        <c:crossBetween val="midCat"/>
      </c:valAx>
      <c:valAx>
        <c:axId val="52901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Wöhler exponent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901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5259775220405142"/>
                  <c:y val="0.12063591044408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'Drop size and fallvelocity'!$D$27:$D$30</c:f>
              <c:numCache>
                <c:formatCode>General</c:formatCode>
                <c:ptCount val="4"/>
                <c:pt idx="0">
                  <c:v>3.5</c:v>
                </c:pt>
                <c:pt idx="1">
                  <c:v>2.3800000000000003</c:v>
                </c:pt>
                <c:pt idx="2">
                  <c:v>0.75900000000000001</c:v>
                </c:pt>
                <c:pt idx="3">
                  <c:v>1.9040000000000001</c:v>
                </c:pt>
              </c:numCache>
            </c:numRef>
          </c:xVal>
          <c:yVal>
            <c:numRef>
              <c:f>'Drop size and fallvelocity'!$E$27:$E$30</c:f>
              <c:numCache>
                <c:formatCode>0.00</c:formatCode>
                <c:ptCount val="4"/>
                <c:pt idx="0">
                  <c:v>7.2342321866673309</c:v>
                </c:pt>
                <c:pt idx="1">
                  <c:v>7.774697634475225</c:v>
                </c:pt>
                <c:pt idx="2">
                  <c:v>10.502216330077403</c:v>
                </c:pt>
                <c:pt idx="3">
                  <c:v>10.234577187497061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48-424A-8EB0-42033E5DD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738000"/>
        <c:axId val="347733080"/>
      </c:scatterChart>
      <c:valAx>
        <c:axId val="3477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droplet diameter [mm]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47733080"/>
        <c:crosses val="autoZero"/>
        <c:crossBetween val="midCat"/>
      </c:valAx>
      <c:valAx>
        <c:axId val="34773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exponent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477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</a:t>
            </a:r>
          </a:p>
        </c:rich>
      </c:tx>
      <c:layout>
        <c:manualLayout>
          <c:xMode val="edge"/>
          <c:yMode val="edge"/>
          <c:x val="1.0857474165211676E-3"/>
          <c:y val="4.4408385209072866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Impingment at 95m/s extrapolated from VN VN curve fit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1699733008995817"/>
                  <c:y val="3.13324476009669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'SOFTSIGN MODEL FIT'!$B$2:$B$5</c:f>
              <c:numCache>
                <c:formatCode>General</c:formatCode>
                <c:ptCount val="4"/>
                <c:pt idx="0">
                  <c:v>0.75900000000000001</c:v>
                </c:pt>
                <c:pt idx="1">
                  <c:v>1.9040000000000001</c:v>
                </c:pt>
                <c:pt idx="2">
                  <c:v>2.3800000000000003</c:v>
                </c:pt>
                <c:pt idx="3">
                  <c:v>3.5</c:v>
                </c:pt>
              </c:numCache>
            </c:numRef>
          </c:xVal>
          <c:yVal>
            <c:numRef>
              <c:f>'SOFTSIGN MODEL FIT'!$E$2:$E$5</c:f>
              <c:numCache>
                <c:formatCode>General</c:formatCode>
                <c:ptCount val="4"/>
                <c:pt idx="0">
                  <c:v>10.502216330077403</c:v>
                </c:pt>
                <c:pt idx="1">
                  <c:v>10.234577187497061</c:v>
                </c:pt>
                <c:pt idx="2">
                  <c:v>7.774697634475225</c:v>
                </c:pt>
                <c:pt idx="3">
                  <c:v>7.2342321866673309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9D-48D7-A8D6-958D806BC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99632"/>
        <c:axId val="651299960"/>
      </c:scatterChart>
      <c:valAx>
        <c:axId val="65129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Dropsize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51299960"/>
        <c:crosses val="autoZero"/>
        <c:crossBetween val="midCat"/>
      </c:valAx>
      <c:valAx>
        <c:axId val="651299960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impingment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5129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4569803988206013E-2"/>
          <c:y val="6.6529719940946086E-2"/>
          <c:w val="0.92860907117693936"/>
          <c:h val="0.88886224530601599"/>
        </c:manualLayout>
      </c:layout>
      <c:scatterChart>
        <c:scatterStyle val="lineMarker"/>
        <c:varyColors val="0"/>
        <c:ser>
          <c:idx val="0"/>
          <c:order val="0"/>
          <c:tx>
            <c:v>STDEV of impingment vs 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'SOFTSIGN MODEL FIT'!$C$11:$C$37</c:f>
              <c:numCache>
                <c:formatCode>_(* #,##0.00_);_(* \(#,##0.00\);_(* "-"??_);_(@_)</c:formatCode>
                <c:ptCount val="27"/>
                <c:pt idx="0">
                  <c:v>2.8144371691296573E-2</c:v>
                </c:pt>
                <c:pt idx="1">
                  <c:v>3.2928379420582313E-2</c:v>
                </c:pt>
                <c:pt idx="2">
                  <c:v>3.8551176095890434E-2</c:v>
                </c:pt>
                <c:pt idx="3">
                  <c:v>4.5137192269699762E-2</c:v>
                </c:pt>
                <c:pt idx="4">
                  <c:v>5.2809016078473631E-2</c:v>
                </c:pt>
                <c:pt idx="5">
                  <c:v>6.1670084958413141E-2</c:v>
                </c:pt>
                <c:pt idx="6">
                  <c:v>7.1773949156995254E-2</c:v>
                </c:pt>
                <c:pt idx="7">
                  <c:v>8.3072769774152566E-2</c:v>
                </c:pt>
                <c:pt idx="8">
                  <c:v>9.5336758812359035E-2</c:v>
                </c:pt>
                <c:pt idx="9">
                  <c:v>0.10804339363204957</c:v>
                </c:pt>
                <c:pt idx="10">
                  <c:v>0.12027806566600312</c:v>
                </c:pt>
                <c:pt idx="11">
                  <c:v>0.1308778170546587</c:v>
                </c:pt>
                <c:pt idx="12">
                  <c:v>0.13983370370020556</c:v>
                </c:pt>
                <c:pt idx="13">
                  <c:v>0.15464752189864664</c:v>
                </c:pt>
                <c:pt idx="14">
                  <c:v>0.20679653863235836</c:v>
                </c:pt>
                <c:pt idx="15">
                  <c:v>0.3575890681631298</c:v>
                </c:pt>
                <c:pt idx="16">
                  <c:v>0.6847622194293439</c:v>
                </c:pt>
                <c:pt idx="17">
                  <c:v>1.3141009171302138</c:v>
                </c:pt>
                <c:pt idx="18">
                  <c:v>2.4833425007872356</c:v>
                </c:pt>
                <c:pt idx="19">
                  <c:v>4.645148564517549</c:v>
                </c:pt>
                <c:pt idx="20">
                  <c:v>8.6722490202755704</c:v>
                </c:pt>
                <c:pt idx="21">
                  <c:v>16.285300429601794</c:v>
                </c:pt>
                <c:pt idx="22">
                  <c:v>30.972545716562148</c:v>
                </c:pt>
                <c:pt idx="23">
                  <c:v>60.038192474533581</c:v>
                </c:pt>
                <c:pt idx="24">
                  <c:v>119.35423591443416</c:v>
                </c:pt>
                <c:pt idx="25">
                  <c:v>244.90312264604458</c:v>
                </c:pt>
                <c:pt idx="26">
                  <c:v>522.32020587007423</c:v>
                </c:pt>
              </c:numCache>
            </c:numRef>
          </c:xVal>
          <c:yVal>
            <c:numRef>
              <c:f>'SOFTSIGN MODEL FIT'!$B$11:$B$37</c:f>
              <c:numCache>
                <c:formatCode>General</c:formatCode>
                <c:ptCount val="27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  <c:pt idx="26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E-48DF-AD29-E0260DF92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3344"/>
        <c:axId val="37044000"/>
      </c:scatterChart>
      <c:valAx>
        <c:axId val="370433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44000"/>
        <c:crosses val="autoZero"/>
        <c:crossBetween val="midCat"/>
      </c:valAx>
      <c:valAx>
        <c:axId val="370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4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'SOFTSIGN MODEL FIT'!$B$2:$B$5</c:f>
              <c:numCache>
                <c:formatCode>General</c:formatCode>
                <c:ptCount val="4"/>
                <c:pt idx="0">
                  <c:v>0.75900000000000001</c:v>
                </c:pt>
                <c:pt idx="1">
                  <c:v>1.9040000000000001</c:v>
                </c:pt>
                <c:pt idx="2">
                  <c:v>2.3800000000000003</c:v>
                </c:pt>
                <c:pt idx="3">
                  <c:v>3.5</c:v>
                </c:pt>
              </c:numCache>
            </c:numRef>
          </c:xVal>
          <c:yVal>
            <c:numRef>
              <c:f>'SOFTSIGN MODEL FIT'!$G$2:$G$5</c:f>
              <c:numCache>
                <c:formatCode>General</c:formatCode>
                <c:ptCount val="4"/>
                <c:pt idx="0">
                  <c:v>9.5214936964215901E+22</c:v>
                </c:pt>
                <c:pt idx="1">
                  <c:v>7.3423275657187E+19</c:v>
                </c:pt>
                <c:pt idx="2">
                  <c:v>3.6355652464550968E+18</c:v>
                </c:pt>
                <c:pt idx="3">
                  <c:v>2782804018711886.5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D4-4A24-B683-CDD509297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149856"/>
        <c:axId val="489140344"/>
      </c:scatterChart>
      <c:valAx>
        <c:axId val="48914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89140344"/>
        <c:crosses val="autoZero"/>
        <c:crossBetween val="midCat"/>
      </c:valAx>
      <c:valAx>
        <c:axId val="489140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8914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Impingment at 100 m/s extrapolated from VN VN curve fit</a:t>
            </a:r>
          </a:p>
        </c:rich>
      </c:tx>
      <c:layout>
        <c:manualLayout>
          <c:xMode val="edge"/>
          <c:yMode val="edge"/>
          <c:x val="0.12736393858882411"/>
          <c:y val="2.67335004177109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Impingment at 95m/s extrapolated from VN VN curve fit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2991615952443356E-2"/>
                  <c:y val="-0.30382938974733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'LINEAR MODEL FIT'!$B$2:$B$5</c:f>
              <c:numCache>
                <c:formatCode>General</c:formatCode>
                <c:ptCount val="4"/>
                <c:pt idx="0">
                  <c:v>0.75900000000000001</c:v>
                </c:pt>
                <c:pt idx="1">
                  <c:v>1.9040000000000001</c:v>
                </c:pt>
                <c:pt idx="2">
                  <c:v>2.3800000000000003</c:v>
                </c:pt>
                <c:pt idx="3">
                  <c:v>3.5</c:v>
                </c:pt>
              </c:numCache>
            </c:numRef>
          </c:xVal>
          <c:yVal>
            <c:numRef>
              <c:f>'LINEAR MODEL FIT'!$I$2:$I$5</c:f>
              <c:numCache>
                <c:formatCode>General</c:formatCode>
                <c:ptCount val="4"/>
                <c:pt idx="0">
                  <c:v>28.262023945859521</c:v>
                </c:pt>
                <c:pt idx="1">
                  <c:v>34.07548369665696</c:v>
                </c:pt>
                <c:pt idx="2">
                  <c:v>16.439289403629978</c:v>
                </c:pt>
                <c:pt idx="3">
                  <c:v>12.630756937058919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6-4D59-AA4E-5562A03C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299632"/>
        <c:axId val="651299960"/>
      </c:scatterChart>
      <c:valAx>
        <c:axId val="65129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Dropsize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51299960"/>
        <c:crosses val="autoZero"/>
        <c:crossBetween val="midCat"/>
      </c:valAx>
      <c:valAx>
        <c:axId val="65129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impingment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5129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4569803988206013E-2"/>
          <c:y val="6.6529719940946086E-2"/>
          <c:w val="0.92860907117693936"/>
          <c:h val="0.88886224530601599"/>
        </c:manualLayout>
      </c:layout>
      <c:scatterChart>
        <c:scatterStyle val="lineMarker"/>
        <c:varyColors val="0"/>
        <c:ser>
          <c:idx val="0"/>
          <c:order val="0"/>
          <c:tx>
            <c:v>STDEV of impingment vs speed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MODEL FIT'!$C$11:$C$37</c:f>
              <c:numCache>
                <c:formatCode>_(* #,##0.00_);_(* \(#,##0.00\);_(* "-"??_);_(@_)</c:formatCode>
                <c:ptCount val="27"/>
                <c:pt idx="0">
                  <c:v>2.8144371691296573E-2</c:v>
                </c:pt>
                <c:pt idx="1">
                  <c:v>3.2928379420582313E-2</c:v>
                </c:pt>
                <c:pt idx="2">
                  <c:v>3.8551176095890434E-2</c:v>
                </c:pt>
                <c:pt idx="3">
                  <c:v>4.5137192269699762E-2</c:v>
                </c:pt>
                <c:pt idx="4">
                  <c:v>5.2809016078473631E-2</c:v>
                </c:pt>
                <c:pt idx="5">
                  <c:v>6.1670084958413141E-2</c:v>
                </c:pt>
                <c:pt idx="6">
                  <c:v>7.1773949156995254E-2</c:v>
                </c:pt>
                <c:pt idx="7">
                  <c:v>8.3072769774152566E-2</c:v>
                </c:pt>
                <c:pt idx="8">
                  <c:v>9.5336758812359035E-2</c:v>
                </c:pt>
                <c:pt idx="9">
                  <c:v>0.10804339363204957</c:v>
                </c:pt>
                <c:pt idx="10">
                  <c:v>0.12027806566600312</c:v>
                </c:pt>
                <c:pt idx="11">
                  <c:v>0.1308778170546587</c:v>
                </c:pt>
                <c:pt idx="12">
                  <c:v>0.13983370370020556</c:v>
                </c:pt>
                <c:pt idx="13">
                  <c:v>0.15464752189864664</c:v>
                </c:pt>
                <c:pt idx="14">
                  <c:v>0.20679653863235836</c:v>
                </c:pt>
                <c:pt idx="15">
                  <c:v>0.3575890681631298</c:v>
                </c:pt>
                <c:pt idx="16">
                  <c:v>0.6847622194293439</c:v>
                </c:pt>
                <c:pt idx="17">
                  <c:v>1.3141009171302138</c:v>
                </c:pt>
                <c:pt idx="18">
                  <c:v>2.4833425007872356</c:v>
                </c:pt>
                <c:pt idx="19">
                  <c:v>4.645148564517549</c:v>
                </c:pt>
                <c:pt idx="20">
                  <c:v>8.6722490202755704</c:v>
                </c:pt>
                <c:pt idx="21">
                  <c:v>16.285300429601794</c:v>
                </c:pt>
                <c:pt idx="22">
                  <c:v>30.972545716562148</c:v>
                </c:pt>
                <c:pt idx="23">
                  <c:v>60.038192474533581</c:v>
                </c:pt>
                <c:pt idx="24">
                  <c:v>119.35423591443416</c:v>
                </c:pt>
                <c:pt idx="25">
                  <c:v>244.90312264604458</c:v>
                </c:pt>
                <c:pt idx="26">
                  <c:v>522.32020587007423</c:v>
                </c:pt>
              </c:numCache>
            </c:numRef>
          </c:xVal>
          <c:yVal>
            <c:numRef>
              <c:f>'LINEAR MODEL FIT'!$B$11:$B$37</c:f>
              <c:numCache>
                <c:formatCode>General</c:formatCode>
                <c:ptCount val="27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  <c:pt idx="26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4A-483A-A5C5-84C22A3A9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3344"/>
        <c:axId val="37044000"/>
      </c:scatterChart>
      <c:valAx>
        <c:axId val="3704334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44000"/>
        <c:crosses val="autoZero"/>
        <c:crossBetween val="midCat"/>
      </c:valAx>
      <c:valAx>
        <c:axId val="370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4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'LINEAR MODEL FIT'!$B$2:$B$5</c:f>
              <c:numCache>
                <c:formatCode>General</c:formatCode>
                <c:ptCount val="4"/>
                <c:pt idx="0">
                  <c:v>0.75900000000000001</c:v>
                </c:pt>
                <c:pt idx="1">
                  <c:v>1.9040000000000001</c:v>
                </c:pt>
                <c:pt idx="2">
                  <c:v>2.3800000000000003</c:v>
                </c:pt>
                <c:pt idx="3">
                  <c:v>3.5</c:v>
                </c:pt>
              </c:numCache>
            </c:numRef>
          </c:xVal>
          <c:yVal>
            <c:numRef>
              <c:f>'LINEAR MODEL FIT'!$G$2:$G$5</c:f>
              <c:numCache>
                <c:formatCode>General</c:formatCode>
                <c:ptCount val="4"/>
                <c:pt idx="0">
                  <c:v>9.5214936964215901E+22</c:v>
                </c:pt>
                <c:pt idx="1">
                  <c:v>7.3423275657187E+19</c:v>
                </c:pt>
                <c:pt idx="2">
                  <c:v>3.6355652464550968E+18</c:v>
                </c:pt>
                <c:pt idx="3">
                  <c:v>2782804018711886.5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2-44BD-B851-CD319E9F6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149856"/>
        <c:axId val="489140344"/>
      </c:scatterChart>
      <c:valAx>
        <c:axId val="48914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89140344"/>
        <c:crosses val="autoZero"/>
        <c:crossBetween val="midCat"/>
      </c:valAx>
      <c:valAx>
        <c:axId val="4891403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8914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4"/>
          <c:tx>
            <c:v>0,759 linear model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'LINEAR MODEL FIT'!$O$18:$O$43</c:f>
              <c:numCache>
                <c:formatCode>General</c:formatCode>
                <c:ptCount val="26"/>
                <c:pt idx="0">
                  <c:v>1.8715267292856285E-2</c:v>
                </c:pt>
                <c:pt idx="1">
                  <c:v>2.4561514795042878E-2</c:v>
                </c:pt>
                <c:pt idx="2">
                  <c:v>3.2462433454994527E-2</c:v>
                </c:pt>
                <c:pt idx="3">
                  <c:v>4.3225238631837977E-2</c:v>
                </c:pt>
                <c:pt idx="4">
                  <c:v>5.8009773529877302E-2</c:v>
                </c:pt>
                <c:pt idx="5">
                  <c:v>7.8499047916922748E-2</c:v>
                </c:pt>
                <c:pt idx="6">
                  <c:v>0.10716075483813012</c:v>
                </c:pt>
                <c:pt idx="7">
                  <c:v>0.14765314297990964</c:v>
                </c:pt>
                <c:pt idx="8">
                  <c:v>0.20546298049430961</c:v>
                </c:pt>
                <c:pt idx="9">
                  <c:v>0.28892191951183432</c:v>
                </c:pt>
                <c:pt idx="10">
                  <c:v>0.41084901704848703</c:v>
                </c:pt>
                <c:pt idx="11">
                  <c:v>0.59124584284913251</c:v>
                </c:pt>
                <c:pt idx="12">
                  <c:v>0.86179096983205161</c:v>
                </c:pt>
                <c:pt idx="13">
                  <c:v>1.2734660991485125</c:v>
                </c:pt>
                <c:pt idx="14">
                  <c:v>1.9097379557764114</c:v>
                </c:pt>
                <c:pt idx="15">
                  <c:v>2.9098013065465564</c:v>
                </c:pt>
                <c:pt idx="16">
                  <c:v>4.5104492634289519</c:v>
                </c:pt>
                <c:pt idx="17">
                  <c:v>7.1232623580284091</c:v>
                </c:pt>
                <c:pt idx="18">
                  <c:v>11.480513876746848</c:v>
                </c:pt>
                <c:pt idx="19">
                  <c:v>18.918563508409502</c:v>
                </c:pt>
                <c:pt idx="20">
                  <c:v>31.94485228204551</c:v>
                </c:pt>
                <c:pt idx="21">
                  <c:v>55.409715779553466</c:v>
                </c:pt>
                <c:pt idx="22">
                  <c:v>99.01614640760171</c:v>
                </c:pt>
                <c:pt idx="23">
                  <c:v>182.91133277285741</c:v>
                </c:pt>
                <c:pt idx="24">
                  <c:v>350.7021544824467</c:v>
                </c:pt>
                <c:pt idx="25">
                  <c:v>701.2729743297549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E87-4409-911A-55B6FB878CAE}"/>
            </c:ext>
          </c:extLst>
        </c:ser>
        <c:ser>
          <c:idx val="5"/>
          <c:order val="5"/>
          <c:tx>
            <c:v>1,904 linear model</c:v>
          </c:tx>
          <c:spPr>
            <a:ln w="19050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'LINEAR MODEL FIT'!$P$18:$P$43</c:f>
              <c:numCache>
                <c:formatCode>General</c:formatCode>
                <c:ptCount val="26"/>
                <c:pt idx="0">
                  <c:v>4.0341194830920218E-2</c:v>
                </c:pt>
                <c:pt idx="1">
                  <c:v>5.0972890831153715E-2</c:v>
                </c:pt>
                <c:pt idx="2">
                  <c:v>6.4799070964857347E-2</c:v>
                </c:pt>
                <c:pt idx="3">
                  <c:v>8.2904494037487939E-2</c:v>
                </c:pt>
                <c:pt idx="4">
                  <c:v>0.10678727157264807</c:v>
                </c:pt>
                <c:pt idx="5">
                  <c:v>0.13853459931956899</c:v>
                </c:pt>
                <c:pt idx="6">
                  <c:v>0.18108144598549056</c:v>
                </c:pt>
                <c:pt idx="7">
                  <c:v>0.23859551370162091</c:v>
                </c:pt>
                <c:pt idx="8">
                  <c:v>0.31705671853498513</c:v>
                </c:pt>
                <c:pt idx="9">
                  <c:v>0.42514015572358349</c:v>
                </c:pt>
                <c:pt idx="10">
                  <c:v>0.57557897499279098</c:v>
                </c:pt>
                <c:pt idx="11">
                  <c:v>0.78729709817383475</c:v>
                </c:pt>
                <c:pt idx="12">
                  <c:v>1.088795848707883</c:v>
                </c:pt>
                <c:pt idx="13">
                  <c:v>1.5236164563710697</c:v>
                </c:pt>
                <c:pt idx="14">
                  <c:v>2.1592995733771088</c:v>
                </c:pt>
                <c:pt idx="15">
                  <c:v>3.1023468581493594</c:v>
                </c:pt>
                <c:pt idx="16">
                  <c:v>4.5236930099321455</c:v>
                </c:pt>
                <c:pt idx="17">
                  <c:v>6.7029856461847581</c:v>
                </c:pt>
                <c:pt idx="18">
                  <c:v>10.107317488666306</c:v>
                </c:pt>
                <c:pt idx="19">
                  <c:v>15.534691057175959</c:v>
                </c:pt>
                <c:pt idx="20">
                  <c:v>24.382518136231411</c:v>
                </c:pt>
                <c:pt idx="21">
                  <c:v>39.165040342350281</c:v>
                </c:pt>
                <c:pt idx="22">
                  <c:v>64.543021017392206</c:v>
                </c:pt>
                <c:pt idx="23">
                  <c:v>109.44697249006961</c:v>
                </c:pt>
                <c:pt idx="24">
                  <c:v>191.63143834223069</c:v>
                </c:pt>
                <c:pt idx="25">
                  <c:v>347.88421253796514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E87-4409-911A-55B6FB878CAE}"/>
            </c:ext>
          </c:extLst>
        </c:ser>
        <c:ser>
          <c:idx val="6"/>
          <c:order val="6"/>
          <c:tx>
            <c:v>2,38 linear model</c:v>
          </c:tx>
          <c:spPr>
            <a:ln w="19050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'LINEAR MODEL FIT'!$Q$18:$Q$43</c:f>
              <c:numCache>
                <c:formatCode>General</c:formatCode>
                <c:ptCount val="26"/>
                <c:pt idx="0">
                  <c:v>5.4104844963389971E-2</c:v>
                </c:pt>
                <c:pt idx="1">
                  <c:v>6.7294617153592987E-2</c:v>
                </c:pt>
                <c:pt idx="2">
                  <c:v>8.4175490800391287E-2</c:v>
                </c:pt>
                <c:pt idx="3">
                  <c:v>0.10592133194074636</c:v>
                </c:pt>
                <c:pt idx="4">
                  <c:v>0.13412685225116946</c:v>
                </c:pt>
                <c:pt idx="5">
                  <c:v>0.17097658649757289</c:v>
                </c:pt>
                <c:pt idx="6">
                  <c:v>0.21948945113784452</c:v>
                </c:pt>
                <c:pt idx="7">
                  <c:v>0.28387637869173143</c:v>
                </c:pt>
                <c:pt idx="8">
                  <c:v>0.37006907792614108</c:v>
                </c:pt>
                <c:pt idx="9">
                  <c:v>0.4865109419569672</c:v>
                </c:pt>
                <c:pt idx="10">
                  <c:v>0.64535475944966092</c:v>
                </c:pt>
                <c:pt idx="11">
                  <c:v>0.86430042838450416</c:v>
                </c:pt>
                <c:pt idx="12">
                  <c:v>1.1694543761271305</c:v>
                </c:pt>
                <c:pt idx="13">
                  <c:v>1.5998456797882603</c:v>
                </c:pt>
                <c:pt idx="14">
                  <c:v>2.2146737221538122</c:v>
                </c:pt>
                <c:pt idx="15">
                  <c:v>3.1051408316390678</c:v>
                </c:pt>
                <c:pt idx="16">
                  <c:v>4.4141303967580408</c:v>
                </c:pt>
                <c:pt idx="17">
                  <c:v>6.3695907108303551</c:v>
                </c:pt>
                <c:pt idx="18">
                  <c:v>9.3424048285144394</c:v>
                </c:pt>
                <c:pt idx="19">
                  <c:v>13.949082528626565</c:v>
                </c:pt>
                <c:pt idx="20">
                  <c:v>21.238700622338385</c:v>
                </c:pt>
                <c:pt idx="21">
                  <c:v>33.042845794264984</c:v>
                </c:pt>
                <c:pt idx="22">
                  <c:v>52.651108460005382</c:v>
                </c:pt>
                <c:pt idx="23">
                  <c:v>86.159950104882441</c:v>
                </c:pt>
                <c:pt idx="24">
                  <c:v>145.26954768979562</c:v>
                </c:pt>
                <c:pt idx="25">
                  <c:v>253.33214687939949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87-4409-911A-55B6FB878CAE}"/>
            </c:ext>
          </c:extLst>
        </c:ser>
        <c:ser>
          <c:idx val="7"/>
          <c:order val="7"/>
          <c:tx>
            <c:v>3,5 linear model</c:v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'LINEAR MODEL FIT'!$R$18:$R$43</c:f>
              <c:numCache>
                <c:formatCode>General</c:formatCode>
                <c:ptCount val="26"/>
                <c:pt idx="0">
                  <c:v>9.7346749225571724E-2</c:v>
                </c:pt>
                <c:pt idx="1">
                  <c:v>0.11666930036083742</c:v>
                </c:pt>
                <c:pt idx="2">
                  <c:v>0.14048644783313485</c:v>
                </c:pt>
                <c:pt idx="3">
                  <c:v>0.17000587523569349</c:v>
                </c:pt>
                <c:pt idx="4">
                  <c:v>0.20680594099048394</c:v>
                </c:pt>
                <c:pt idx="5">
                  <c:v>0.25296448988080805</c:v>
                </c:pt>
                <c:pt idx="6">
                  <c:v>0.31123798379542661</c:v>
                </c:pt>
                <c:pt idx="7">
                  <c:v>0.38531292049356491</c:v>
                </c:pt>
                <c:pt idx="8">
                  <c:v>0.48016217785482679</c:v>
                </c:pt>
                <c:pt idx="9">
                  <c:v>0.60255533029867347</c:v>
                </c:pt>
                <c:pt idx="10">
                  <c:v>0.76179754549687639</c:v>
                </c:pt>
                <c:pt idx="11">
                  <c:v>0.97081202852910131</c:v>
                </c:pt>
                <c:pt idx="12">
                  <c:v>1.2477456242493399</c:v>
                </c:pt>
                <c:pt idx="13">
                  <c:v>1.6183823239506563</c:v>
                </c:pt>
                <c:pt idx="14">
                  <c:v>2.1198232265439674</c:v>
                </c:pt>
                <c:pt idx="15">
                  <c:v>2.8061838917469459</c:v>
                </c:pt>
                <c:pt idx="16">
                  <c:v>3.7575612071302418</c:v>
                </c:pt>
                <c:pt idx="17">
                  <c:v>5.094398477107708</c:v>
                </c:pt>
                <c:pt idx="18">
                  <c:v>7.0009443428865987</c:v>
                </c:pt>
                <c:pt idx="19">
                  <c:v>9.764368728482717</c:v>
                </c:pt>
                <c:pt idx="20">
                  <c:v>13.841482942590098</c:v>
                </c:pt>
                <c:pt idx="21">
                  <c:v>19.975405309545067</c:v>
                </c:pt>
                <c:pt idx="22">
                  <c:v>29.40520281795046</c:v>
                </c:pt>
                <c:pt idx="23">
                  <c:v>44.254125361783771</c:v>
                </c:pt>
                <c:pt idx="24">
                  <c:v>68.273020386681125</c:v>
                </c:pt>
                <c:pt idx="25">
                  <c:v>108.31802618563756</c:v>
                </c:pt>
              </c:numCache>
            </c:numRef>
          </c:xVal>
          <c:yVal>
            <c:numRef>
              <c:f>'LINEAR MODEL FIT'!$J$18:$J$43</c:f>
              <c:numCache>
                <c:formatCode>General</c:formatCode>
                <c:ptCount val="26"/>
                <c:pt idx="0">
                  <c:v>200</c:v>
                </c:pt>
                <c:pt idx="1">
                  <c:v>195</c:v>
                </c:pt>
                <c:pt idx="2">
                  <c:v>190</c:v>
                </c:pt>
                <c:pt idx="3">
                  <c:v>185</c:v>
                </c:pt>
                <c:pt idx="4">
                  <c:v>180</c:v>
                </c:pt>
                <c:pt idx="5">
                  <c:v>175</c:v>
                </c:pt>
                <c:pt idx="6">
                  <c:v>170</c:v>
                </c:pt>
                <c:pt idx="7">
                  <c:v>165</c:v>
                </c:pt>
                <c:pt idx="8">
                  <c:v>160</c:v>
                </c:pt>
                <c:pt idx="9">
                  <c:v>155</c:v>
                </c:pt>
                <c:pt idx="10">
                  <c:v>150</c:v>
                </c:pt>
                <c:pt idx="11">
                  <c:v>145</c:v>
                </c:pt>
                <c:pt idx="12">
                  <c:v>140</c:v>
                </c:pt>
                <c:pt idx="13">
                  <c:v>135</c:v>
                </c:pt>
                <c:pt idx="14">
                  <c:v>130</c:v>
                </c:pt>
                <c:pt idx="15">
                  <c:v>125</c:v>
                </c:pt>
                <c:pt idx="16">
                  <c:v>120</c:v>
                </c:pt>
                <c:pt idx="17">
                  <c:v>115</c:v>
                </c:pt>
                <c:pt idx="18">
                  <c:v>110</c:v>
                </c:pt>
                <c:pt idx="19">
                  <c:v>105</c:v>
                </c:pt>
                <c:pt idx="20">
                  <c:v>100</c:v>
                </c:pt>
                <c:pt idx="21">
                  <c:v>95</c:v>
                </c:pt>
                <c:pt idx="22">
                  <c:v>90</c:v>
                </c:pt>
                <c:pt idx="23">
                  <c:v>85</c:v>
                </c:pt>
                <c:pt idx="24">
                  <c:v>80</c:v>
                </c:pt>
                <c:pt idx="25">
                  <c:v>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87-4409-911A-55B6FB878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693976"/>
        <c:axId val="65769364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0,759 data fit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'LINEAR MODEL FIT'!$K$18:$K$43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1.9485929355516705E-2</c:v>
                      </c:pt>
                      <c:pt idx="1">
                        <c:v>2.5421257413420634E-2</c:v>
                      </c:pt>
                      <c:pt idx="2">
                        <c:v>3.3394322734978735E-2</c:v>
                      </c:pt>
                      <c:pt idx="3">
                        <c:v>4.4188368906423442E-2</c:v>
                      </c:pt>
                      <c:pt idx="4">
                        <c:v>5.8921824786094056E-2</c:v>
                      </c:pt>
                      <c:pt idx="5">
                        <c:v>7.9207279367209671E-2</c:v>
                      </c:pt>
                      <c:pt idx="6">
                        <c:v>0.10739370727931372</c:v>
                      </c:pt>
                      <c:pt idx="7">
                        <c:v>0.14693993032365327</c:v>
                      </c:pt>
                      <c:pt idx="8">
                        <c:v>0.2029976661470782</c:v>
                      </c:pt>
                      <c:pt idx="9">
                        <c:v>0.28333393378674837</c:v>
                      </c:pt>
                      <c:pt idx="10">
                        <c:v>0.39981102292061976</c:v>
                      </c:pt>
                      <c:pt idx="11">
                        <c:v>0.5707968816104988</c:v>
                      </c:pt>
                      <c:pt idx="12">
                        <c:v>0.82515401549739553</c:v>
                      </c:pt>
                      <c:pt idx="13">
                        <c:v>1.2089541437964917</c:v>
                      </c:pt>
                      <c:pt idx="14">
                        <c:v>1.7969894389195176</c:v>
                      </c:pt>
                      <c:pt idx="15">
                        <c:v>2.7128972096355817</c:v>
                      </c:pt>
                      <c:pt idx="16">
                        <c:v>4.1650928252895287</c:v>
                      </c:pt>
                      <c:pt idx="17">
                        <c:v>6.5124051319711214</c:v>
                      </c:pt>
                      <c:pt idx="18">
                        <c:v>10.38695681543169</c:v>
                      </c:pt>
                      <c:pt idx="19">
                        <c:v>16.930456073406134</c:v>
                      </c:pt>
                      <c:pt idx="20">
                        <c:v>28.262023945859521</c:v>
                      </c:pt>
                      <c:pt idx="21">
                        <c:v>48.434495043704175</c:v>
                      </c:pt>
                      <c:pt idx="22">
                        <c:v>85.459101932281627</c:v>
                      </c:pt>
                      <c:pt idx="23">
                        <c:v>155.76180490992817</c:v>
                      </c:pt>
                      <c:pt idx="24">
                        <c:v>294.42398137290343</c:v>
                      </c:pt>
                      <c:pt idx="25">
                        <c:v>579.87835722099078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E87-4409-911A-55B6FB878CA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1,904 data fit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FIT'!$L$18:$L$43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2.8283119138091017E-2</c:v>
                      </c:pt>
                      <c:pt idx="1">
                        <c:v>3.6648855126405692E-2</c:v>
                      </c:pt>
                      <c:pt idx="2">
                        <c:v>4.7809784270258116E-2</c:v>
                      </c:pt>
                      <c:pt idx="3">
                        <c:v>6.2813407355824302E-2</c:v>
                      </c:pt>
                      <c:pt idx="4">
                        <c:v>8.314494913702114E-2</c:v>
                      </c:pt>
                      <c:pt idx="5">
                        <c:v>0.11093034419480104</c:v>
                      </c:pt>
                      <c:pt idx="6">
                        <c:v>0.14924326985561268</c:v>
                      </c:pt>
                      <c:pt idx="7">
                        <c:v>0.20257498489710257</c:v>
                      </c:pt>
                      <c:pt idx="8">
                        <c:v>0.27756219372440305</c:v>
                      </c:pt>
                      <c:pt idx="9">
                        <c:v>0.38412942232477748</c:v>
                      </c:pt>
                      <c:pt idx="10">
                        <c:v>0.53730693552337017</c:v>
                      </c:pt>
                      <c:pt idx="11">
                        <c:v>0.76016654935076911</c:v>
                      </c:pt>
                      <c:pt idx="12">
                        <c:v>1.0886376971005718</c:v>
                      </c:pt>
                      <c:pt idx="13">
                        <c:v>1.5795414079663148</c:v>
                      </c:pt>
                      <c:pt idx="14">
                        <c:v>2.3242347768032481</c:v>
                      </c:pt>
                      <c:pt idx="15">
                        <c:v>3.4722342843188647</c:v>
                      </c:pt>
                      <c:pt idx="16">
                        <c:v>5.2729718741081202</c:v>
                      </c:pt>
                      <c:pt idx="17">
                        <c:v>8.151270343125546</c:v>
                      </c:pt>
                      <c:pt idx="18">
                        <c:v>12.847108680047008</c:v>
                      </c:pt>
                      <c:pt idx="19">
                        <c:v>20.681332284053287</c:v>
                      </c:pt>
                      <c:pt idx="20">
                        <c:v>34.07548369665696</c:v>
                      </c:pt>
                      <c:pt idx="21">
                        <c:v>57.601197254364699</c:v>
                      </c:pt>
                      <c:pt idx="22">
                        <c:v>100.17298109677957</c:v>
                      </c:pt>
                      <c:pt idx="23">
                        <c:v>179.808195269089</c:v>
                      </c:pt>
                      <c:pt idx="24">
                        <c:v>334.40675198820196</c:v>
                      </c:pt>
                      <c:pt idx="25">
                        <c:v>647.34704938782136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E87-4409-911A-55B6FB878CA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2,38 data fit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FIT'!$M$18:$M$43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7.5069901465062427E-2</c:v>
                      </c:pt>
                      <c:pt idx="1">
                        <c:v>9.1401144554105779E-2</c:v>
                      </c:pt>
                      <c:pt idx="2">
                        <c:v>0.11185568946352786</c:v>
                      </c:pt>
                      <c:pt idx="3">
                        <c:v>0.13762699778061302</c:v>
                      </c:pt>
                      <c:pt idx="4">
                        <c:v>0.17030072602336613</c:v>
                      </c:pt>
                      <c:pt idx="5">
                        <c:v>0.21199992086126176</c:v>
                      </c:pt>
                      <c:pt idx="6">
                        <c:v>0.26559039026956732</c:v>
                      </c:pt>
                      <c:pt idx="7">
                        <c:v>0.33497402708025187</c:v>
                      </c:pt>
                      <c:pt idx="8">
                        <c:v>0.42551208077496028</c:v>
                      </c:pt>
                      <c:pt idx="9">
                        <c:v>0.54464263786130818</c:v>
                      </c:pt>
                      <c:pt idx="10">
                        <c:v>0.70279189737330028</c:v>
                      </c:pt>
                      <c:pt idx="11">
                        <c:v>0.91473567229183428</c:v>
                      </c:pt>
                      <c:pt idx="12">
                        <c:v>1.2016603950357674</c:v>
                      </c:pt>
                      <c:pt idx="13">
                        <c:v>1.5943269943109484</c:v>
                      </c:pt>
                      <c:pt idx="14">
                        <c:v>2.1380011248903985</c:v>
                      </c:pt>
                      <c:pt idx="15">
                        <c:v>2.9002603955181732</c:v>
                      </c:pt>
                      <c:pt idx="16">
                        <c:v>3.9835731333984992</c:v>
                      </c:pt>
                      <c:pt idx="17">
                        <c:v>5.5459466205780963</c:v>
                      </c:pt>
                      <c:pt idx="18">
                        <c:v>7.8355128942908774</c:v>
                      </c:pt>
                      <c:pt idx="19">
                        <c:v>11.249744205653117</c:v>
                      </c:pt>
                      <c:pt idx="20">
                        <c:v>16.439289403629978</c:v>
                      </c:pt>
                      <c:pt idx="21">
                        <c:v>24.494877636003075</c:v>
                      </c:pt>
                      <c:pt idx="22">
                        <c:v>37.293547295374829</c:v>
                      </c:pt>
                      <c:pt idx="23">
                        <c:v>58.160690280064813</c:v>
                      </c:pt>
                      <c:pt idx="24">
                        <c:v>93.181369684572289</c:v>
                      </c:pt>
                      <c:pt idx="25">
                        <c:v>153.90188565550389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87-4409-911A-55B6FB878CA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3,5 data fit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'LINEAR MODEL FIT'!$J$18:$J$43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200</c:v>
                      </c:pt>
                      <c:pt idx="1">
                        <c:v>195</c:v>
                      </c:pt>
                      <c:pt idx="2">
                        <c:v>190</c:v>
                      </c:pt>
                      <c:pt idx="3">
                        <c:v>185</c:v>
                      </c:pt>
                      <c:pt idx="4">
                        <c:v>180</c:v>
                      </c:pt>
                      <c:pt idx="5">
                        <c:v>175</c:v>
                      </c:pt>
                      <c:pt idx="6">
                        <c:v>170</c:v>
                      </c:pt>
                      <c:pt idx="7">
                        <c:v>165</c:v>
                      </c:pt>
                      <c:pt idx="8">
                        <c:v>160</c:v>
                      </c:pt>
                      <c:pt idx="9">
                        <c:v>155</c:v>
                      </c:pt>
                      <c:pt idx="10">
                        <c:v>150</c:v>
                      </c:pt>
                      <c:pt idx="11">
                        <c:v>145</c:v>
                      </c:pt>
                      <c:pt idx="12">
                        <c:v>140</c:v>
                      </c:pt>
                      <c:pt idx="13">
                        <c:v>135</c:v>
                      </c:pt>
                      <c:pt idx="14">
                        <c:v>130</c:v>
                      </c:pt>
                      <c:pt idx="15">
                        <c:v>125</c:v>
                      </c:pt>
                      <c:pt idx="16">
                        <c:v>120</c:v>
                      </c:pt>
                      <c:pt idx="17">
                        <c:v>115</c:v>
                      </c:pt>
                      <c:pt idx="18">
                        <c:v>110</c:v>
                      </c:pt>
                      <c:pt idx="19">
                        <c:v>105</c:v>
                      </c:pt>
                      <c:pt idx="20">
                        <c:v>100</c:v>
                      </c:pt>
                      <c:pt idx="21">
                        <c:v>95</c:v>
                      </c:pt>
                      <c:pt idx="22">
                        <c:v>90</c:v>
                      </c:pt>
                      <c:pt idx="23">
                        <c:v>85</c:v>
                      </c:pt>
                      <c:pt idx="24">
                        <c:v>80</c:v>
                      </c:pt>
                      <c:pt idx="25">
                        <c:v>75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87-4409-911A-55B6FB878CA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All droplets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drops (m;velo)'!$N$2:$N$102</c15:sqref>
                        </c15:formulaRef>
                      </c:ext>
                    </c:extLst>
                    <c:numCache>
                      <c:formatCode>0.000</c:formatCode>
                      <c:ptCount val="101"/>
                      <c:pt idx="0">
                        <c:v>40.110811626846086</c:v>
                      </c:pt>
                      <c:pt idx="1">
                        <c:v>39.714421672464923</c:v>
                      </c:pt>
                      <c:pt idx="2">
                        <c:v>39.318031718083802</c:v>
                      </c:pt>
                      <c:pt idx="3">
                        <c:v>38.921641763702667</c:v>
                      </c:pt>
                      <c:pt idx="4">
                        <c:v>38.525251809321517</c:v>
                      </c:pt>
                      <c:pt idx="5">
                        <c:v>38.128861854940368</c:v>
                      </c:pt>
                      <c:pt idx="6">
                        <c:v>37.732471900559233</c:v>
                      </c:pt>
                      <c:pt idx="7">
                        <c:v>37.336081946178105</c:v>
                      </c:pt>
                      <c:pt idx="8">
                        <c:v>36.939691991796941</c:v>
                      </c:pt>
                      <c:pt idx="9">
                        <c:v>36.543302037415827</c:v>
                      </c:pt>
                      <c:pt idx="10">
                        <c:v>36.146912083034685</c:v>
                      </c:pt>
                      <c:pt idx="11">
                        <c:v>35.750522128653536</c:v>
                      </c:pt>
                      <c:pt idx="12">
                        <c:v>35.354132174272387</c:v>
                      </c:pt>
                      <c:pt idx="13">
                        <c:v>34.957742219891266</c:v>
                      </c:pt>
                      <c:pt idx="14">
                        <c:v>34.561352265510102</c:v>
                      </c:pt>
                      <c:pt idx="15">
                        <c:v>34.16496231112896</c:v>
                      </c:pt>
                      <c:pt idx="16">
                        <c:v>33.768572356747846</c:v>
                      </c:pt>
                      <c:pt idx="17">
                        <c:v>33.372182402366704</c:v>
                      </c:pt>
                      <c:pt idx="18">
                        <c:v>32.975792447985548</c:v>
                      </c:pt>
                      <c:pt idx="19">
                        <c:v>32.579402493604412</c:v>
                      </c:pt>
                      <c:pt idx="20">
                        <c:v>32.183012539223263</c:v>
                      </c:pt>
                      <c:pt idx="21">
                        <c:v>31.786622584842132</c:v>
                      </c:pt>
                      <c:pt idx="22">
                        <c:v>31.390232630460993</c:v>
                      </c:pt>
                      <c:pt idx="23">
                        <c:v>30.993842676079861</c:v>
                      </c:pt>
                      <c:pt idx="24">
                        <c:v>30.597452721698716</c:v>
                      </c:pt>
                      <c:pt idx="25">
                        <c:v>30.201062767317563</c:v>
                      </c:pt>
                      <c:pt idx="26">
                        <c:v>29.804672812936445</c:v>
                      </c:pt>
                      <c:pt idx="27">
                        <c:v>29.408282858555292</c:v>
                      </c:pt>
                      <c:pt idx="28">
                        <c:v>29.011892904174147</c:v>
                      </c:pt>
                      <c:pt idx="29">
                        <c:v>28.615502949793008</c:v>
                      </c:pt>
                      <c:pt idx="30">
                        <c:v>28.219112995411866</c:v>
                      </c:pt>
                      <c:pt idx="31">
                        <c:v>27.822723041030731</c:v>
                      </c:pt>
                      <c:pt idx="32">
                        <c:v>27.426333086649588</c:v>
                      </c:pt>
                      <c:pt idx="33">
                        <c:v>27.029943132268446</c:v>
                      </c:pt>
                      <c:pt idx="34">
                        <c:v>26.633553177887304</c:v>
                      </c:pt>
                      <c:pt idx="35">
                        <c:v>26.237163223506176</c:v>
                      </c:pt>
                      <c:pt idx="36">
                        <c:v>25.840773269125037</c:v>
                      </c:pt>
                      <c:pt idx="37">
                        <c:v>25.444383314743888</c:v>
                      </c:pt>
                      <c:pt idx="38">
                        <c:v>25.047993360362739</c:v>
                      </c:pt>
                      <c:pt idx="39">
                        <c:v>24.651603405981618</c:v>
                      </c:pt>
                      <c:pt idx="40">
                        <c:v>24.255213451600461</c:v>
                      </c:pt>
                      <c:pt idx="41">
                        <c:v>23.858823497219319</c:v>
                      </c:pt>
                      <c:pt idx="42">
                        <c:v>23.462433542838188</c:v>
                      </c:pt>
                      <c:pt idx="43">
                        <c:v>23.066043588457042</c:v>
                      </c:pt>
                      <c:pt idx="44">
                        <c:v>22.669653634075907</c:v>
                      </c:pt>
                      <c:pt idx="45">
                        <c:v>22.273263679694775</c:v>
                      </c:pt>
                      <c:pt idx="46">
                        <c:v>21.876873725313622</c:v>
                      </c:pt>
                      <c:pt idx="47">
                        <c:v>21.480483770932484</c:v>
                      </c:pt>
                      <c:pt idx="48">
                        <c:v>21.084093816551341</c:v>
                      </c:pt>
                      <c:pt idx="49">
                        <c:v>20.687703862170203</c:v>
                      </c:pt>
                      <c:pt idx="50">
                        <c:v>20.291313907789068</c:v>
                      </c:pt>
                      <c:pt idx="51">
                        <c:v>19.894923953407933</c:v>
                      </c:pt>
                      <c:pt idx="52">
                        <c:v>19.49853399902679</c:v>
                      </c:pt>
                      <c:pt idx="53">
                        <c:v>19.102144044645645</c:v>
                      </c:pt>
                      <c:pt idx="54">
                        <c:v>18.705754090264502</c:v>
                      </c:pt>
                      <c:pt idx="55">
                        <c:v>18.309364135883364</c:v>
                      </c:pt>
                      <c:pt idx="56">
                        <c:v>17.912974181502225</c:v>
                      </c:pt>
                      <c:pt idx="57">
                        <c:v>17.51658422712109</c:v>
                      </c:pt>
                      <c:pt idx="58">
                        <c:v>17.120194272739941</c:v>
                      </c:pt>
                      <c:pt idx="59">
                        <c:v>16.723804318358809</c:v>
                      </c:pt>
                      <c:pt idx="60">
                        <c:v>16.32741436397766</c:v>
                      </c:pt>
                      <c:pt idx="61">
                        <c:v>15.931024409596523</c:v>
                      </c:pt>
                      <c:pt idx="62">
                        <c:v>15.534634455215388</c:v>
                      </c:pt>
                      <c:pt idx="63">
                        <c:v>15.138244500834238</c:v>
                      </c:pt>
                      <c:pt idx="64">
                        <c:v>14.741854546453107</c:v>
                      </c:pt>
                      <c:pt idx="65">
                        <c:v>14.345464592071965</c:v>
                      </c:pt>
                      <c:pt idx="66">
                        <c:v>13.949074637690821</c:v>
                      </c:pt>
                      <c:pt idx="67">
                        <c:v>13.552684683309678</c:v>
                      </c:pt>
                      <c:pt idx="68">
                        <c:v>13.156294728928538</c:v>
                      </c:pt>
                      <c:pt idx="69">
                        <c:v>12.759904774547405</c:v>
                      </c:pt>
                      <c:pt idx="70">
                        <c:v>12.363514820166262</c:v>
                      </c:pt>
                      <c:pt idx="71">
                        <c:v>11.967124865785124</c:v>
                      </c:pt>
                      <c:pt idx="72">
                        <c:v>11.570734911403981</c:v>
                      </c:pt>
                      <c:pt idx="73">
                        <c:v>11.174344957022839</c:v>
                      </c:pt>
                      <c:pt idx="74">
                        <c:v>10.777955002641708</c:v>
                      </c:pt>
                      <c:pt idx="75">
                        <c:v>10.381565048260557</c:v>
                      </c:pt>
                      <c:pt idx="76">
                        <c:v>9.9851750938794233</c:v>
                      </c:pt>
                      <c:pt idx="77">
                        <c:v>9.588785139498281</c:v>
                      </c:pt>
                      <c:pt idx="78">
                        <c:v>9.1923951851171388</c:v>
                      </c:pt>
                      <c:pt idx="79">
                        <c:v>8.7960052307360002</c:v>
                      </c:pt>
                      <c:pt idx="80">
                        <c:v>8.3996152763548562</c:v>
                      </c:pt>
                      <c:pt idx="81">
                        <c:v>8.0032253219737175</c:v>
                      </c:pt>
                      <c:pt idx="82">
                        <c:v>7.6068353675925833</c:v>
                      </c:pt>
                      <c:pt idx="83">
                        <c:v>7.2104454132114402</c:v>
                      </c:pt>
                      <c:pt idx="84">
                        <c:v>6.8140554588302971</c:v>
                      </c:pt>
                      <c:pt idx="85">
                        <c:v>6.417665504449162</c:v>
                      </c:pt>
                      <c:pt idx="86">
                        <c:v>6.0212755500680188</c:v>
                      </c:pt>
                      <c:pt idx="87">
                        <c:v>5.6248855956868775</c:v>
                      </c:pt>
                      <c:pt idx="88">
                        <c:v>5.2284956413057415</c:v>
                      </c:pt>
                      <c:pt idx="89">
                        <c:v>4.8321056869245931</c:v>
                      </c:pt>
                      <c:pt idx="90">
                        <c:v>4.435715732543458</c:v>
                      </c:pt>
                      <c:pt idx="91">
                        <c:v>4.0393257781623157</c:v>
                      </c:pt>
                      <c:pt idx="92">
                        <c:v>3.6429358237811731</c:v>
                      </c:pt>
                      <c:pt idx="93">
                        <c:v>3.246545869400038</c:v>
                      </c:pt>
                      <c:pt idx="94">
                        <c:v>2.8501559150188958</c:v>
                      </c:pt>
                      <c:pt idx="95">
                        <c:v>2.4537659606377535</c:v>
                      </c:pt>
                      <c:pt idx="96">
                        <c:v>2.057376006256618</c:v>
                      </c:pt>
                      <c:pt idx="97">
                        <c:v>1.6609860518754758</c:v>
                      </c:pt>
                      <c:pt idx="98">
                        <c:v>1.2645960974943335</c:v>
                      </c:pt>
                      <c:pt idx="99">
                        <c:v>0.86820614311319844</c:v>
                      </c:pt>
                      <c:pt idx="100">
                        <c:v>0.47181618873205616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'all drops (m;velo)'!$O$2:$O$102</c15:sqref>
                        </c15:formulaRef>
                      </c:ext>
                    </c:extLst>
                    <c:numCache>
                      <c:formatCode>0</c:formatCode>
                      <c:ptCount val="101"/>
                      <c:pt idx="0">
                        <c:v>95.026167394042758</c:v>
                      </c:pt>
                      <c:pt idx="1">
                        <c:v>95.124798894659449</c:v>
                      </c:pt>
                      <c:pt idx="2">
                        <c:v>95.224523710603123</c:v>
                      </c:pt>
                      <c:pt idx="3">
                        <c:v>95.325365168444989</c:v>
                      </c:pt>
                      <c:pt idx="4">
                        <c:v>95.427347336460699</c:v>
                      </c:pt>
                      <c:pt idx="5">
                        <c:v>95.530495056134143</c:v>
                      </c:pt>
                      <c:pt idx="6">
                        <c:v>95.634833975341465</c:v>
                      </c:pt>
                      <c:pt idx="7">
                        <c:v>95.740390583326302</c:v>
                      </c:pt>
                      <c:pt idx="8">
                        <c:v>95.847192247580978</c:v>
                      </c:pt>
                      <c:pt idx="9">
                        <c:v>95.955267252760223</c:v>
                      </c:pt>
                      <c:pt idx="10">
                        <c:v>96.064644841762643</c:v>
                      </c:pt>
                      <c:pt idx="11">
                        <c:v>96.175355259125837</c:v>
                      </c:pt>
                      <c:pt idx="12">
                        <c:v>96.287429796892539</c:v>
                      </c:pt>
                      <c:pt idx="13">
                        <c:v>96.400900843118762</c:v>
                      </c:pt>
                      <c:pt idx="14">
                        <c:v>96.5158019332072</c:v>
                      </c:pt>
                      <c:pt idx="15">
                        <c:v>96.632167804264668</c:v>
                      </c:pt>
                      <c:pt idx="16">
                        <c:v>96.750034452700916</c:v>
                      </c:pt>
                      <c:pt idx="17">
                        <c:v>96.86943919530006</c:v>
                      </c:pt>
                      <c:pt idx="18">
                        <c:v>96.990420734020717</c:v>
                      </c:pt>
                      <c:pt idx="19">
                        <c:v>97.113019224797767</c:v>
                      </c:pt>
                      <c:pt idx="20">
                        <c:v>97.237276350647505</c:v>
                      </c:pt>
                      <c:pt idx="21">
                        <c:v>97.363235399399812</c:v>
                      </c:pt>
                      <c:pt idx="22">
                        <c:v>97.490941346413152</c:v>
                      </c:pt>
                      <c:pt idx="23">
                        <c:v>97.620440942659471</c:v>
                      </c:pt>
                      <c:pt idx="24">
                        <c:v>97.751782808600353</c:v>
                      </c:pt>
                      <c:pt idx="25">
                        <c:v>97.885017534316518</c:v>
                      </c:pt>
                      <c:pt idx="26">
                        <c:v>98.020197786394661</c:v>
                      </c:pt>
                      <c:pt idx="27">
                        <c:v>98.157378422125802</c:v>
                      </c:pt>
                      <c:pt idx="28">
                        <c:v>98.296616611619029</c:v>
                      </c:pt>
                      <c:pt idx="29">
                        <c:v>98.437971968498047</c:v>
                      </c:pt>
                      <c:pt idx="30">
                        <c:v>98.581506689910839</c:v>
                      </c:pt>
                      <c:pt idx="31">
                        <c:v>98.727285706657611</c:v>
                      </c:pt>
                      <c:pt idx="32">
                        <c:v>98.875376844324165</c:v>
                      </c:pt>
                      <c:pt idx="33">
                        <c:v>99.025850996399285</c:v>
                      </c:pt>
                      <c:pt idx="34">
                        <c:v>99.178782310458359</c:v>
                      </c:pt>
                      <c:pt idx="35">
                        <c:v>99.334248388609993</c:v>
                      </c:pt>
                      <c:pt idx="36">
                        <c:v>99.492330503531889</c:v>
                      </c:pt>
                      <c:pt idx="37">
                        <c:v>99.653113831569428</c:v>
                      </c:pt>
                      <c:pt idx="38">
                        <c:v>99.816687704532654</c:v>
                      </c:pt>
                      <c:pt idx="39">
                        <c:v>99.983145882015521</c:v>
                      </c:pt>
                      <c:pt idx="40">
                        <c:v>100.15258684626872</c:v>
                      </c:pt>
                      <c:pt idx="41">
                        <c:v>100.32511412189787</c:v>
                      </c:pt>
                      <c:pt idx="42">
                        <c:v>100.50083662292867</c:v>
                      </c:pt>
                      <c:pt idx="43">
                        <c:v>100.67986903008686</c:v>
                      </c:pt>
                      <c:pt idx="44">
                        <c:v>100.86233220149603</c:v>
                      </c:pt>
                      <c:pt idx="45">
                        <c:v>101.04835362039346</c:v>
                      </c:pt>
                      <c:pt idx="46">
                        <c:v>101.23806788392655</c:v>
                      </c:pt>
                      <c:pt idx="47">
                        <c:v>101.43161723762218</c:v>
                      </c:pt>
                      <c:pt idx="48">
                        <c:v>101.62915216072484</c:v>
                      </c:pt>
                      <c:pt idx="49">
                        <c:v>101.83083200830703</c:v>
                      </c:pt>
                      <c:pt idx="50">
                        <c:v>102.03682571686129</c:v>
                      </c:pt>
                      <c:pt idx="51">
                        <c:v>102.24731258103184</c:v>
                      </c:pt>
                      <c:pt idx="52">
                        <c:v>102.46248311023288</c:v>
                      </c:pt>
                      <c:pt idx="53">
                        <c:v>102.68253997518396</c:v>
                      </c:pt>
                      <c:pt idx="54">
                        <c:v>102.90769905588662</c:v>
                      </c:pt>
                      <c:pt idx="55">
                        <c:v>103.13819060432414</c:v>
                      </c:pt>
                      <c:pt idx="56">
                        <c:v>103.37426053722994</c:v>
                      </c:pt>
                      <c:pt idx="57">
                        <c:v>103.61617187672097</c:v>
                      </c:pt>
                      <c:pt idx="58">
                        <c:v>103.86420635948264</c:v>
                      </c:pt>
                      <c:pt idx="59">
                        <c:v>104.11866623864455</c:v>
                      </c:pt>
                      <c:pt idx="60">
                        <c:v>104.37987630660572</c:v>
                      </c:pt>
                      <c:pt idx="61">
                        <c:v>104.64818617200729</c:v>
                      </c:pt>
                      <c:pt idx="62">
                        <c:v>104.92397283000709</c:v>
                      </c:pt>
                      <c:pt idx="63">
                        <c:v>105.20764357220854</c:v>
                      </c:pt>
                      <c:pt idx="64">
                        <c:v>105.49963929135312</c:v>
                      </c:pt>
                      <c:pt idx="65">
                        <c:v>105.80043824657086</c:v>
                      </c:pt>
                      <c:pt idx="66">
                        <c:v>106.11056036811196</c:v>
                      </c:pt>
                      <c:pt idx="67">
                        <c:v>106.43057219667152</c:v>
                      </c:pt>
                      <c:pt idx="68">
                        <c:v>106.76109257252088</c:v>
                      </c:pt>
                      <c:pt idx="69">
                        <c:v>107.10279921474825</c:v>
                      </c:pt>
                      <c:pt idx="70">
                        <c:v>107.45643636243774</c:v>
                      </c:pt>
                      <c:pt idx="71">
                        <c:v>107.82282368947781</c:v>
                      </c:pt>
                      <c:pt idx="72">
                        <c:v>108.20286675547243</c:v>
                      </c:pt>
                      <c:pt idx="73">
                        <c:v>108.59756932037675</c:v>
                      </c:pt>
                      <c:pt idx="74">
                        <c:v>109.00804793476323</c:v>
                      </c:pt>
                      <c:pt idx="75">
                        <c:v>109.43554932755582</c:v>
                      </c:pt>
                      <c:pt idx="76">
                        <c:v>109.88147125779867</c:v>
                      </c:pt>
                      <c:pt idx="77">
                        <c:v>110.34738768939637</c:v>
                      </c:pt>
                      <c:pt idx="78">
                        <c:v>110.83507940616312</c:v>
                      </c:pt>
                      <c:pt idx="79">
                        <c:v>111.34657153553113</c:v>
                      </c:pt>
                      <c:pt idx="80">
                        <c:v>111.88417993191403</c:v>
                      </c:pt>
                      <c:pt idx="81">
                        <c:v>112.45056904315292</c:v>
                      </c:pt>
                      <c:pt idx="82">
                        <c:v>113.04882483382251</c:v>
                      </c:pt>
                      <c:pt idx="83">
                        <c:v>113.68254770344292</c:v>
                      </c:pt>
                      <c:pt idx="84">
                        <c:v>114.35597232990031</c:v>
                      </c:pt>
                      <c:pt idx="85">
                        <c:v>115.07412433301974</c:v>
                      </c:pt>
                      <c:pt idx="86">
                        <c:v>115.84302815775627</c:v>
                      </c:pt>
                      <c:pt idx="87">
                        <c:v>116.66998758126199</c:v>
                      </c:pt>
                      <c:pt idx="88">
                        <c:v>117.56397142748014</c:v>
                      </c:pt>
                      <c:pt idx="89">
                        <c:v>118.53615544502372</c:v>
                      </c:pt>
                      <c:pt idx="90">
                        <c:v>119.60070251904038</c:v>
                      </c:pt>
                      <c:pt idx="91">
                        <c:v>120.77591849013467</c:v>
                      </c:pt>
                      <c:pt idx="92">
                        <c:v>122.08602253796059</c:v>
                      </c:pt>
                      <c:pt idx="93">
                        <c:v>123.56396879268547</c:v>
                      </c:pt>
                      <c:pt idx="94">
                        <c:v>125.25616500356004</c:v>
                      </c:pt>
                      <c:pt idx="95">
                        <c:v>127.23084791426768</c:v>
                      </c:pt>
                      <c:pt idx="96">
                        <c:v>129.59412009555516</c:v>
                      </c:pt>
                      <c:pt idx="97">
                        <c:v>132.52389452575318</c:v>
                      </c:pt>
                      <c:pt idx="98">
                        <c:v>136.3525279309255</c:v>
                      </c:pt>
                      <c:pt idx="99">
                        <c:v>141.81553165397281</c:v>
                      </c:pt>
                      <c:pt idx="100">
                        <c:v>151.14327442523762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E3-4989-8D72-CA5C63A86FB4}"/>
                  </c:ext>
                </c:extLst>
              </c15:ser>
            </c15:filteredScatterSeries>
          </c:ext>
        </c:extLst>
      </c:scatterChart>
      <c:valAx>
        <c:axId val="657693976"/>
        <c:scaling>
          <c:logBase val="10"/>
          <c:orientation val="minMax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Impingement [m]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57693648"/>
        <c:crosses val="autoZero"/>
        <c:crossBetween val="midCat"/>
      </c:valAx>
      <c:valAx>
        <c:axId val="657693648"/>
        <c:scaling>
          <c:orientation val="minMax"/>
          <c:max val="150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Impact speed [m/s]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5769397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VN data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forward val="1000"/>
            <c:backward val="10"/>
            <c:dispRSqr val="0"/>
            <c:dispEq val="0"/>
          </c:trendline>
          <c:xVal>
            <c:numRef>
              <c:f>'G27 60L (impactsDNV;velo) s_log'!$A$2:$A$44</c:f>
              <c:numCache>
                <c:formatCode>0.00E+00</c:formatCode>
                <c:ptCount val="43"/>
                <c:pt idx="0">
                  <c:v>3542117817.5462627</c:v>
                </c:pt>
                <c:pt idx="1">
                  <c:v>3060896420.076324</c:v>
                </c:pt>
                <c:pt idx="2">
                  <c:v>105661443.67408709</c:v>
                </c:pt>
                <c:pt idx="3">
                  <c:v>140881924.89878279</c:v>
                </c:pt>
                <c:pt idx="4">
                  <c:v>176102406.12347847</c:v>
                </c:pt>
                <c:pt idx="5">
                  <c:v>211322887.34817418</c:v>
                </c:pt>
                <c:pt idx="6">
                  <c:v>246543368.57286987</c:v>
                </c:pt>
                <c:pt idx="7">
                  <c:v>281763849.79756558</c:v>
                </c:pt>
                <c:pt idx="8">
                  <c:v>316984331.02226126</c:v>
                </c:pt>
                <c:pt idx="9">
                  <c:v>352204812.24695694</c:v>
                </c:pt>
                <c:pt idx="10">
                  <c:v>387425293.47165269</c:v>
                </c:pt>
                <c:pt idx="11">
                  <c:v>140881924.89878279</c:v>
                </c:pt>
                <c:pt idx="12">
                  <c:v>176102406.12347847</c:v>
                </c:pt>
                <c:pt idx="13">
                  <c:v>211322887.34817418</c:v>
                </c:pt>
                <c:pt idx="14">
                  <c:v>246543368.57286987</c:v>
                </c:pt>
                <c:pt idx="15">
                  <c:v>281763849.79756558</c:v>
                </c:pt>
                <c:pt idx="16">
                  <c:v>316984331.02226126</c:v>
                </c:pt>
                <c:pt idx="17">
                  <c:v>387425293.47165269</c:v>
                </c:pt>
                <c:pt idx="18">
                  <c:v>422645774.69634837</c:v>
                </c:pt>
                <c:pt idx="19">
                  <c:v>176102406.12347847</c:v>
                </c:pt>
                <c:pt idx="20">
                  <c:v>211322887.34817418</c:v>
                </c:pt>
                <c:pt idx="21">
                  <c:v>246543368.57286987</c:v>
                </c:pt>
                <c:pt idx="22">
                  <c:v>281763849.79756558</c:v>
                </c:pt>
                <c:pt idx="23">
                  <c:v>316984331.02226126</c:v>
                </c:pt>
                <c:pt idx="24">
                  <c:v>352204812.24695694</c:v>
                </c:pt>
                <c:pt idx="25">
                  <c:v>573388253.43339479</c:v>
                </c:pt>
                <c:pt idx="26">
                  <c:v>661601830.88468611</c:v>
                </c:pt>
                <c:pt idx="27">
                  <c:v>705708619.61033213</c:v>
                </c:pt>
                <c:pt idx="28">
                  <c:v>1014456140.6898522</c:v>
                </c:pt>
                <c:pt idx="29">
                  <c:v>485174675.98210317</c:v>
                </c:pt>
                <c:pt idx="30">
                  <c:v>529281464.70774895</c:v>
                </c:pt>
                <c:pt idx="31">
                  <c:v>573388253.43339479</c:v>
                </c:pt>
                <c:pt idx="32">
                  <c:v>617495042.15904045</c:v>
                </c:pt>
                <c:pt idx="33">
                  <c:v>661601830.88468611</c:v>
                </c:pt>
                <c:pt idx="34">
                  <c:v>882135774.51291502</c:v>
                </c:pt>
                <c:pt idx="35">
                  <c:v>1014456140.6898522</c:v>
                </c:pt>
                <c:pt idx="36">
                  <c:v>441067887.25645751</c:v>
                </c:pt>
                <c:pt idx="37">
                  <c:v>485174675.98210317</c:v>
                </c:pt>
                <c:pt idx="38">
                  <c:v>529281464.70774895</c:v>
                </c:pt>
                <c:pt idx="39">
                  <c:v>573388253.43339479</c:v>
                </c:pt>
                <c:pt idx="40">
                  <c:v>617495042.15904045</c:v>
                </c:pt>
                <c:pt idx="41">
                  <c:v>749815408.33597767</c:v>
                </c:pt>
                <c:pt idx="42">
                  <c:v>1014456140.6898522</c:v>
                </c:pt>
              </c:numCache>
            </c:numRef>
          </c:xVal>
          <c:yVal>
            <c:numRef>
              <c:f>'G27 60L (impactsDNV;velo) s_log'!$B$2:$B$44</c:f>
              <c:numCache>
                <c:formatCode>#,##0.000</c:formatCode>
                <c:ptCount val="43"/>
                <c:pt idx="0">
                  <c:v>99.747593372498528</c:v>
                </c:pt>
                <c:pt idx="1">
                  <c:v>95.996428134623116</c:v>
                </c:pt>
                <c:pt idx="2">
                  <c:v>147.17769522532859</c:v>
                </c:pt>
                <c:pt idx="3">
                  <c:v>145.28074012362984</c:v>
                </c:pt>
                <c:pt idx="4">
                  <c:v>136.67148235438162</c:v>
                </c:pt>
                <c:pt idx="5">
                  <c:v>135.65004499192844</c:v>
                </c:pt>
                <c:pt idx="6">
                  <c:v>134.0449291366449</c:v>
                </c:pt>
                <c:pt idx="7">
                  <c:v>131.914502637814</c:v>
                </c:pt>
                <c:pt idx="8">
                  <c:v>128.29569598226558</c:v>
                </c:pt>
                <c:pt idx="9">
                  <c:v>118.75255262448876</c:v>
                </c:pt>
                <c:pt idx="10">
                  <c:v>117.93540273452622</c:v>
                </c:pt>
                <c:pt idx="11">
                  <c:v>140.49363704278807</c:v>
                </c:pt>
                <c:pt idx="12">
                  <c:v>139.58684160747444</c:v>
                </c:pt>
                <c:pt idx="13">
                  <c:v>138.62154323923824</c:v>
                </c:pt>
                <c:pt idx="14">
                  <c:v>138.1242683093964</c:v>
                </c:pt>
                <c:pt idx="15">
                  <c:v>135.05286440592008</c:v>
                </c:pt>
                <c:pt idx="16">
                  <c:v>134.17532043706771</c:v>
                </c:pt>
                <c:pt idx="17">
                  <c:v>126.80395105123425</c:v>
                </c:pt>
                <c:pt idx="18">
                  <c:v>124.2298220526136</c:v>
                </c:pt>
                <c:pt idx="19">
                  <c:v>144.49728289345654</c:v>
                </c:pt>
                <c:pt idx="20">
                  <c:v>139.66875925554606</c:v>
                </c:pt>
                <c:pt idx="21">
                  <c:v>134.05011356779568</c:v>
                </c:pt>
                <c:pt idx="22">
                  <c:v>133.2599915179558</c:v>
                </c:pt>
                <c:pt idx="23">
                  <c:v>131.35784584241532</c:v>
                </c:pt>
                <c:pt idx="24">
                  <c:v>127.55355449133431</c:v>
                </c:pt>
                <c:pt idx="25">
                  <c:v>121.45685861059646</c:v>
                </c:pt>
                <c:pt idx="26">
                  <c:v>118.50686190062923</c:v>
                </c:pt>
                <c:pt idx="27">
                  <c:v>114.45975897621136</c:v>
                </c:pt>
                <c:pt idx="28">
                  <c:v>112.43620751400243</c:v>
                </c:pt>
                <c:pt idx="29">
                  <c:v>122.86867301238763</c:v>
                </c:pt>
                <c:pt idx="30">
                  <c:v>120.50280576371755</c:v>
                </c:pt>
                <c:pt idx="31">
                  <c:v>119.69792309148957</c:v>
                </c:pt>
                <c:pt idx="32">
                  <c:v>116.28326933052243</c:v>
                </c:pt>
                <c:pt idx="33">
                  <c:v>112.50275980945165</c:v>
                </c:pt>
                <c:pt idx="34">
                  <c:v>110.77104254496116</c:v>
                </c:pt>
                <c:pt idx="35">
                  <c:v>107.81980608012526</c:v>
                </c:pt>
                <c:pt idx="36">
                  <c:v>123.47843261256035</c:v>
                </c:pt>
                <c:pt idx="37">
                  <c:v>121.5759826600215</c:v>
                </c:pt>
                <c:pt idx="38">
                  <c:v>120.45402499570373</c:v>
                </c:pt>
                <c:pt idx="39">
                  <c:v>119.21011541135141</c:v>
                </c:pt>
                <c:pt idx="40">
                  <c:v>118.81986926724086</c:v>
                </c:pt>
                <c:pt idx="41">
                  <c:v>116.35644048254314</c:v>
                </c:pt>
                <c:pt idx="42">
                  <c:v>114.21008668993522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D5-4458-B548-35107527AD3B}"/>
            </c:ext>
          </c:extLst>
        </c:ser>
        <c:ser>
          <c:idx val="1"/>
          <c:order val="1"/>
          <c:tx>
            <c:v>Fit semi log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'G27 60L (impactsDNV;velo) s_log'!$N$2:$N$102</c:f>
              <c:numCache>
                <c:formatCode>0.000</c:formatCode>
                <c:ptCount val="101"/>
                <c:pt idx="0">
                  <c:v>3542117817.5462699</c:v>
                </c:pt>
                <c:pt idx="1">
                  <c:v>3507753253.8075647</c:v>
                </c:pt>
                <c:pt idx="2">
                  <c:v>3473388690.06884</c:v>
                </c:pt>
                <c:pt idx="3">
                  <c:v>3439024126.3301115</c:v>
                </c:pt>
                <c:pt idx="4">
                  <c:v>3404659562.5913954</c:v>
                </c:pt>
                <c:pt idx="5">
                  <c:v>3370294998.8526707</c:v>
                </c:pt>
                <c:pt idx="6">
                  <c:v>3335930435.1139498</c:v>
                </c:pt>
                <c:pt idx="7">
                  <c:v>3301565871.3752255</c:v>
                </c:pt>
                <c:pt idx="8">
                  <c:v>3267201307.6364961</c:v>
                </c:pt>
                <c:pt idx="9">
                  <c:v>3232836743.8977737</c:v>
                </c:pt>
                <c:pt idx="10">
                  <c:v>3198472180.1590538</c:v>
                </c:pt>
                <c:pt idx="11">
                  <c:v>3164107616.4203324</c:v>
                </c:pt>
                <c:pt idx="12">
                  <c:v>3129743052.6816144</c:v>
                </c:pt>
                <c:pt idx="13">
                  <c:v>3095378488.9428968</c:v>
                </c:pt>
                <c:pt idx="14">
                  <c:v>3061013925.2041717</c:v>
                </c:pt>
                <c:pt idx="15">
                  <c:v>3026649361.4654408</c:v>
                </c:pt>
                <c:pt idx="16">
                  <c:v>2992284797.7267156</c:v>
                </c:pt>
                <c:pt idx="17">
                  <c:v>2957920233.9880018</c:v>
                </c:pt>
                <c:pt idx="18">
                  <c:v>2923555670.2492785</c:v>
                </c:pt>
                <c:pt idx="19">
                  <c:v>2889191106.5105586</c:v>
                </c:pt>
                <c:pt idx="20">
                  <c:v>2854826542.7718415</c:v>
                </c:pt>
                <c:pt idx="21">
                  <c:v>2820461979.0331235</c:v>
                </c:pt>
                <c:pt idx="22">
                  <c:v>2786097415.2943945</c:v>
                </c:pt>
                <c:pt idx="23">
                  <c:v>2751732851.5556779</c:v>
                </c:pt>
                <c:pt idx="24">
                  <c:v>2717368287.8169565</c:v>
                </c:pt>
                <c:pt idx="25">
                  <c:v>2683003724.0782328</c:v>
                </c:pt>
                <c:pt idx="26">
                  <c:v>2648639160.3395114</c:v>
                </c:pt>
                <c:pt idx="27">
                  <c:v>2614274596.6007829</c:v>
                </c:pt>
                <c:pt idx="28">
                  <c:v>2579910032.8620672</c:v>
                </c:pt>
                <c:pt idx="29">
                  <c:v>2545545469.1233487</c:v>
                </c:pt>
                <c:pt idx="30">
                  <c:v>2511180905.3846216</c:v>
                </c:pt>
                <c:pt idx="31">
                  <c:v>2476816341.6458983</c:v>
                </c:pt>
                <c:pt idx="32">
                  <c:v>2442451777.9071727</c:v>
                </c:pt>
                <c:pt idx="33">
                  <c:v>2408087214.1684556</c:v>
                </c:pt>
                <c:pt idx="34">
                  <c:v>2373722650.4297352</c:v>
                </c:pt>
                <c:pt idx="35">
                  <c:v>2339358086.6910086</c:v>
                </c:pt>
                <c:pt idx="36">
                  <c:v>2304993522.952291</c:v>
                </c:pt>
                <c:pt idx="37">
                  <c:v>2270628959.2135673</c:v>
                </c:pt>
                <c:pt idx="38">
                  <c:v>2236264395.4748464</c:v>
                </c:pt>
                <c:pt idx="39">
                  <c:v>2201899831.7361245</c:v>
                </c:pt>
                <c:pt idx="40">
                  <c:v>2167535267.9974012</c:v>
                </c:pt>
                <c:pt idx="41">
                  <c:v>2133170704.2586782</c:v>
                </c:pt>
                <c:pt idx="42">
                  <c:v>2098806140.5199583</c:v>
                </c:pt>
                <c:pt idx="43">
                  <c:v>2064441576.7812359</c:v>
                </c:pt>
                <c:pt idx="44">
                  <c:v>2030077013.0425115</c:v>
                </c:pt>
                <c:pt idx="45">
                  <c:v>1995712449.3037841</c:v>
                </c:pt>
                <c:pt idx="46">
                  <c:v>1961347885.5650704</c:v>
                </c:pt>
                <c:pt idx="47">
                  <c:v>1926983321.8263533</c:v>
                </c:pt>
                <c:pt idx="48">
                  <c:v>1892618758.0876288</c:v>
                </c:pt>
                <c:pt idx="49">
                  <c:v>1858254194.3488975</c:v>
                </c:pt>
                <c:pt idx="50">
                  <c:v>1823889630.6101799</c:v>
                </c:pt>
                <c:pt idx="51">
                  <c:v>1789525066.8714585</c:v>
                </c:pt>
                <c:pt idx="52">
                  <c:v>1755160503.132741</c:v>
                </c:pt>
                <c:pt idx="53">
                  <c:v>1720795939.3940203</c:v>
                </c:pt>
                <c:pt idx="54">
                  <c:v>1686431375.6552958</c:v>
                </c:pt>
                <c:pt idx="55">
                  <c:v>1652066811.9165699</c:v>
                </c:pt>
                <c:pt idx="56">
                  <c:v>1617702248.177851</c:v>
                </c:pt>
                <c:pt idx="57">
                  <c:v>1583337684.4391291</c:v>
                </c:pt>
                <c:pt idx="58">
                  <c:v>1548973120.7004077</c:v>
                </c:pt>
                <c:pt idx="59">
                  <c:v>1514608556.9616828</c:v>
                </c:pt>
                <c:pt idx="60">
                  <c:v>1480243993.2229588</c:v>
                </c:pt>
                <c:pt idx="61">
                  <c:v>1445879429.4842374</c:v>
                </c:pt>
                <c:pt idx="62">
                  <c:v>1411514865.7455156</c:v>
                </c:pt>
                <c:pt idx="63">
                  <c:v>1377150302.0068021</c:v>
                </c:pt>
                <c:pt idx="64">
                  <c:v>1342785738.2680745</c:v>
                </c:pt>
                <c:pt idx="65">
                  <c:v>1308421174.5293522</c:v>
                </c:pt>
                <c:pt idx="66">
                  <c:v>1274056610.7906289</c:v>
                </c:pt>
                <c:pt idx="67">
                  <c:v>1239692047.0519085</c:v>
                </c:pt>
                <c:pt idx="68">
                  <c:v>1205327483.3131876</c:v>
                </c:pt>
                <c:pt idx="69">
                  <c:v>1170962919.5744667</c:v>
                </c:pt>
                <c:pt idx="70">
                  <c:v>1136598355.8357441</c:v>
                </c:pt>
                <c:pt idx="71">
                  <c:v>1102233792.0970244</c:v>
                </c:pt>
                <c:pt idx="72">
                  <c:v>1067869228.3582994</c:v>
                </c:pt>
                <c:pt idx="73">
                  <c:v>1033504664.6195766</c:v>
                </c:pt>
                <c:pt idx="74">
                  <c:v>999140100.88085806</c:v>
                </c:pt>
                <c:pt idx="75">
                  <c:v>964775537.14213336</c:v>
                </c:pt>
                <c:pt idx="76">
                  <c:v>930410973.40341306</c:v>
                </c:pt>
                <c:pt idx="77">
                  <c:v>896046409.66469169</c:v>
                </c:pt>
                <c:pt idx="78">
                  <c:v>861681845.92596829</c:v>
                </c:pt>
                <c:pt idx="79">
                  <c:v>827317282.18724895</c:v>
                </c:pt>
                <c:pt idx="80">
                  <c:v>792952718.4485234</c:v>
                </c:pt>
                <c:pt idx="81">
                  <c:v>758588154.70980608</c:v>
                </c:pt>
                <c:pt idx="82">
                  <c:v>724223590.97108138</c:v>
                </c:pt>
                <c:pt idx="83">
                  <c:v>689859027.23235881</c:v>
                </c:pt>
                <c:pt idx="84">
                  <c:v>655494463.4936378</c:v>
                </c:pt>
                <c:pt idx="85">
                  <c:v>621129899.75491393</c:v>
                </c:pt>
                <c:pt idx="86">
                  <c:v>586765336.01619339</c:v>
                </c:pt>
                <c:pt idx="87">
                  <c:v>552400772.2774713</c:v>
                </c:pt>
                <c:pt idx="88">
                  <c:v>518036208.53875023</c:v>
                </c:pt>
                <c:pt idx="89">
                  <c:v>483671644.80002958</c:v>
                </c:pt>
                <c:pt idx="90">
                  <c:v>449307081.06130582</c:v>
                </c:pt>
                <c:pt idx="91">
                  <c:v>414942517.32258517</c:v>
                </c:pt>
                <c:pt idx="92">
                  <c:v>380577953.58386189</c:v>
                </c:pt>
                <c:pt idx="93">
                  <c:v>346213389.84514058</c:v>
                </c:pt>
                <c:pt idx="94">
                  <c:v>311848826.10641807</c:v>
                </c:pt>
                <c:pt idx="95">
                  <c:v>277484262.36769646</c:v>
                </c:pt>
                <c:pt idx="96">
                  <c:v>243119698.62897554</c:v>
                </c:pt>
                <c:pt idx="97">
                  <c:v>208755134.89025301</c:v>
                </c:pt>
                <c:pt idx="98">
                  <c:v>174390571.15153131</c:v>
                </c:pt>
                <c:pt idx="99">
                  <c:v>140026007.41280854</c:v>
                </c:pt>
                <c:pt idx="100">
                  <c:v>105661443.67408726</c:v>
                </c:pt>
              </c:numCache>
            </c:numRef>
          </c:xVal>
          <c:yVal>
            <c:numRef>
              <c:f>'G27 60L (impactsDNV;velo) s_log'!$O$2:$O$102</c:f>
              <c:numCache>
                <c:formatCode>0</c:formatCode>
                <c:ptCount val="101"/>
                <c:pt idx="0">
                  <c:v>91.744033842917815</c:v>
                </c:pt>
                <c:pt idx="1">
                  <c:v>91.897116841714023</c:v>
                </c:pt>
                <c:pt idx="2">
                  <c:v>92.05170696214708</c:v>
                </c:pt>
                <c:pt idx="3">
                  <c:v>92.20783417513826</c:v>
                </c:pt>
                <c:pt idx="4">
                  <c:v>92.365529354606508</c:v>
                </c:pt>
                <c:pt idx="5">
                  <c:v>92.524824314112209</c:v>
                </c:pt>
                <c:pt idx="6">
                  <c:v>92.685751845378491</c:v>
                </c:pt>
                <c:pt idx="7">
                  <c:v>92.848345758807625</c:v>
                </c:pt>
                <c:pt idx="8">
                  <c:v>93.012640926116546</c:v>
                </c:pt>
                <c:pt idx="9">
                  <c:v>93.178673325226384</c:v>
                </c:pt>
                <c:pt idx="10">
                  <c:v>93.346480087551924</c:v>
                </c:pt>
                <c:pt idx="11">
                  <c:v>93.516099547843965</c:v>
                </c:pt>
                <c:pt idx="12">
                  <c:v>93.687571296753902</c:v>
                </c:pt>
                <c:pt idx="13">
                  <c:v>93.860936236300233</c:v>
                </c:pt>
                <c:pt idx="14">
                  <c:v>94.036236638431035</c:v>
                </c:pt>
                <c:pt idx="15">
                  <c:v>94.213516206892962</c:v>
                </c:pt>
                <c:pt idx="16">
                  <c:v>94.392820142632161</c:v>
                </c:pt>
                <c:pt idx="17">
                  <c:v>94.574195212973223</c:v>
                </c:pt>
                <c:pt idx="18">
                  <c:v>94.757689824839929</c:v>
                </c:pt>
                <c:pt idx="19">
                  <c:v>94.943354102305591</c:v>
                </c:pt>
                <c:pt idx="20">
                  <c:v>95.131239968782324</c:v>
                </c:pt>
                <c:pt idx="21">
                  <c:v>95.321401234188784</c:v>
                </c:pt>
                <c:pt idx="22">
                  <c:v>95.513893687459586</c:v>
                </c:pt>
                <c:pt idx="23">
                  <c:v>95.708775194796829</c:v>
                </c:pt>
                <c:pt idx="24">
                  <c:v>95.906105804095262</c:v>
                </c:pt>
                <c:pt idx="25">
                  <c:v>96.10594785601279</c:v>
                </c:pt>
                <c:pt idx="26">
                  <c:v>96.308366102200694</c:v>
                </c:pt>
                <c:pt idx="27">
                  <c:v>96.513427831254432</c:v>
                </c:pt>
                <c:pt idx="28">
                  <c:v>96.721203002997697</c:v>
                </c:pt>
                <c:pt idx="29">
                  <c:v>96.931764391771196</c:v>
                </c:pt>
                <c:pt idx="30">
                  <c:v>97.145187739459288</c:v>
                </c:pt>
                <c:pt idx="31">
                  <c:v>97.36155191906056</c:v>
                </c:pt>
                <c:pt idx="32">
                  <c:v>97.580939109686199</c:v>
                </c:pt>
                <c:pt idx="33">
                  <c:v>97.803434983957288</c:v>
                </c:pt>
                <c:pt idx="34">
                  <c:v>98.029128908871201</c:v>
                </c:pt>
                <c:pt idx="35">
                  <c:v>98.258114161315007</c:v>
                </c:pt>
                <c:pt idx="36">
                  <c:v>98.49048815952699</c:v>
                </c:pt>
                <c:pt idx="37">
                  <c:v>98.726352711943491</c:v>
                </c:pt>
                <c:pt idx="38">
                  <c:v>98.965814285022475</c:v>
                </c:pt>
                <c:pt idx="39">
                  <c:v>99.208984291806757</c:v>
                </c:pt>
                <c:pt idx="40">
                  <c:v>99.455979403184756</c:v>
                </c:pt>
                <c:pt idx="41">
                  <c:v>99.706921884025348</c:v>
                </c:pt>
                <c:pt idx="42">
                  <c:v>99.961939956611673</c:v>
                </c:pt>
                <c:pt idx="43">
                  <c:v>100.22116819407643</c:v>
                </c:pt>
                <c:pt idx="44">
                  <c:v>100.48474794686337</c:v>
                </c:pt>
                <c:pt idx="45">
                  <c:v>100.75282780559598</c:v>
                </c:pt>
                <c:pt idx="46">
                  <c:v>101.02556410414991</c:v>
                </c:pt>
                <c:pt idx="47">
                  <c:v>101.30312146719251</c:v>
                </c:pt>
                <c:pt idx="48">
                  <c:v>101.58567340699187</c:v>
                </c:pt>
                <c:pt idx="49">
                  <c:v>101.87340297491261</c:v>
                </c:pt>
                <c:pt idx="50">
                  <c:v>102.16650347372416</c:v>
                </c:pt>
                <c:pt idx="51">
                  <c:v>102.46517923766402</c:v>
                </c:pt>
                <c:pt idx="52">
                  <c:v>102.76964648813777</c:v>
                </c:pt>
                <c:pt idx="53">
                  <c:v>103.08013427403426</c:v>
                </c:pt>
                <c:pt idx="54">
                  <c:v>103.39688550689556</c:v>
                </c:pt>
                <c:pt idx="55">
                  <c:v>103.72015810266402</c:v>
                </c:pt>
                <c:pt idx="56">
                  <c:v>104.05022624344917</c:v>
                </c:pt>
                <c:pt idx="57">
                  <c:v>104.38738177478064</c:v>
                </c:pt>
                <c:pt idx="58">
                  <c:v>104.73193575618876</c:v>
                </c:pt>
                <c:pt idx="59">
                  <c:v>105.08422018575681</c:v>
                </c:pt>
                <c:pt idx="60">
                  <c:v>105.44458992260729</c:v>
                </c:pt>
                <c:pt idx="61">
                  <c:v>105.81342483522502</c:v>
                </c:pt>
                <c:pt idx="62">
                  <c:v>106.1911322082201</c:v>
                </c:pt>
                <c:pt idx="63">
                  <c:v>106.57814944575904</c:v>
                </c:pt>
                <c:pt idx="64">
                  <c:v>106.97494711666008</c:v>
                </c:pt>
                <c:pt idx="65">
                  <c:v>107.38203239431317</c:v>
                </c:pt>
                <c:pt idx="66">
                  <c:v>107.79995295449686</c:v>
                </c:pt>
                <c:pt idx="67">
                  <c:v>108.22930140623828</c:v>
                </c:pt>
                <c:pt idx="68">
                  <c:v>108.6707203456578</c:v>
                </c:pt>
                <c:pt idx="69">
                  <c:v>109.12490814095759</c:v>
                </c:pt>
                <c:pt idx="70">
                  <c:v>109.59262557927605</c:v>
                </c:pt>
                <c:pt idx="71">
                  <c:v>110.07470353423759</c:v>
                </c:pt>
                <c:pt idx="72">
                  <c:v>110.57205184825921</c:v>
                </c:pt>
                <c:pt idx="73">
                  <c:v>111.08566966813424</c:v>
                </c:pt>
                <c:pt idx="74">
                  <c:v>111.61665752890872</c:v>
                </c:pt>
                <c:pt idx="75">
                  <c:v>112.16623155338596</c:v>
                </c:pt>
                <c:pt idx="76">
                  <c:v>112.73574022792172</c:v>
                </c:pt>
                <c:pt idx="77">
                  <c:v>113.32668433661371</c:v>
                </c:pt>
                <c:pt idx="78">
                  <c:v>113.94074079546107</c:v>
                </c:pt>
                <c:pt idx="79">
                  <c:v>114.57979133950727</c:v>
                </c:pt>
                <c:pt idx="80">
                  <c:v>115.24595729925778</c:v>
                </c:pt>
                <c:pt idx="81">
                  <c:v>115.9416420864477</c:v>
                </c:pt>
                <c:pt idx="82">
                  <c:v>116.66958353553167</c:v>
                </c:pt>
                <c:pt idx="83">
                  <c:v>117.43291897850293</c:v>
                </c:pt>
                <c:pt idx="84">
                  <c:v>118.23526696122957</c:v>
                </c:pt>
                <c:pt idx="85">
                  <c:v>119.08083098473901</c:v>
                </c:pt>
                <c:pt idx="86">
                  <c:v>119.97453280300761</c:v>
                </c:pt>
                <c:pt idx="87">
                  <c:v>120.92218599607327</c:v>
                </c:pt>
                <c:pt idx="88">
                  <c:v>121.93072536579126</c:v>
                </c:pt>
                <c:pt idx="89">
                  <c:v>123.00851518789381</c:v>
                </c:pt>
                <c:pt idx="90">
                  <c:v>124.16577126645967</c:v>
                </c:pt>
                <c:pt idx="91">
                  <c:v>125.415151255968</c:v>
                </c:pt>
                <c:pt idx="92">
                  <c:v>126.77260078375883</c:v>
                </c:pt>
                <c:pt idx="93">
                  <c:v>128.25860111552976</c:v>
                </c:pt>
                <c:pt idx="94">
                  <c:v>129.90007124414046</c:v>
                </c:pt>
                <c:pt idx="95">
                  <c:v>131.73338510373253</c:v>
                </c:pt>
                <c:pt idx="96">
                  <c:v>133.80939390479915</c:v>
                </c:pt>
                <c:pt idx="97">
                  <c:v>136.20230125754296</c:v>
                </c:pt>
                <c:pt idx="98">
                  <c:v>139.02659171973806</c:v>
                </c:pt>
                <c:pt idx="99">
                  <c:v>142.4727688056642</c:v>
                </c:pt>
                <c:pt idx="100">
                  <c:v>146.89435596207539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D5-4458-B548-35107527AD3B}"/>
            </c:ext>
          </c:extLst>
        </c:ser>
        <c:ser>
          <c:idx val="2"/>
          <c:order val="2"/>
          <c:tx>
            <c:v>Fit log log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'G27 60L (impactsDNV;velo)'!$N$2:$N$102</c:f>
              <c:numCache>
                <c:formatCode>0.000</c:formatCode>
                <c:ptCount val="101"/>
                <c:pt idx="0">
                  <c:v>3542117817.5462699</c:v>
                </c:pt>
                <c:pt idx="1">
                  <c:v>3507753253.8075647</c:v>
                </c:pt>
                <c:pt idx="2">
                  <c:v>3473388690.06884</c:v>
                </c:pt>
                <c:pt idx="3">
                  <c:v>3439024126.3301115</c:v>
                </c:pt>
                <c:pt idx="4">
                  <c:v>3404659562.5913954</c:v>
                </c:pt>
                <c:pt idx="5">
                  <c:v>3370294998.8526707</c:v>
                </c:pt>
                <c:pt idx="6">
                  <c:v>3335930435.1139498</c:v>
                </c:pt>
                <c:pt idx="7">
                  <c:v>3301565871.3752255</c:v>
                </c:pt>
                <c:pt idx="8">
                  <c:v>3267201307.6364961</c:v>
                </c:pt>
                <c:pt idx="9">
                  <c:v>3232836743.8977737</c:v>
                </c:pt>
                <c:pt idx="10">
                  <c:v>3198472180.1590538</c:v>
                </c:pt>
                <c:pt idx="11">
                  <c:v>3164107616.4203324</c:v>
                </c:pt>
                <c:pt idx="12">
                  <c:v>3129743052.6816144</c:v>
                </c:pt>
                <c:pt idx="13">
                  <c:v>3095378488.9428968</c:v>
                </c:pt>
                <c:pt idx="14">
                  <c:v>3061013925.2041717</c:v>
                </c:pt>
                <c:pt idx="15">
                  <c:v>3026649361.4654408</c:v>
                </c:pt>
                <c:pt idx="16">
                  <c:v>2992284797.7267156</c:v>
                </c:pt>
                <c:pt idx="17">
                  <c:v>2957920233.9880018</c:v>
                </c:pt>
                <c:pt idx="18">
                  <c:v>2923555670.2492785</c:v>
                </c:pt>
                <c:pt idx="19">
                  <c:v>2889191106.5105586</c:v>
                </c:pt>
                <c:pt idx="20">
                  <c:v>2854826542.7718415</c:v>
                </c:pt>
                <c:pt idx="21">
                  <c:v>2820461979.0331235</c:v>
                </c:pt>
                <c:pt idx="22">
                  <c:v>2786097415.2943945</c:v>
                </c:pt>
                <c:pt idx="23">
                  <c:v>2751732851.5556779</c:v>
                </c:pt>
                <c:pt idx="24">
                  <c:v>2717368287.8169565</c:v>
                </c:pt>
                <c:pt idx="25">
                  <c:v>2683003724.0782328</c:v>
                </c:pt>
                <c:pt idx="26">
                  <c:v>2648639160.3395114</c:v>
                </c:pt>
                <c:pt idx="27">
                  <c:v>2614274596.6007829</c:v>
                </c:pt>
                <c:pt idx="28">
                  <c:v>2579910032.8620672</c:v>
                </c:pt>
                <c:pt idx="29">
                  <c:v>2545545469.1233487</c:v>
                </c:pt>
                <c:pt idx="30">
                  <c:v>2511180905.3846216</c:v>
                </c:pt>
                <c:pt idx="31">
                  <c:v>2476816341.6458983</c:v>
                </c:pt>
                <c:pt idx="32">
                  <c:v>2442451777.9071727</c:v>
                </c:pt>
                <c:pt idx="33">
                  <c:v>2408087214.1684556</c:v>
                </c:pt>
                <c:pt idx="34">
                  <c:v>2373722650.4297352</c:v>
                </c:pt>
                <c:pt idx="35">
                  <c:v>2339358086.6910086</c:v>
                </c:pt>
                <c:pt idx="36">
                  <c:v>2304993522.952291</c:v>
                </c:pt>
                <c:pt idx="37">
                  <c:v>2270628959.2135673</c:v>
                </c:pt>
                <c:pt idx="38">
                  <c:v>2236264395.4748464</c:v>
                </c:pt>
                <c:pt idx="39">
                  <c:v>2201899831.7361245</c:v>
                </c:pt>
                <c:pt idx="40">
                  <c:v>2167535267.9974012</c:v>
                </c:pt>
                <c:pt idx="41">
                  <c:v>2133170704.2586782</c:v>
                </c:pt>
                <c:pt idx="42">
                  <c:v>2098806140.5199583</c:v>
                </c:pt>
                <c:pt idx="43">
                  <c:v>2064441576.7812359</c:v>
                </c:pt>
                <c:pt idx="44">
                  <c:v>2030077013.0425115</c:v>
                </c:pt>
                <c:pt idx="45">
                  <c:v>1995712449.3037841</c:v>
                </c:pt>
                <c:pt idx="46">
                  <c:v>1961347885.5650704</c:v>
                </c:pt>
                <c:pt idx="47">
                  <c:v>1926983321.8263533</c:v>
                </c:pt>
                <c:pt idx="48">
                  <c:v>1892618758.0876288</c:v>
                </c:pt>
                <c:pt idx="49">
                  <c:v>1858254194.3488975</c:v>
                </c:pt>
                <c:pt idx="50">
                  <c:v>1823889630.6101799</c:v>
                </c:pt>
                <c:pt idx="51">
                  <c:v>1789525066.8714585</c:v>
                </c:pt>
                <c:pt idx="52">
                  <c:v>1755160503.132741</c:v>
                </c:pt>
                <c:pt idx="53">
                  <c:v>1720795939.3940203</c:v>
                </c:pt>
                <c:pt idx="54">
                  <c:v>1686431375.6552958</c:v>
                </c:pt>
                <c:pt idx="55">
                  <c:v>1652066811.9165699</c:v>
                </c:pt>
                <c:pt idx="56">
                  <c:v>1617702248.177851</c:v>
                </c:pt>
                <c:pt idx="57">
                  <c:v>1583337684.4391291</c:v>
                </c:pt>
                <c:pt idx="58">
                  <c:v>1548973120.7004077</c:v>
                </c:pt>
                <c:pt idx="59">
                  <c:v>1514608556.9616828</c:v>
                </c:pt>
                <c:pt idx="60">
                  <c:v>1480243993.2229588</c:v>
                </c:pt>
                <c:pt idx="61">
                  <c:v>1445879429.4842374</c:v>
                </c:pt>
                <c:pt idx="62">
                  <c:v>1411514865.7455156</c:v>
                </c:pt>
                <c:pt idx="63">
                  <c:v>1377150302.0068021</c:v>
                </c:pt>
                <c:pt idx="64">
                  <c:v>1342785738.2680745</c:v>
                </c:pt>
                <c:pt idx="65">
                  <c:v>1308421174.5293522</c:v>
                </c:pt>
                <c:pt idx="66">
                  <c:v>1274056610.7906289</c:v>
                </c:pt>
                <c:pt idx="67">
                  <c:v>1239692047.0519085</c:v>
                </c:pt>
                <c:pt idx="68">
                  <c:v>1205327483.3131876</c:v>
                </c:pt>
                <c:pt idx="69">
                  <c:v>1170962919.5744667</c:v>
                </c:pt>
                <c:pt idx="70">
                  <c:v>1136598355.8357441</c:v>
                </c:pt>
                <c:pt idx="71">
                  <c:v>1102233792.0970244</c:v>
                </c:pt>
                <c:pt idx="72">
                  <c:v>1067869228.3582994</c:v>
                </c:pt>
                <c:pt idx="73">
                  <c:v>1033504664.6195766</c:v>
                </c:pt>
                <c:pt idx="74">
                  <c:v>999140100.88085806</c:v>
                </c:pt>
                <c:pt idx="75">
                  <c:v>964775537.14213336</c:v>
                </c:pt>
                <c:pt idx="76">
                  <c:v>930410973.40341306</c:v>
                </c:pt>
                <c:pt idx="77">
                  <c:v>896046409.66469169</c:v>
                </c:pt>
                <c:pt idx="78">
                  <c:v>861681845.92596829</c:v>
                </c:pt>
                <c:pt idx="79">
                  <c:v>827317282.18724895</c:v>
                </c:pt>
                <c:pt idx="80">
                  <c:v>792952718.4485234</c:v>
                </c:pt>
                <c:pt idx="81">
                  <c:v>758588154.70980608</c:v>
                </c:pt>
                <c:pt idx="82">
                  <c:v>724223590.97108138</c:v>
                </c:pt>
                <c:pt idx="83">
                  <c:v>689859027.23235881</c:v>
                </c:pt>
                <c:pt idx="84">
                  <c:v>655494463.4936378</c:v>
                </c:pt>
                <c:pt idx="85">
                  <c:v>621129899.75491393</c:v>
                </c:pt>
                <c:pt idx="86">
                  <c:v>586765336.01619339</c:v>
                </c:pt>
                <c:pt idx="87">
                  <c:v>552400772.2774713</c:v>
                </c:pt>
                <c:pt idx="88">
                  <c:v>518036208.53875023</c:v>
                </c:pt>
                <c:pt idx="89">
                  <c:v>483671644.80002958</c:v>
                </c:pt>
                <c:pt idx="90">
                  <c:v>449307081.06130582</c:v>
                </c:pt>
                <c:pt idx="91">
                  <c:v>414942517.32258517</c:v>
                </c:pt>
                <c:pt idx="92">
                  <c:v>380577953.58386189</c:v>
                </c:pt>
                <c:pt idx="93">
                  <c:v>346213389.84514058</c:v>
                </c:pt>
                <c:pt idx="94">
                  <c:v>311848826.10641807</c:v>
                </c:pt>
                <c:pt idx="95">
                  <c:v>277484262.36769646</c:v>
                </c:pt>
                <c:pt idx="96">
                  <c:v>243119698.62897554</c:v>
                </c:pt>
                <c:pt idx="97">
                  <c:v>208755134.89025301</c:v>
                </c:pt>
                <c:pt idx="98">
                  <c:v>174390571.15153131</c:v>
                </c:pt>
                <c:pt idx="99">
                  <c:v>140026007.41280854</c:v>
                </c:pt>
                <c:pt idx="100">
                  <c:v>105661443.67408726</c:v>
                </c:pt>
              </c:numCache>
            </c:numRef>
          </c:xVal>
          <c:yVal>
            <c:numRef>
              <c:f>'G27 60L (impactsDNV;velo)'!$O$2:$O$102</c:f>
              <c:numCache>
                <c:formatCode>0</c:formatCode>
                <c:ptCount val="101"/>
                <c:pt idx="0">
                  <c:v>94.749439849216373</c:v>
                </c:pt>
                <c:pt idx="1">
                  <c:v>94.868325258899759</c:v>
                </c:pt>
                <c:pt idx="2">
                  <c:v>94.98853249098822</c:v>
                </c:pt>
                <c:pt idx="3">
                  <c:v>95.110089539829147</c:v>
                </c:pt>
                <c:pt idx="4">
                  <c:v>95.233025279943163</c:v>
                </c:pt>
                <c:pt idx="5">
                  <c:v>95.35736950291323</c:v>
                </c:pt>
                <c:pt idx="6">
                  <c:v>95.483152956215278</c:v>
                </c:pt>
                <c:pt idx="7">
                  <c:v>95.610407384111866</c:v>
                </c:pt>
                <c:pt idx="8">
                  <c:v>95.739165570742202</c:v>
                </c:pt>
                <c:pt idx="9">
                  <c:v>95.8694613855494</c:v>
                </c:pt>
                <c:pt idx="10">
                  <c:v>96.001329831201772</c:v>
                </c:pt>
                <c:pt idx="11">
                  <c:v>96.13480709416784</c:v>
                </c:pt>
                <c:pt idx="12">
                  <c:v>96.269930598128369</c:v>
                </c:pt>
                <c:pt idx="13">
                  <c:v>96.406739060414097</c:v>
                </c:pt>
                <c:pt idx="14">
                  <c:v>96.545272551677115</c:v>
                </c:pt>
                <c:pt idx="15">
                  <c:v>96.685572559020414</c:v>
                </c:pt>
                <c:pt idx="16">
                  <c:v>96.827682052827598</c:v>
                </c:pt>
                <c:pt idx="17">
                  <c:v>96.971645557553856</c:v>
                </c:pt>
                <c:pt idx="18">
                  <c:v>97.117509226763872</c:v>
                </c:pt>
                <c:pt idx="19">
                  <c:v>97.265320922723475</c:v>
                </c:pt>
                <c:pt idx="20">
                  <c:v>97.415130300879454</c:v>
                </c:pt>
                <c:pt idx="21">
                  <c:v>97.566988899590783</c:v>
                </c:pt>
                <c:pt idx="22">
                  <c:v>97.720950235506024</c:v>
                </c:pt>
                <c:pt idx="23">
                  <c:v>97.877069905017038</c:v>
                </c:pt>
                <c:pt idx="24">
                  <c:v>98.035405692257129</c:v>
                </c:pt>
                <c:pt idx="25">
                  <c:v>98.196017684154057</c:v>
                </c:pt>
                <c:pt idx="26">
                  <c:v>98.358968393097044</c:v>
                </c:pt>
                <c:pt idx="27">
                  <c:v>98.524322887826628</c:v>
                </c:pt>
                <c:pt idx="28">
                  <c:v>98.692148933214696</c:v>
                </c:pt>
                <c:pt idx="29">
                  <c:v>98.86251713966746</c:v>
                </c:pt>
                <c:pt idx="30">
                  <c:v>99.03550112295197</c:v>
                </c:pt>
                <c:pt idx="31">
                  <c:v>99.211177675327733</c:v>
                </c:pt>
                <c:pt idx="32">
                  <c:v>99.389626948953605</c:v>
                </c:pt>
                <c:pt idx="33">
                  <c:v>99.570932652635662</c:v>
                </c:pt>
                <c:pt idx="34">
                  <c:v>99.755182263091939</c:v>
                </c:pt>
                <c:pt idx="35">
                  <c:v>99.942467252035527</c:v>
                </c:pt>
                <c:pt idx="36">
                  <c:v>100.13288333050831</c:v>
                </c:pt>
                <c:pt idx="37">
                  <c:v>100.32653071205874</c:v>
                </c:pt>
                <c:pt idx="38">
                  <c:v>100.52351439652408</c:v>
                </c:pt>
                <c:pt idx="39">
                  <c:v>100.72394447637623</c:v>
                </c:pt>
                <c:pt idx="40">
                  <c:v>100.92793646780872</c:v>
                </c:pt>
                <c:pt idx="41">
                  <c:v>101.13561166898926</c:v>
                </c:pt>
                <c:pt idx="42">
                  <c:v>101.34709754818817</c:v>
                </c:pt>
                <c:pt idx="43">
                  <c:v>101.56252816480408</c:v>
                </c:pt>
                <c:pt idx="44">
                  <c:v>101.78204462668121</c:v>
                </c:pt>
                <c:pt idx="45">
                  <c:v>102.00579558751416</c:v>
                </c:pt>
                <c:pt idx="46">
                  <c:v>102.23393778861758</c:v>
                </c:pt>
                <c:pt idx="47">
                  <c:v>102.46663664987018</c:v>
                </c:pt>
                <c:pt idx="48">
                  <c:v>102.7040669152633</c:v>
                </c:pt>
                <c:pt idx="49">
                  <c:v>102.94641335919549</c:v>
                </c:pt>
                <c:pt idx="50">
                  <c:v>103.19387156047041</c:v>
                </c:pt>
                <c:pt idx="51">
                  <c:v>103.44664875190271</c:v>
                </c:pt>
                <c:pt idx="52">
                  <c:v>103.70496475452569</c:v>
                </c:pt>
                <c:pt idx="53">
                  <c:v>103.96905300667426</c:v>
                </c:pt>
                <c:pt idx="54">
                  <c:v>104.2391616996818</c:v>
                </c:pt>
                <c:pt idx="55">
                  <c:v>104.5155550336696</c:v>
                </c:pt>
                <c:pt idx="56">
                  <c:v>104.79851460891946</c:v>
                </c:pt>
                <c:pt idx="57">
                  <c:v>105.08834097070068</c:v>
                </c:pt>
                <c:pt idx="58">
                  <c:v>105.38535532822189</c:v>
                </c:pt>
                <c:pt idx="59">
                  <c:v>105.689901471686</c:v>
                </c:pt>
                <c:pt idx="60">
                  <c:v>106.00234791536248</c:v>
                </c:pt>
                <c:pt idx="61">
                  <c:v>106.32309029926715</c:v>
                </c:pt>
                <c:pt idx="62">
                  <c:v>106.65255408764415</c:v>
                </c:pt>
                <c:pt idx="63">
                  <c:v>106.99119760916082</c:v>
                </c:pt>
                <c:pt idx="64">
                  <c:v>107.33951549184169</c:v>
                </c:pt>
                <c:pt idx="65">
                  <c:v>107.69804255557622</c:v>
                </c:pt>
                <c:pt idx="66">
                  <c:v>108.06735823698963</c:v>
                </c:pt>
                <c:pt idx="67">
                  <c:v>108.44809163607125</c:v>
                </c:pt>
                <c:pt idx="68">
                  <c:v>108.84092729190519</c:v>
                </c:pt>
                <c:pt idx="69">
                  <c:v>109.24661181703797</c:v>
                </c:pt>
                <c:pt idx="70">
                  <c:v>109.66596154758155</c:v>
                </c:pt>
                <c:pt idx="71">
                  <c:v>110.09987140061709</c:v>
                </c:pt>
                <c:pt idx="72">
                  <c:v>110.54932517382467</c:v>
                </c:pt>
                <c:pt idx="73">
                  <c:v>111.01540757718878</c:v>
                </c:pt>
                <c:pt idx="74">
                  <c:v>111.49931835668018</c:v>
                </c:pt>
                <c:pt idx="75">
                  <c:v>112.00238895987323</c:v>
                </c:pt>
                <c:pt idx="76">
                  <c:v>112.52610231012177</c:v>
                </c:pt>
                <c:pt idx="77">
                  <c:v>113.0721164084047</c:v>
                </c:pt>
                <c:pt idx="78">
                  <c:v>113.6422926830551</c:v>
                </c:pt>
                <c:pt idx="79">
                  <c:v>114.23873027545535</c:v>
                </c:pt>
                <c:pt idx="80">
                  <c:v>114.86380781035909</c:v>
                </c:pt>
                <c:pt idx="81">
                  <c:v>115.52023469042464</c:v>
                </c:pt>
                <c:pt idx="82">
                  <c:v>116.21111463122506</c:v>
                </c:pt>
                <c:pt idx="83">
                  <c:v>116.9400250981907</c:v>
                </c:pt>
                <c:pt idx="84">
                  <c:v>117.71111764654148</c:v>
                </c:pt>
                <c:pt idx="85">
                  <c:v>118.52924609402957</c:v>
                </c:pt>
                <c:pt idx="86">
                  <c:v>119.40013228208798</c:v>
                </c:pt>
                <c:pt idx="87">
                  <c:v>120.33058340069213</c:v>
                </c:pt>
                <c:pt idx="88">
                  <c:v>121.32878128834352</c:v>
                </c:pt>
                <c:pt idx="89">
                  <c:v>122.40467416916282</c:v>
                </c:pt>
                <c:pt idx="90">
                  <c:v>123.57051740392583</c:v>
                </c:pt>
                <c:pt idx="91">
                  <c:v>124.8416364516094</c:v>
                </c:pt>
                <c:pt idx="92">
                  <c:v>126.23753072806635</c:v>
                </c:pt>
                <c:pt idx="93">
                  <c:v>127.7835178771834</c:v>
                </c:pt>
                <c:pt idx="94">
                  <c:v>129.51326825200888</c:v>
                </c:pt>
                <c:pt idx="95">
                  <c:v>131.47287415547342</c:v>
                </c:pt>
                <c:pt idx="96">
                  <c:v>133.72771472346292</c:v>
                </c:pt>
                <c:pt idx="97">
                  <c:v>136.37477110570967</c:v>
                </c:pt>
                <c:pt idx="98">
                  <c:v>139.56652443435425</c:v>
                </c:pt>
                <c:pt idx="99">
                  <c:v>143.56243422302794</c:v>
                </c:pt>
                <c:pt idx="100">
                  <c:v>148.85736298167001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D5-4458-B548-35107527A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86864"/>
        <c:axId val="845587848"/>
      </c:scatterChart>
      <c:valAx>
        <c:axId val="845586864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specific impacts [m^-2]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45587848"/>
        <c:crosses val="autoZero"/>
        <c:crossBetween val="midCat"/>
      </c:valAx>
      <c:valAx>
        <c:axId val="845587848"/>
        <c:scaling>
          <c:logBase val="10"/>
          <c:orientation val="minMax"/>
          <c:max val="160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velocity [m/s]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45586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498498059591646"/>
          <c:y val="0.44186232397847841"/>
          <c:w val="0.14344718055878261"/>
          <c:h val="0.13649679933367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/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549087</xdr:colOff>
      <xdr:row>34</xdr:row>
      <xdr:rowOff>189754</xdr:rowOff>
    </xdr:from>
    <xdr:to>
      <xdr:col>22</xdr:col>
      <xdr:colOff>0</xdr:colOff>
      <xdr:row>49</xdr:row>
      <xdr:rowOff>19425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</xdr:colOff>
      <xdr:row>1</xdr:row>
      <xdr:rowOff>17780</xdr:rowOff>
    </xdr:from>
    <xdr:to>
      <xdr:col>14</xdr:col>
      <xdr:colOff>164465</xdr:colOff>
      <xdr:row>18</xdr:row>
      <xdr:rowOff>10160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445770</xdr:colOff>
      <xdr:row>22</xdr:row>
      <xdr:rowOff>49530</xdr:rowOff>
    </xdr:from>
    <xdr:to>
      <xdr:col>14</xdr:col>
      <xdr:colOff>583565</xdr:colOff>
      <xdr:row>39</xdr:row>
      <xdr:rowOff>41910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6972" cy="62859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6972" cy="62859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6972" cy="62859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6972" cy="628591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56028</xdr:colOff>
      <xdr:row>16</xdr:row>
      <xdr:rowOff>113179</xdr:rowOff>
    </xdr:from>
    <xdr:to>
      <xdr:col>27</xdr:col>
      <xdr:colOff>493058</xdr:colOff>
      <xdr:row>49</xdr:row>
      <xdr:rowOff>126999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0.14883</cdr:x>
      <cdr:y>0.09192</cdr:y>
    </cdr:from>
    <cdr:to>
      <cdr:x>0.67742</cdr:x>
      <cdr:y>0.48485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1289050" y="577850"/>
          <a:ext cx="4578350" cy="2470150"/>
        </a:xfrm>
        <a:prstGeom xmlns:a="http://schemas.openxmlformats.org/drawingml/2006/main" prst="line">
          <a:avLst/>
        </a:prstGeom>
        <a:ln xmlns:a="http://schemas.openxmlformats.org/drawingml/2006/main"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0.14296</cdr:x>
      <cdr:y>0.10303</cdr:y>
    </cdr:from>
    <cdr:to>
      <cdr:x>0.6107</cdr:x>
      <cdr:y>0.38687</cdr:y>
    </cdr:to>
    <cdr:sp macro="" textlink="">
      <cdr:nvSpPr>
        <cdr:cNvPr id="7" name="Freeform 6"/>
        <cdr:cNvSpPr/>
      </cdr:nvSpPr>
      <cdr:spPr>
        <a:xfrm xmlns:a="http://schemas.openxmlformats.org/drawingml/2006/main">
          <a:off x="1238234" y="647698"/>
          <a:ext cx="4051283" cy="1784360"/>
        </a:xfrm>
        <a:custGeom xmlns:a="http://schemas.openxmlformats.org/drawingml/2006/main">
          <a:avLst/>
          <a:gdLst>
            <a:gd name="connsiteX0" fmla="*/ 0 w 4051300"/>
            <a:gd name="connsiteY0" fmla="*/ 0 h 1784350"/>
            <a:gd name="connsiteX1" fmla="*/ 850900 w 4051300"/>
            <a:gd name="connsiteY1" fmla="*/ 165100 h 1784350"/>
            <a:gd name="connsiteX2" fmla="*/ 1866900 w 4051300"/>
            <a:gd name="connsiteY2" fmla="*/ 450850 h 1784350"/>
            <a:gd name="connsiteX3" fmla="*/ 2305050 w 4051300"/>
            <a:gd name="connsiteY3" fmla="*/ 1543050 h 1784350"/>
            <a:gd name="connsiteX4" fmla="*/ 4051300 w 4051300"/>
            <a:gd name="connsiteY4" fmla="*/ 1784350 h 1784350"/>
            <a:gd name="connsiteX5" fmla="*/ 4051300 w 4051300"/>
            <a:gd name="connsiteY5" fmla="*/ 1784350 h 17843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4051300" h="1784350">
              <a:moveTo>
                <a:pt x="0" y="0"/>
              </a:moveTo>
              <a:cubicBezTo>
                <a:pt x="269875" y="44979"/>
                <a:pt x="539750" y="89958"/>
                <a:pt x="850900" y="165100"/>
              </a:cubicBezTo>
              <a:cubicBezTo>
                <a:pt x="1162050" y="240242"/>
                <a:pt x="1624542" y="221192"/>
                <a:pt x="1866900" y="450850"/>
              </a:cubicBezTo>
              <a:cubicBezTo>
                <a:pt x="2109258" y="680508"/>
                <a:pt x="1940983" y="1320800"/>
                <a:pt x="2305050" y="1543050"/>
              </a:cubicBezTo>
              <a:cubicBezTo>
                <a:pt x="2669117" y="1765300"/>
                <a:pt x="4051300" y="1784350"/>
                <a:pt x="4051300" y="1784350"/>
              </a:cubicBezTo>
              <a:lnTo>
                <a:pt x="4051300" y="1784350"/>
              </a:lnTo>
            </a:path>
          </a:pathLst>
        </a:custGeom>
        <a:noFill xmlns:a="http://schemas.openxmlformats.org/drawingml/2006/main"/>
        <a:ln xmlns:a="http://schemas.openxmlformats.org/drawingml/2006/main"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a-DK"/>
        </a:p>
      </cdr:txBody>
    </cdr:sp>
  </cdr:relSizeAnchor>
  <cdr:relSizeAnchor xmlns:cdr="http://schemas.openxmlformats.org/drawingml/2006/chartDrawing">
    <cdr:from>
      <cdr:x>0.66935</cdr:x>
      <cdr:y>0.45556</cdr:y>
    </cdr:from>
    <cdr:to>
      <cdr:x>0.74927</cdr:x>
      <cdr:y>0.50505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797550" y="2863850"/>
          <a:ext cx="69215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a-DK" sz="1100"/>
            <a:t>linear</a:t>
          </a:r>
          <a:r>
            <a:rPr lang="da-DK" sz="1100" baseline="0"/>
            <a:t> fit</a:t>
          </a:r>
          <a:endParaRPr lang="da-DK" sz="1100"/>
        </a:p>
      </cdr:txBody>
    </cdr:sp>
  </cdr:relSizeAnchor>
  <cdr:relSizeAnchor xmlns:cdr="http://schemas.openxmlformats.org/drawingml/2006/chartDrawing">
    <cdr:from>
      <cdr:x>0.60411</cdr:x>
      <cdr:y>0.34848</cdr:y>
    </cdr:from>
    <cdr:to>
      <cdr:x>0.73607</cdr:x>
      <cdr:y>0.39798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5232400" y="2190750"/>
          <a:ext cx="1143000" cy="311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a-DK" sz="1100"/>
            <a:t>softsign fit</a:t>
          </a:r>
          <a:r>
            <a:rPr lang="da-DK" sz="1100" baseline="0"/>
            <a:t> fit</a:t>
          </a:r>
          <a:endParaRPr lang="da-DK" sz="1100"/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669924</xdr:colOff>
      <xdr:row>14</xdr:row>
      <xdr:rowOff>0</xdr:rowOff>
    </xdr:from>
    <xdr:to>
      <xdr:col>16</xdr:col>
      <xdr:colOff>368299</xdr:colOff>
      <xdr:row>33</xdr:row>
      <xdr:rowOff>3175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102052</xdr:colOff>
      <xdr:row>14</xdr:row>
      <xdr:rowOff>2299</xdr:rowOff>
    </xdr:from>
    <xdr:to>
      <xdr:col>7</xdr:col>
      <xdr:colOff>2614706</xdr:colOff>
      <xdr:row>44</xdr:row>
      <xdr:rowOff>104589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134844</xdr:colOff>
      <xdr:row>52</xdr:row>
      <xdr:rowOff>108859</xdr:rowOff>
    </xdr:from>
    <xdr:to>
      <xdr:col>6</xdr:col>
      <xdr:colOff>117396</xdr:colOff>
      <xdr:row>77</xdr:row>
      <xdr:rowOff>79430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502226</xdr:colOff>
      <xdr:row>32</xdr:row>
      <xdr:rowOff>133432</xdr:rowOff>
    </xdr:from>
    <xdr:to>
      <xdr:col>27</xdr:col>
      <xdr:colOff>297707</xdr:colOff>
      <xdr:row>64</xdr:row>
      <xdr:rowOff>162461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102052</xdr:colOff>
      <xdr:row>8</xdr:row>
      <xdr:rowOff>136768</xdr:rowOff>
    </xdr:from>
    <xdr:to>
      <xdr:col>8</xdr:col>
      <xdr:colOff>678962</xdr:colOff>
      <xdr:row>52</xdr:row>
      <xdr:rowOff>131534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134844</xdr:colOff>
      <xdr:row>52</xdr:row>
      <xdr:rowOff>108859</xdr:rowOff>
    </xdr:from>
    <xdr:to>
      <xdr:col>6</xdr:col>
      <xdr:colOff>117396</xdr:colOff>
      <xdr:row>77</xdr:row>
      <xdr:rowOff>79430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502226</xdr:colOff>
      <xdr:row>32</xdr:row>
      <xdr:rowOff>133432</xdr:rowOff>
    </xdr:from>
    <xdr:to>
      <xdr:col>27</xdr:col>
      <xdr:colOff>297707</xdr:colOff>
      <xdr:row>64</xdr:row>
      <xdr:rowOff>162461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55137" cy="62804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0.72896</cdr:x>
      <cdr:y>0.5074</cdr:y>
    </cdr:from>
    <cdr:to>
      <cdr:x>0.85011</cdr:x>
      <cdr:y>0.53986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309220" y="3186652"/>
          <a:ext cx="1048624" cy="203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a-DK" sz="1100"/>
            <a:t>R^2=0.938</a:t>
          </a:r>
        </a:p>
      </cdr:txBody>
    </cdr:sp>
  </cdr:relSizeAnchor>
  <cdr:relSizeAnchor xmlns:cdr="http://schemas.openxmlformats.org/drawingml/2006/chartDrawing">
    <cdr:from>
      <cdr:x>0.73954</cdr:x>
      <cdr:y>0.47096</cdr:y>
    </cdr:from>
    <cdr:to>
      <cdr:x>0.86069</cdr:x>
      <cdr:y>0.50343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400801" y="2957818"/>
          <a:ext cx="1048624" cy="2038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a-DK" sz="1100"/>
            <a:t>R^2=0.927</a:t>
          </a:r>
        </a:p>
      </cdr:txBody>
    </cdr:sp>
  </cdr:relSizeAnchor>
  <cdr:relSizeAnchor xmlns:cdr="http://schemas.openxmlformats.org/drawingml/2006/chartDrawing">
    <cdr:from>
      <cdr:x>0.07656</cdr:x>
      <cdr:y>0.08089</cdr:y>
    </cdr:from>
    <cdr:to>
      <cdr:x>0.75536</cdr:x>
      <cdr:y>0.80447</cdr:y>
    </cdr:to>
    <cdr:cxnSp macro="">
      <cdr:nvCxnSpPr>
        <cdr:cNvPr id="5" name="Straight Connector 4"/>
        <cdr:cNvCxnSpPr/>
      </cdr:nvCxnSpPr>
      <cdr:spPr>
        <a:xfrm xmlns:a="http://schemas.openxmlformats.org/drawingml/2006/main">
          <a:off x="662609" y="507999"/>
          <a:ext cx="5875130" cy="454439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zoomScaleNormal="100" workbookViewId="0">
      <selection activeCell="I52" sqref="I52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60L'!R7</f>
        <v>25.003021597856595</v>
      </c>
      <c r="B2" s="48">
        <f>'New Vestas G27 60L'!T7</f>
        <v>99.747593372498528</v>
      </c>
      <c r="C2" s="50">
        <f t="shared" ref="C2:D44" si="0">IF(ISNA(A2),"",LOG10(A2))</f>
        <v>1.3979924960312136</v>
      </c>
      <c r="D2" s="50">
        <f t="shared" si="0"/>
        <v>1.9989024261868313</v>
      </c>
      <c r="E2" s="51">
        <f>IF(C2="","",C2^2)</f>
        <v>1.9543830189595828</v>
      </c>
      <c r="F2" s="51">
        <f>IF(D2="","",D2^2)</f>
        <v>3.9956109094156007</v>
      </c>
      <c r="G2" s="52">
        <f>IF(OR(C2="",D2=""),"",C2*D2)</f>
        <v>2.7944505921077769</v>
      </c>
      <c r="H2" s="53" t="s">
        <v>57</v>
      </c>
      <c r="I2" s="54">
        <f>COUNT(C:C)</f>
        <v>166</v>
      </c>
      <c r="J2" s="51">
        <f>LOG($I$24+($I$25-$I$24)*(ROW()-2)/100)</f>
        <v>1.6032614498523621</v>
      </c>
      <c r="K2" s="51">
        <f>+$I$14+$I$13*J2</f>
        <v>1.977843213604547</v>
      </c>
      <c r="L2" s="55">
        <f t="shared" ref="L2:L65" si="1">SQRT(2*$I$20*$I$17)*SQRT((1/$I$2)+((J2-$I$11)^2/$I$8))</f>
        <v>7.152040833584279E-3</v>
      </c>
      <c r="M2" s="51">
        <f t="shared" ref="M2:M65" si="2">+$I$14+$I$13*J2-L2</f>
        <v>1.9706911727709626</v>
      </c>
      <c r="N2" s="94">
        <f>10^$J2</f>
        <v>40.110811626846086</v>
      </c>
      <c r="O2" s="56">
        <f>10^K2</f>
        <v>95.026167394042758</v>
      </c>
      <c r="P2" s="57">
        <f t="shared" ref="P2:P65" si="3">10^M2</f>
        <v>93.474074270639875</v>
      </c>
      <c r="R2" s="47"/>
      <c r="S2" s="47"/>
      <c r="T2" s="47"/>
    </row>
    <row r="3" spans="1:20" ht="12.75" customHeight="1" x14ac:dyDescent="0.35">
      <c r="A3" s="49">
        <f>'New Vestas G27 60L'!R8</f>
        <v>21.606186818762051</v>
      </c>
      <c r="B3" s="48">
        <f>'New Vestas G27 60L'!T8</f>
        <v>95.996428134623116</v>
      </c>
      <c r="C3" s="50">
        <f t="shared" si="0"/>
        <v>1.334578126915843</v>
      </c>
      <c r="D3" s="50">
        <f t="shared" si="0"/>
        <v>1.982255073974126</v>
      </c>
      <c r="E3" s="51">
        <f t="shared" ref="E3:F44" si="4">IF(C3="","",C3^2)</f>
        <v>1.7810987768422</v>
      </c>
      <c r="F3" s="51">
        <f t="shared" si="4"/>
        <v>3.9293351782961681</v>
      </c>
      <c r="G3" s="52">
        <f t="shared" ref="G3:G44" si="5">IF(OR(C3="",D3=""),"",C3*D3)</f>
        <v>2.6454742636938149</v>
      </c>
      <c r="H3" s="53" t="s">
        <v>58</v>
      </c>
      <c r="I3" s="58">
        <f>SUM(C:C)</f>
        <v>104.39412628904985</v>
      </c>
      <c r="J3" s="51">
        <f t="shared" ref="J3:J65" si="6">LOG($I$24+($I$25-$I$24)*(ROW()-2)/100)</f>
        <v>1.5989482426682133</v>
      </c>
      <c r="K3" s="51">
        <f t="shared" ref="K3:K65" si="7">+$I$14+$I$13*J3</f>
        <v>1.9782937516284897</v>
      </c>
      <c r="L3" s="55">
        <f t="shared" si="1"/>
        <v>7.1252156526569761E-3</v>
      </c>
      <c r="M3" s="51">
        <f t="shared" si="2"/>
        <v>1.9711685359758329</v>
      </c>
      <c r="N3" s="94">
        <f t="shared" ref="N3:N66" si="8">10^$J3</f>
        <v>39.714421672464923</v>
      </c>
      <c r="O3" s="56">
        <f t="shared" ref="O3:O66" si="9">10^K3</f>
        <v>95.124798894659449</v>
      </c>
      <c r="P3" s="57">
        <f t="shared" si="3"/>
        <v>93.576874599860759</v>
      </c>
      <c r="R3" s="47"/>
      <c r="S3" s="47"/>
      <c r="T3" s="47"/>
    </row>
    <row r="4" spans="1:20" ht="12.75" customHeight="1" x14ac:dyDescent="0.35">
      <c r="A4" s="49">
        <f>'New Vestas G27 60L'!R9</f>
        <v>0.74584062256687</v>
      </c>
      <c r="B4" s="48">
        <f>'New Vestas G27 60L'!T9</f>
        <v>147.17769522532859</v>
      </c>
      <c r="C4" s="50">
        <f t="shared" si="0"/>
        <v>-0.12735396627347884</v>
      </c>
      <c r="D4" s="50">
        <f t="shared" si="0"/>
        <v>2.1678419976744219</v>
      </c>
      <c r="E4" s="51">
        <f t="shared" si="4"/>
        <v>1.6219032725586384E-2</v>
      </c>
      <c r="F4" s="51">
        <f t="shared" si="4"/>
        <v>4.6995389268810284</v>
      </c>
      <c r="G4" s="52">
        <f t="shared" si="5"/>
        <v>-0.27608327665805932</v>
      </c>
      <c r="H4" s="59" t="s">
        <v>59</v>
      </c>
      <c r="I4" s="58">
        <f>SUM(D:D)</f>
        <v>345.21735878740543</v>
      </c>
      <c r="J4" s="51">
        <f t="shared" si="6"/>
        <v>1.5945917686877962</v>
      </c>
      <c r="K4" s="51">
        <f t="shared" si="7"/>
        <v>1.9787488091053738</v>
      </c>
      <c r="L4" s="55">
        <f t="shared" si="1"/>
        <v>7.0981399680585741E-3</v>
      </c>
      <c r="M4" s="51">
        <f t="shared" si="2"/>
        <v>1.9716506691373152</v>
      </c>
      <c r="N4" s="94">
        <f t="shared" si="8"/>
        <v>39.318031718083802</v>
      </c>
      <c r="O4" s="56">
        <f t="shared" si="9"/>
        <v>95.224523710603123</v>
      </c>
      <c r="P4" s="57">
        <f t="shared" si="3"/>
        <v>93.680816898581639</v>
      </c>
      <c r="R4" s="47"/>
      <c r="S4" s="47"/>
      <c r="T4" s="47"/>
    </row>
    <row r="5" spans="1:20" ht="12.75" customHeight="1" x14ac:dyDescent="0.35">
      <c r="A5" s="49">
        <f>'New Vestas G27 60L'!R10</f>
        <v>0.99445416342249338</v>
      </c>
      <c r="B5" s="48">
        <f>'New Vestas G27 60L'!T10</f>
        <v>145.28074012362984</v>
      </c>
      <c r="C5" s="50">
        <f t="shared" si="0"/>
        <v>-2.4152296651788526E-3</v>
      </c>
      <c r="D5" s="50">
        <f t="shared" si="0"/>
        <v>2.1622080436686786</v>
      </c>
      <c r="E5" s="51">
        <f t="shared" si="4"/>
        <v>5.8333343355599526E-6</v>
      </c>
      <c r="F5" s="51">
        <f t="shared" si="4"/>
        <v>4.6751436241055346</v>
      </c>
      <c r="G5" s="52">
        <f t="shared" si="5"/>
        <v>-5.2222290093569242E-3</v>
      </c>
      <c r="H5" s="59" t="s">
        <v>60</v>
      </c>
      <c r="I5" s="58">
        <f>SUM(E:E)</f>
        <v>93.989928391839015</v>
      </c>
      <c r="J5" s="51">
        <f t="shared" si="6"/>
        <v>1.5901911510690439</v>
      </c>
      <c r="K5" s="51">
        <f t="shared" si="7"/>
        <v>1.9792084776261365</v>
      </c>
      <c r="L5" s="55">
        <f t="shared" si="1"/>
        <v>7.0708091102457014E-3</v>
      </c>
      <c r="M5" s="51">
        <f t="shared" si="2"/>
        <v>1.9721376685158909</v>
      </c>
      <c r="N5" s="94">
        <f t="shared" si="8"/>
        <v>38.921641763702667</v>
      </c>
      <c r="O5" s="56">
        <f t="shared" si="9"/>
        <v>95.325365168444989</v>
      </c>
      <c r="P5" s="57">
        <f t="shared" si="3"/>
        <v>93.785925507247924</v>
      </c>
      <c r="R5" s="47"/>
      <c r="S5" s="47"/>
      <c r="T5" s="47"/>
    </row>
    <row r="6" spans="1:20" ht="12.75" customHeight="1" x14ac:dyDescent="0.35">
      <c r="A6" s="49">
        <f>'New Vestas G27 60L'!R11</f>
        <v>1.2430677042781166</v>
      </c>
      <c r="B6" s="48">
        <f>'New Vestas G27 60L'!T11</f>
        <v>136.67148235438162</v>
      </c>
      <c r="C6" s="50">
        <f t="shared" si="0"/>
        <v>9.4494783342877531E-2</v>
      </c>
      <c r="D6" s="50">
        <f t="shared" si="0"/>
        <v>2.1356779048519354</v>
      </c>
      <c r="E6" s="51">
        <f t="shared" si="4"/>
        <v>8.9292640790173648E-3</v>
      </c>
      <c r="F6" s="51">
        <f t="shared" si="4"/>
        <v>4.5611201132727528</v>
      </c>
      <c r="G6" s="52">
        <f t="shared" si="5"/>
        <v>0.20181042090915424</v>
      </c>
      <c r="H6" s="59" t="s">
        <v>61</v>
      </c>
      <c r="I6" s="58">
        <f>SUM(F:F)</f>
        <v>718.26581549965545</v>
      </c>
      <c r="J6" s="51">
        <f t="shared" si="6"/>
        <v>1.5857454860417592</v>
      </c>
      <c r="K6" s="51">
        <f t="shared" si="7"/>
        <v>1.9796728515945063</v>
      </c>
      <c r="L6" s="55">
        <f t="shared" si="1"/>
        <v>7.0432182802132974E-3</v>
      </c>
      <c r="M6" s="51">
        <f t="shared" si="2"/>
        <v>1.972629633314293</v>
      </c>
      <c r="N6" s="94">
        <f t="shared" si="8"/>
        <v>38.525251809321517</v>
      </c>
      <c r="O6" s="56">
        <f t="shared" si="9"/>
        <v>95.427347336460699</v>
      </c>
      <c r="P6" s="57">
        <f t="shared" si="3"/>
        <v>93.892225538353145</v>
      </c>
      <c r="R6" s="47"/>
      <c r="S6" s="47"/>
      <c r="T6" s="47"/>
    </row>
    <row r="7" spans="1:20" ht="12.75" customHeight="1" x14ac:dyDescent="0.35">
      <c r="A7" s="49">
        <f>'New Vestas G27 60L'!R12</f>
        <v>1.49168124513374</v>
      </c>
      <c r="B7" s="48">
        <f>'New Vestas G27 60L'!T12</f>
        <v>135.65004499192844</v>
      </c>
      <c r="C7" s="50">
        <f t="shared" si="0"/>
        <v>0.17367602939050236</v>
      </c>
      <c r="D7" s="50">
        <f t="shared" si="0"/>
        <v>2.1324199421429006</v>
      </c>
      <c r="E7" s="51">
        <f t="shared" si="4"/>
        <v>3.016336318485064E-2</v>
      </c>
      <c r="F7" s="51">
        <f t="shared" si="4"/>
        <v>4.5472148096487315</v>
      </c>
      <c r="G7" s="52">
        <f t="shared" si="5"/>
        <v>0.37035022854450378</v>
      </c>
      <c r="H7" s="59" t="s">
        <v>62</v>
      </c>
      <c r="I7" s="58">
        <f>SUM(G:G)</f>
        <v>214.14027570523982</v>
      </c>
      <c r="J7" s="51">
        <f t="shared" si="6"/>
        <v>1.5812538417935709</v>
      </c>
      <c r="K7" s="51">
        <f t="shared" si="7"/>
        <v>1.9801420283433699</v>
      </c>
      <c r="L7" s="55">
        <f t="shared" si="1"/>
        <v>7.0153625447851699E-3</v>
      </c>
      <c r="M7" s="51">
        <f t="shared" si="2"/>
        <v>1.9731266657985849</v>
      </c>
      <c r="N7" s="94">
        <f t="shared" si="8"/>
        <v>38.128861854940368</v>
      </c>
      <c r="O7" s="56">
        <f t="shared" si="9"/>
        <v>95.530495056134143</v>
      </c>
      <c r="P7" s="57">
        <f t="shared" si="3"/>
        <v>93.99974290911662</v>
      </c>
      <c r="R7" s="47"/>
      <c r="S7" s="47"/>
      <c r="T7" s="47"/>
    </row>
    <row r="8" spans="1:20" ht="12.75" customHeight="1" x14ac:dyDescent="0.35">
      <c r="A8" s="49">
        <f>'New Vestas G27 60L'!R13</f>
        <v>1.7402947859893634</v>
      </c>
      <c r="B8" s="48">
        <f>'New Vestas G27 60L'!T13</f>
        <v>134.0449291366449</v>
      </c>
      <c r="C8" s="50">
        <f t="shared" si="0"/>
        <v>0.24062281902111557</v>
      </c>
      <c r="D8" s="50">
        <f t="shared" si="0"/>
        <v>2.1272503894518477</v>
      </c>
      <c r="E8" s="51">
        <f t="shared" si="4"/>
        <v>5.7899341033668533E-2</v>
      </c>
      <c r="F8" s="51">
        <f t="shared" si="4"/>
        <v>4.5251942194230379</v>
      </c>
      <c r="G8" s="52">
        <f t="shared" si="5"/>
        <v>0.51186498547366954</v>
      </c>
      <c r="H8" s="53" t="s">
        <v>63</v>
      </c>
      <c r="I8" s="58">
        <f>+I5-I3^2/$I$2</f>
        <v>28.338521140910771</v>
      </c>
      <c r="J8" s="51">
        <f t="shared" si="6"/>
        <v>1.5767152572976744</v>
      </c>
      <c r="K8" s="51">
        <f t="shared" si="7"/>
        <v>1.98061610825722</v>
      </c>
      <c r="L8" s="55">
        <f t="shared" si="1"/>
        <v>6.9872368316962691E-3</v>
      </c>
      <c r="M8" s="51">
        <f t="shared" si="2"/>
        <v>1.9736288714255237</v>
      </c>
      <c r="N8" s="94">
        <f t="shared" si="8"/>
        <v>37.732471900559233</v>
      </c>
      <c r="O8" s="56">
        <f t="shared" si="9"/>
        <v>95.634833975341465</v>
      </c>
      <c r="P8" s="57">
        <f t="shared" si="3"/>
        <v>94.108504375897411</v>
      </c>
      <c r="R8" s="47"/>
      <c r="S8" s="47"/>
      <c r="T8" s="47"/>
    </row>
    <row r="9" spans="1:20" ht="12.75" customHeight="1" x14ac:dyDescent="0.35">
      <c r="A9" s="49">
        <f>'New Vestas G27 60L'!R14</f>
        <v>1.9889083268449868</v>
      </c>
      <c r="B9" s="48">
        <f>'New Vestas G27 60L'!T14</f>
        <v>131.914502637814</v>
      </c>
      <c r="C9" s="50">
        <f t="shared" si="0"/>
        <v>0.29861476599880232</v>
      </c>
      <c r="D9" s="50">
        <f t="shared" si="0"/>
        <v>2.1202925443662295</v>
      </c>
      <c r="E9" s="51">
        <f t="shared" si="4"/>
        <v>8.9170778472519474E-2</v>
      </c>
      <c r="F9" s="51">
        <f t="shared" si="4"/>
        <v>4.4956404736950191</v>
      </c>
      <c r="G9" s="52">
        <f t="shared" si="5"/>
        <v>0.63315066198492687</v>
      </c>
      <c r="H9" s="59" t="s">
        <v>64</v>
      </c>
      <c r="I9" s="58">
        <f>+I6-I4^2/$I$2</f>
        <v>0.34397930596742299</v>
      </c>
      <c r="J9" s="51">
        <f t="shared" si="6"/>
        <v>1.5721287410786717</v>
      </c>
      <c r="K9" s="51">
        <f t="shared" si="7"/>
        <v>1.981095194901072</v>
      </c>
      <c r="L9" s="55">
        <f t="shared" si="1"/>
        <v>6.9588359244561722E-3</v>
      </c>
      <c r="M9" s="51">
        <f t="shared" si="2"/>
        <v>1.9741363589766159</v>
      </c>
      <c r="N9" s="94">
        <f t="shared" si="8"/>
        <v>37.336081946178105</v>
      </c>
      <c r="O9" s="56">
        <f t="shared" si="9"/>
        <v>95.740390583326302</v>
      </c>
      <c r="P9" s="57">
        <f t="shared" si="3"/>
        <v>94.218537570456633</v>
      </c>
      <c r="R9" s="47"/>
      <c r="S9" s="47"/>
      <c r="T9" s="47"/>
    </row>
    <row r="10" spans="1:20" ht="12.75" customHeight="1" x14ac:dyDescent="0.35">
      <c r="A10" s="49">
        <f>'New Vestas G27 60L'!R15</f>
        <v>2.2375218677006097</v>
      </c>
      <c r="B10" s="48">
        <f>'New Vestas G27 60L'!T15</f>
        <v>128.29569598226558</v>
      </c>
      <c r="C10" s="50">
        <f t="shared" si="0"/>
        <v>0.34976728844618354</v>
      </c>
      <c r="D10" s="50">
        <f t="shared" si="0"/>
        <v>2.108212087064675</v>
      </c>
      <c r="E10" s="51">
        <f t="shared" si="4"/>
        <v>0.12233715606699576</v>
      </c>
      <c r="F10" s="51">
        <f t="shared" si="4"/>
        <v>4.4445582040455927</v>
      </c>
      <c r="G10" s="52">
        <f t="shared" si="5"/>
        <v>0.73738362516208078</v>
      </c>
      <c r="H10" s="59" t="s">
        <v>65</v>
      </c>
      <c r="I10" s="58">
        <f>+I7-I3*I4/$I$2</f>
        <v>-2.9601131527398934</v>
      </c>
      <c r="J10" s="51">
        <f t="shared" si="6"/>
        <v>1.5674932699125428</v>
      </c>
      <c r="K10" s="51">
        <f t="shared" si="7"/>
        <v>1.9815793951562573</v>
      </c>
      <c r="L10" s="55">
        <f t="shared" si="1"/>
        <v>6.9301544569826722E-3</v>
      </c>
      <c r="M10" s="51">
        <f t="shared" si="2"/>
        <v>1.9746492406992746</v>
      </c>
      <c r="N10" s="94">
        <f t="shared" si="8"/>
        <v>36.939691991796941</v>
      </c>
      <c r="O10" s="56">
        <f t="shared" si="9"/>
        <v>95.847192247580978</v>
      </c>
      <c r="P10" s="57">
        <f t="shared" si="3"/>
        <v>94.329871038186965</v>
      </c>
      <c r="R10" s="47"/>
      <c r="S10" s="47"/>
      <c r="T10" s="47"/>
    </row>
    <row r="11" spans="1:20" ht="12.75" customHeight="1" x14ac:dyDescent="0.35">
      <c r="A11" s="49">
        <f>'New Vestas G27 60L'!R16</f>
        <v>2.4861354085562333</v>
      </c>
      <c r="B11" s="48">
        <f>'New Vestas G27 60L'!T16</f>
        <v>118.75255262448876</v>
      </c>
      <c r="C11" s="50">
        <f t="shared" si="0"/>
        <v>0.39552477900685873</v>
      </c>
      <c r="D11" s="50">
        <f t="shared" si="0"/>
        <v>2.0746429536974516</v>
      </c>
      <c r="E11" s="51">
        <f t="shared" si="4"/>
        <v>0.15643985080842443</v>
      </c>
      <c r="F11" s="51">
        <f t="shared" si="4"/>
        <v>4.3041433853264861</v>
      </c>
      <c r="G11" s="52">
        <f t="shared" si="5"/>
        <v>0.82057269577932113</v>
      </c>
      <c r="H11" s="59" t="s">
        <v>66</v>
      </c>
      <c r="I11" s="58">
        <f>+I3/$I$2</f>
        <v>0.62888027884969788</v>
      </c>
      <c r="J11" s="51">
        <f t="shared" si="6"/>
        <v>1.5628077874564861</v>
      </c>
      <c r="K11" s="51">
        <f t="shared" si="7"/>
        <v>1.9820688193635454</v>
      </c>
      <c r="L11" s="55">
        <f t="shared" si="1"/>
        <v>6.9011869079938139E-3</v>
      </c>
      <c r="M11" s="51">
        <f t="shared" si="2"/>
        <v>1.9751676324555516</v>
      </c>
      <c r="N11" s="94">
        <f t="shared" si="8"/>
        <v>36.543302037415827</v>
      </c>
      <c r="O11" s="56">
        <f t="shared" si="9"/>
        <v>95.955267252760223</v>
      </c>
      <c r="P11" s="57">
        <f t="shared" si="3"/>
        <v>94.442534278439311</v>
      </c>
      <c r="R11" s="47"/>
      <c r="S11" s="47"/>
      <c r="T11" s="47"/>
    </row>
    <row r="12" spans="1:20" ht="12.75" customHeight="1" x14ac:dyDescent="0.35">
      <c r="A12" s="49">
        <f>'New Vestas G27 60L'!R17</f>
        <v>2.7347489494118569</v>
      </c>
      <c r="B12" s="48">
        <f>'New Vestas G27 60L'!T17</f>
        <v>117.93540273452622</v>
      </c>
      <c r="C12" s="50">
        <f t="shared" si="0"/>
        <v>0.43691746416508381</v>
      </c>
      <c r="D12" s="50">
        <f t="shared" si="0"/>
        <v>2.0716441944444934</v>
      </c>
      <c r="E12" s="51">
        <f t="shared" si="4"/>
        <v>0.1908968704924473</v>
      </c>
      <c r="F12" s="51">
        <f t="shared" si="4"/>
        <v>4.2917096683755744</v>
      </c>
      <c r="G12" s="52">
        <f t="shared" si="5"/>
        <v>0.90513752808900594</v>
      </c>
      <c r="H12" s="59" t="s">
        <v>67</v>
      </c>
      <c r="I12" s="58">
        <f>+I4/$I$2</f>
        <v>2.0796226432976233</v>
      </c>
      <c r="J12" s="51">
        <f t="shared" si="6"/>
        <v>1.5580712028040355</v>
      </c>
      <c r="K12" s="51">
        <f t="shared" si="7"/>
        <v>1.9825635814740685</v>
      </c>
      <c r="L12" s="55">
        <f t="shared" si="1"/>
        <v>6.8719275951460218E-3</v>
      </c>
      <c r="M12" s="51">
        <f t="shared" si="2"/>
        <v>1.9756916538789224</v>
      </c>
      <c r="N12" s="94">
        <f t="shared" si="8"/>
        <v>36.146912083034685</v>
      </c>
      <c r="O12" s="56">
        <f t="shared" si="9"/>
        <v>96.064644841762643</v>
      </c>
      <c r="P12" s="57">
        <f t="shared" si="3"/>
        <v>94.556557787084898</v>
      </c>
      <c r="R12" s="47"/>
      <c r="S12" s="47"/>
      <c r="T12" s="47"/>
    </row>
    <row r="13" spans="1:20" ht="12.75" customHeight="1" x14ac:dyDescent="0.35">
      <c r="A13" s="49">
        <f>'New Vestas G27 60L'!R18</f>
        <v>0.99445416342249338</v>
      </c>
      <c r="B13" s="48">
        <f>'New Vestas G27 60L'!T18</f>
        <v>140.49363704278807</v>
      </c>
      <c r="C13" s="50">
        <f t="shared" si="0"/>
        <v>-2.4152296651788526E-3</v>
      </c>
      <c r="D13" s="50">
        <f t="shared" si="0"/>
        <v>2.1476566554882024</v>
      </c>
      <c r="E13" s="51">
        <f t="shared" si="4"/>
        <v>5.8333343355599526E-6</v>
      </c>
      <c r="F13" s="51">
        <f t="shared" si="4"/>
        <v>4.612429109862771</v>
      </c>
      <c r="G13" s="52">
        <f t="shared" si="5"/>
        <v>-5.1870840649539058E-3</v>
      </c>
      <c r="H13" s="59" t="s">
        <v>68</v>
      </c>
      <c r="I13" s="60">
        <f>+I10/I8</f>
        <v>-0.10445545616233799</v>
      </c>
      <c r="J13" s="51">
        <f t="shared" si="6"/>
        <v>1.5532823889605172</v>
      </c>
      <c r="K13" s="51">
        <f t="shared" si="7"/>
        <v>1.9830637992085698</v>
      </c>
      <c r="L13" s="55">
        <f t="shared" si="1"/>
        <v>6.8423706689054488E-3</v>
      </c>
      <c r="M13" s="51">
        <f t="shared" si="2"/>
        <v>1.9762214285396644</v>
      </c>
      <c r="N13" s="94">
        <f t="shared" si="8"/>
        <v>35.750522128653536</v>
      </c>
      <c r="O13" s="56">
        <f t="shared" si="9"/>
        <v>96.175355259125837</v>
      </c>
      <c r="P13" s="57">
        <f t="shared" si="3"/>
        <v>94.671973101462982</v>
      </c>
      <c r="R13" s="47"/>
      <c r="S13" s="47"/>
      <c r="T13" s="47"/>
    </row>
    <row r="14" spans="1:20" ht="12.75" customHeight="1" x14ac:dyDescent="0.35">
      <c r="A14" s="49">
        <f>'New Vestas G27 60L'!R19</f>
        <v>1.2430677042781166</v>
      </c>
      <c r="B14" s="48">
        <f>'New Vestas G27 60L'!T19</f>
        <v>139.58684160747444</v>
      </c>
      <c r="C14" s="50">
        <f t="shared" si="0"/>
        <v>9.4494783342877531E-2</v>
      </c>
      <c r="D14" s="50">
        <f t="shared" si="0"/>
        <v>2.1448444807040103</v>
      </c>
      <c r="E14" s="51">
        <f t="shared" si="4"/>
        <v>8.9292640790173648E-3</v>
      </c>
      <c r="F14" s="51">
        <f t="shared" si="4"/>
        <v>4.6003578464064558</v>
      </c>
      <c r="G14" s="52">
        <f t="shared" si="5"/>
        <v>0.20267661450829214</v>
      </c>
      <c r="H14" s="59" t="s">
        <v>69</v>
      </c>
      <c r="I14" s="60">
        <f>+I12-I13*I11</f>
        <v>2.1453126196963668</v>
      </c>
      <c r="J14" s="51">
        <f t="shared" si="6"/>
        <v>1.5484401812335069</v>
      </c>
      <c r="K14" s="51">
        <f t="shared" si="7"/>
        <v>1.9835695942255276</v>
      </c>
      <c r="L14" s="55">
        <f t="shared" si="1"/>
        <v>6.8125101061388416E-3</v>
      </c>
      <c r="M14" s="51">
        <f t="shared" si="2"/>
        <v>1.9767570841193887</v>
      </c>
      <c r="N14" s="94">
        <f t="shared" si="8"/>
        <v>35.354132174272387</v>
      </c>
      <c r="O14" s="56">
        <f t="shared" si="9"/>
        <v>96.287429796892539</v>
      </c>
      <c r="P14" s="57">
        <f t="shared" si="3"/>
        <v>94.788812847874794</v>
      </c>
      <c r="R14" s="47"/>
      <c r="S14" s="47"/>
      <c r="T14" s="47"/>
    </row>
    <row r="15" spans="1:20" ht="12.75" customHeight="1" thickBot="1" x14ac:dyDescent="0.4">
      <c r="A15" s="49">
        <f>'New Vestas G27 60L'!R20</f>
        <v>1.49168124513374</v>
      </c>
      <c r="B15" s="48">
        <f>'New Vestas G27 60L'!T20</f>
        <v>138.62154323923824</v>
      </c>
      <c r="C15" s="50">
        <f t="shared" si="0"/>
        <v>0.17367602939050236</v>
      </c>
      <c r="D15" s="50">
        <f t="shared" si="0"/>
        <v>2.1418307294306733</v>
      </c>
      <c r="E15" s="51">
        <f t="shared" si="4"/>
        <v>3.016336318485064E-2</v>
      </c>
      <c r="F15" s="51">
        <f t="shared" si="4"/>
        <v>4.5874388735335305</v>
      </c>
      <c r="G15" s="52">
        <f t="shared" si="5"/>
        <v>0.37198465671408271</v>
      </c>
      <c r="H15" s="61" t="s">
        <v>70</v>
      </c>
      <c r="I15" s="62">
        <f>+I10^2/(I8*I9)</f>
        <v>0.89889119577113519</v>
      </c>
      <c r="J15" s="51">
        <f t="shared" si="6"/>
        <v>1.5435433755325452</v>
      </c>
      <c r="K15" s="51">
        <f t="shared" si="7"/>
        <v>1.9840810922987597</v>
      </c>
      <c r="L15" s="55">
        <f t="shared" si="1"/>
        <v>6.7823397034096362E-3</v>
      </c>
      <c r="M15" s="51">
        <f t="shared" si="2"/>
        <v>1.97729875259535</v>
      </c>
      <c r="N15" s="94">
        <f t="shared" si="8"/>
        <v>34.957742219891266</v>
      </c>
      <c r="O15" s="56">
        <f t="shared" si="9"/>
        <v>96.400900843118762</v>
      </c>
      <c r="P15" s="57">
        <f t="shared" si="3"/>
        <v>94.907110791799312</v>
      </c>
      <c r="R15" s="47"/>
      <c r="S15" s="47"/>
      <c r="T15" s="47"/>
    </row>
    <row r="16" spans="1:20" ht="12.75" customHeight="1" x14ac:dyDescent="0.35">
      <c r="A16" s="49">
        <f>'New Vestas G27 60L'!R21</f>
        <v>1.7402947859893634</v>
      </c>
      <c r="B16" s="48">
        <f>'New Vestas G27 60L'!T21</f>
        <v>138.1242683093964</v>
      </c>
      <c r="C16" s="50">
        <f t="shared" si="0"/>
        <v>0.24062281902111557</v>
      </c>
      <c r="D16" s="50">
        <f t="shared" si="0"/>
        <v>2.1402699904316598</v>
      </c>
      <c r="E16" s="51">
        <f t="shared" si="4"/>
        <v>5.7899341033668533E-2</v>
      </c>
      <c r="F16" s="51">
        <f t="shared" si="4"/>
        <v>4.5807556319423366</v>
      </c>
      <c r="G16" s="52">
        <f t="shared" si="5"/>
        <v>0.51499779856396199</v>
      </c>
      <c r="H16" s="63" t="s">
        <v>71</v>
      </c>
      <c r="I16" s="64"/>
      <c r="J16" s="51">
        <f t="shared" si="6"/>
        <v>1.5385907265718965</v>
      </c>
      <c r="K16" s="51">
        <f t="shared" si="7"/>
        <v>1.9845984235051564</v>
      </c>
      <c r="L16" s="55">
        <f t="shared" si="1"/>
        <v>6.7518530699642093E-3</v>
      </c>
      <c r="M16" s="51">
        <f t="shared" si="2"/>
        <v>1.9778465704351922</v>
      </c>
      <c r="N16" s="94">
        <f t="shared" si="8"/>
        <v>34.561352265510102</v>
      </c>
      <c r="O16" s="56">
        <f t="shared" si="9"/>
        <v>96.5158019332072</v>
      </c>
      <c r="P16" s="57">
        <f t="shared" si="3"/>
        <v>95.026901891018696</v>
      </c>
      <c r="R16" s="47"/>
      <c r="S16" s="47"/>
      <c r="T16" s="47"/>
    </row>
    <row r="17" spans="1:20" ht="12.75" customHeight="1" x14ac:dyDescent="0.35">
      <c r="A17" s="49">
        <f>'New Vestas G27 60L'!R22</f>
        <v>1.9889083268449868</v>
      </c>
      <c r="B17" s="48">
        <f>'New Vestas G27 60L'!T22</f>
        <v>135.05286440592008</v>
      </c>
      <c r="C17" s="50">
        <f t="shared" si="0"/>
        <v>0.29861476599880232</v>
      </c>
      <c r="D17" s="50">
        <f t="shared" si="0"/>
        <v>2.1305037997970175</v>
      </c>
      <c r="E17" s="51">
        <f t="shared" si="4"/>
        <v>8.9170778472519474E-2</v>
      </c>
      <c r="F17" s="51">
        <f t="shared" si="4"/>
        <v>4.5390464409495301</v>
      </c>
      <c r="G17" s="52">
        <f t="shared" si="5"/>
        <v>0.63619989363594553</v>
      </c>
      <c r="H17" s="53" t="s">
        <v>72</v>
      </c>
      <c r="I17" s="65">
        <f>(+I9-(+I10^2/I8))/($I$2-2)</f>
        <v>2.120691238161034E-4</v>
      </c>
      <c r="J17" s="51">
        <f t="shared" si="6"/>
        <v>1.5335809459696454</v>
      </c>
      <c r="K17" s="51">
        <f>+$I$14+$I$13*J17</f>
        <v>1.9851217224232376</v>
      </c>
      <c r="L17" s="55">
        <f t="shared" si="1"/>
        <v>6.7210436203924721E-3</v>
      </c>
      <c r="M17" s="51">
        <f t="shared" si="2"/>
        <v>1.9784006788028452</v>
      </c>
      <c r="N17" s="94">
        <f t="shared" si="8"/>
        <v>34.16496231112896</v>
      </c>
      <c r="O17" s="56">
        <f t="shared" si="9"/>
        <v>96.632167804264668</v>
      </c>
      <c r="P17" s="57">
        <f t="shared" si="3"/>
        <v>95.148222351856077</v>
      </c>
      <c r="R17" s="47"/>
      <c r="S17" s="47"/>
      <c r="T17" s="47"/>
    </row>
    <row r="18" spans="1:20" ht="12.75" customHeight="1" x14ac:dyDescent="0.35">
      <c r="A18" s="49">
        <f>'New Vestas G27 60L'!R23</f>
        <v>2.2375218677006097</v>
      </c>
      <c r="B18" s="48">
        <f>'New Vestas G27 60L'!T23</f>
        <v>134.17532043706771</v>
      </c>
      <c r="C18" s="50">
        <f t="shared" si="0"/>
        <v>0.34976728844618354</v>
      </c>
      <c r="D18" s="50">
        <f t="shared" si="0"/>
        <v>2.1276726411409932</v>
      </c>
      <c r="E18" s="51">
        <f t="shared" si="4"/>
        <v>0.12233715606699576</v>
      </c>
      <c r="F18" s="51">
        <f t="shared" si="4"/>
        <v>4.5269908678598894</v>
      </c>
      <c r="G18" s="52">
        <f t="shared" si="5"/>
        <v>0.74419029039301499</v>
      </c>
      <c r="H18" s="66" t="s">
        <v>53</v>
      </c>
      <c r="I18" s="67">
        <v>0.95</v>
      </c>
      <c r="J18" s="51">
        <f t="shared" si="6"/>
        <v>1.5285127002358649</v>
      </c>
      <c r="K18" s="51">
        <f t="shared" si="7"/>
        <v>1.9856511283433025</v>
      </c>
      <c r="L18" s="55">
        <f t="shared" si="1"/>
        <v>6.6899045669461905E-3</v>
      </c>
      <c r="M18" s="51">
        <f t="shared" si="2"/>
        <v>1.9789612237763563</v>
      </c>
      <c r="N18" s="94">
        <f t="shared" si="8"/>
        <v>33.768572356747846</v>
      </c>
      <c r="O18" s="56">
        <f t="shared" si="9"/>
        <v>96.750034452700916</v>
      </c>
      <c r="P18" s="57">
        <f t="shared" si="3"/>
        <v>95.271109688748837</v>
      </c>
      <c r="R18" s="47"/>
      <c r="S18" s="47"/>
      <c r="T18" s="47"/>
    </row>
    <row r="19" spans="1:20" ht="12.75" customHeight="1" x14ac:dyDescent="0.35">
      <c r="A19" s="49">
        <f>'New Vestas G27 60L'!R24</f>
        <v>2.7347489494118569</v>
      </c>
      <c r="B19" s="48">
        <f>'New Vestas G27 60L'!T24</f>
        <v>126.80395105123425</v>
      </c>
      <c r="C19" s="50">
        <f t="shared" si="0"/>
        <v>0.43691746416508381</v>
      </c>
      <c r="D19" s="50">
        <f t="shared" si="0"/>
        <v>2.1031327858250162</v>
      </c>
      <c r="E19" s="51">
        <f t="shared" si="4"/>
        <v>0.1908968704924473</v>
      </c>
      <c r="F19" s="51">
        <f t="shared" si="4"/>
        <v>4.4231675148120937</v>
      </c>
      <c r="G19" s="52">
        <f t="shared" si="5"/>
        <v>0.91889544358511444</v>
      </c>
      <c r="H19" s="53" t="s">
        <v>73</v>
      </c>
      <c r="I19" s="68">
        <f>_xlfn.T.INV(1-(1-I18)/2,I2-2)</f>
        <v>1.9745345758584751</v>
      </c>
      <c r="J19" s="51">
        <f t="shared" si="6"/>
        <v>1.5233846086420029</v>
      </c>
      <c r="K19" s="51">
        <f t="shared" si="7"/>
        <v>1.9861867854899815</v>
      </c>
      <c r="L19" s="55">
        <f t="shared" si="1"/>
        <v>6.6584289114976604E-3</v>
      </c>
      <c r="M19" s="51">
        <f t="shared" si="2"/>
        <v>1.9795283565784838</v>
      </c>
      <c r="N19" s="94">
        <f t="shared" si="8"/>
        <v>33.372182402366704</v>
      </c>
      <c r="O19" s="56">
        <f t="shared" si="9"/>
        <v>96.86943919530006</v>
      </c>
      <c r="P19" s="57">
        <f t="shared" si="3"/>
        <v>95.395602787392946</v>
      </c>
      <c r="R19" s="47"/>
      <c r="S19" s="47"/>
      <c r="T19" s="47"/>
    </row>
    <row r="20" spans="1:20" ht="12.75" customHeight="1" x14ac:dyDescent="0.35">
      <c r="A20" s="49">
        <f>'New Vestas G27 60L'!R25</f>
        <v>2.98336249026748</v>
      </c>
      <c r="B20" s="48">
        <f>'New Vestas G27 60L'!T25</f>
        <v>124.2298220526136</v>
      </c>
      <c r="C20" s="50">
        <f t="shared" si="0"/>
        <v>0.47470602505448356</v>
      </c>
      <c r="D20" s="50">
        <f t="shared" si="0"/>
        <v>2.0942258631370101</v>
      </c>
      <c r="E20" s="51">
        <f t="shared" si="4"/>
        <v>0.22534581022302796</v>
      </c>
      <c r="F20" s="51">
        <f t="shared" si="4"/>
        <v>4.3857819658319546</v>
      </c>
      <c r="G20" s="52">
        <f t="shared" si="5"/>
        <v>0.99414163505606501</v>
      </c>
      <c r="H20" s="53" t="s">
        <v>74</v>
      </c>
      <c r="I20" s="68">
        <f>_xlfn.F.INV(I18,2,I2-2)</f>
        <v>3.0511268205901674</v>
      </c>
      <c r="J20" s="51">
        <f t="shared" si="6"/>
        <v>1.5181952409629682</v>
      </c>
      <c r="K20" s="51">
        <f t="shared" si="7"/>
        <v>1.9867288432580894</v>
      </c>
      <c r="L20" s="55">
        <f t="shared" si="1"/>
        <v>6.6266094371205155E-3</v>
      </c>
      <c r="M20" s="51">
        <f t="shared" si="2"/>
        <v>1.9801022338209688</v>
      </c>
      <c r="N20" s="94">
        <f t="shared" si="8"/>
        <v>32.975792447985548</v>
      </c>
      <c r="O20" s="56">
        <f t="shared" si="9"/>
        <v>96.990420734020717</v>
      </c>
      <c r="P20" s="57">
        <f t="shared" si="3"/>
        <v>95.52174197172063</v>
      </c>
      <c r="R20" s="47"/>
      <c r="S20" s="47"/>
      <c r="T20" s="47"/>
    </row>
    <row r="21" spans="1:20" ht="12.75" customHeight="1" x14ac:dyDescent="0.35">
      <c r="A21" s="49">
        <f>'New Vestas G27 60L'!R26</f>
        <v>1.2430677042781166</v>
      </c>
      <c r="B21" s="48">
        <f>'New Vestas G27 60L'!T26</f>
        <v>144.49728289345654</v>
      </c>
      <c r="C21" s="50">
        <f t="shared" si="0"/>
        <v>9.4494783342877531E-2</v>
      </c>
      <c r="D21" s="50">
        <f t="shared" si="0"/>
        <v>2.1598596807571133</v>
      </c>
      <c r="E21" s="51">
        <f t="shared" si="4"/>
        <v>8.9292640790173648E-3</v>
      </c>
      <c r="F21" s="51">
        <f t="shared" si="4"/>
        <v>4.6649938405602196</v>
      </c>
      <c r="G21" s="52">
        <f t="shared" si="5"/>
        <v>0.20409547258416005</v>
      </c>
      <c r="H21" s="53" t="s">
        <v>75</v>
      </c>
      <c r="I21" s="68">
        <f>I19*SQRT(I17)*(($I$8)^(-1/2))</f>
        <v>5.4015061229759805E-3</v>
      </c>
      <c r="J21" s="51">
        <f t="shared" si="6"/>
        <v>1.5129431150826793</v>
      </c>
      <c r="K21" s="51">
        <f t="shared" si="7"/>
        <v>1.9872774564627369</v>
      </c>
      <c r="L21" s="55">
        <f t="shared" si="1"/>
        <v>6.5944386992736357E-3</v>
      </c>
      <c r="M21" s="51">
        <f t="shared" si="2"/>
        <v>1.9806830177634633</v>
      </c>
      <c r="N21" s="94">
        <f t="shared" si="8"/>
        <v>32.579402493604412</v>
      </c>
      <c r="O21" s="56">
        <f t="shared" si="9"/>
        <v>97.113019224797767</v>
      </c>
      <c r="P21" s="57">
        <f t="shared" si="3"/>
        <v>95.649569074989486</v>
      </c>
      <c r="R21" s="47"/>
      <c r="S21" s="47"/>
      <c r="T21" s="47"/>
    </row>
    <row r="22" spans="1:20" ht="12.75" customHeight="1" thickBot="1" x14ac:dyDescent="0.4">
      <c r="A22" s="49">
        <f>'New Vestas G27 60L'!R27</f>
        <v>1.49168124513374</v>
      </c>
      <c r="B22" s="48">
        <f>'New Vestas G27 60L'!T27</f>
        <v>139.66875925554606</v>
      </c>
      <c r="C22" s="50">
        <f t="shared" si="0"/>
        <v>0.17367602939050236</v>
      </c>
      <c r="D22" s="50">
        <f t="shared" si="0"/>
        <v>2.1450992751177198</v>
      </c>
      <c r="E22" s="51">
        <f t="shared" si="4"/>
        <v>3.016336318485064E-2</v>
      </c>
      <c r="F22" s="51">
        <f t="shared" si="4"/>
        <v>4.6014509001105672</v>
      </c>
      <c r="G22" s="52">
        <f t="shared" si="5"/>
        <v>0.3725523247508904</v>
      </c>
      <c r="H22" s="61" t="s">
        <v>76</v>
      </c>
      <c r="I22" s="69">
        <f>I19*SQRT(I17)*(1/I2+I11^2/I8)^(1/2)</f>
        <v>4.0644472181036104E-3</v>
      </c>
      <c r="J22" s="51">
        <f t="shared" si="6"/>
        <v>1.5076266944530421</v>
      </c>
      <c r="K22" s="51">
        <f t="shared" si="7"/>
        <v>1.9878327856047564</v>
      </c>
      <c r="L22" s="55">
        <f t="shared" si="1"/>
        <v>6.5619090165682775E-3</v>
      </c>
      <c r="M22" s="51">
        <f t="shared" si="2"/>
        <v>1.9812708765881881</v>
      </c>
      <c r="N22" s="94">
        <f t="shared" si="8"/>
        <v>32.183012539223263</v>
      </c>
      <c r="O22" s="56">
        <f t="shared" si="9"/>
        <v>97.237276350647505</v>
      </c>
      <c r="P22" s="57">
        <f t="shared" si="3"/>
        <v>95.779127515291179</v>
      </c>
      <c r="R22" s="47"/>
      <c r="S22" s="47"/>
      <c r="T22" s="47"/>
    </row>
    <row r="23" spans="1:20" ht="12.75" customHeight="1" x14ac:dyDescent="0.35">
      <c r="A23" s="49">
        <f>'New Vestas G27 60L'!R28</f>
        <v>1.7402947859893634</v>
      </c>
      <c r="B23" s="48">
        <f>'New Vestas G27 60L'!T28</f>
        <v>134.05011356779568</v>
      </c>
      <c r="C23" s="50">
        <f t="shared" si="0"/>
        <v>0.24062281902111557</v>
      </c>
      <c r="D23" s="50">
        <f t="shared" si="0"/>
        <v>2.1272671862550872</v>
      </c>
      <c r="E23" s="51">
        <f t="shared" si="4"/>
        <v>5.7899341033668533E-2</v>
      </c>
      <c r="F23" s="51">
        <f t="shared" si="4"/>
        <v>4.5252656817176353</v>
      </c>
      <c r="G23" s="52">
        <f t="shared" si="5"/>
        <v>0.51186902716781557</v>
      </c>
      <c r="H23" s="63" t="s">
        <v>77</v>
      </c>
      <c r="I23" s="70"/>
      <c r="J23" s="51">
        <f t="shared" si="6"/>
        <v>1.5022443853954661</v>
      </c>
      <c r="K23" s="51">
        <f t="shared" si="7"/>
        <v>1.9883949971525723</v>
      </c>
      <c r="L23" s="55">
        <f t="shared" si="1"/>
        <v>6.5290124610977883E-3</v>
      </c>
      <c r="M23" s="51">
        <f t="shared" si="2"/>
        <v>1.9818659846914746</v>
      </c>
      <c r="N23" s="94">
        <f t="shared" si="8"/>
        <v>31.786622584842132</v>
      </c>
      <c r="O23" s="56">
        <f t="shared" si="9"/>
        <v>97.363235399399812</v>
      </c>
      <c r="P23" s="57">
        <f t="shared" si="3"/>
        <v>95.910462375810241</v>
      </c>
      <c r="R23" s="47"/>
      <c r="S23" s="47"/>
      <c r="T23" s="47"/>
    </row>
    <row r="24" spans="1:20" ht="12.75" customHeight="1" x14ac:dyDescent="0.35">
      <c r="A24" s="49">
        <f>'New Vestas G27 60L'!R29</f>
        <v>1.9889083268449868</v>
      </c>
      <c r="B24" s="48">
        <f>'New Vestas G27 60L'!T29</f>
        <v>133.2599915179558</v>
      </c>
      <c r="C24" s="50">
        <f t="shared" si="0"/>
        <v>0.29861476599880232</v>
      </c>
      <c r="D24" s="50">
        <f t="shared" si="0"/>
        <v>2.1246997812891255</v>
      </c>
      <c r="E24" s="51">
        <f t="shared" si="4"/>
        <v>8.9170778472519474E-2</v>
      </c>
      <c r="F24" s="51">
        <f t="shared" si="4"/>
        <v>4.5143491606100579</v>
      </c>
      <c r="G24" s="52">
        <f t="shared" si="5"/>
        <v>0.6344667280073587</v>
      </c>
      <c r="H24" s="66" t="s">
        <v>78</v>
      </c>
      <c r="I24" s="71">
        <f>10^(MAX(C:C))</f>
        <v>40.110811626846065</v>
      </c>
      <c r="J24" s="51">
        <f t="shared" si="6"/>
        <v>1.4967945342330518</v>
      </c>
      <c r="K24" s="51">
        <f t="shared" si="7"/>
        <v>1.9889642638417591</v>
      </c>
      <c r="L24" s="55">
        <f t="shared" si="1"/>
        <v>6.4957408483083678E-3</v>
      </c>
      <c r="M24" s="51">
        <f t="shared" si="2"/>
        <v>1.9824685229934507</v>
      </c>
      <c r="N24" s="94">
        <f t="shared" si="8"/>
        <v>31.390232630460993</v>
      </c>
      <c r="O24" s="56">
        <f t="shared" si="9"/>
        <v>97.490941346413152</v>
      </c>
      <c r="P24" s="57">
        <f t="shared" si="3"/>
        <v>96.043620490194002</v>
      </c>
      <c r="R24" s="47"/>
      <c r="S24" s="47"/>
      <c r="T24" s="47"/>
    </row>
    <row r="25" spans="1:20" ht="12.75" customHeight="1" thickBot="1" x14ac:dyDescent="0.4">
      <c r="A25" s="49">
        <f>'New Vestas G27 60L'!R30</f>
        <v>2.2375218677006097</v>
      </c>
      <c r="B25" s="48">
        <f>'New Vestas G27 60L'!T30</f>
        <v>131.35784584241532</v>
      </c>
      <c r="C25" s="50">
        <f t="shared" si="0"/>
        <v>0.34976728844618354</v>
      </c>
      <c r="D25" s="50">
        <f t="shared" si="0"/>
        <v>2.118456017771535</v>
      </c>
      <c r="E25" s="51">
        <f t="shared" si="4"/>
        <v>0.12233715606699576</v>
      </c>
      <c r="F25" s="51">
        <f t="shared" si="4"/>
        <v>4.4878558992324304</v>
      </c>
      <c r="G25" s="52">
        <f t="shared" si="5"/>
        <v>0.74096661702844979</v>
      </c>
      <c r="H25" s="72" t="s">
        <v>79</v>
      </c>
      <c r="I25" s="73">
        <f>10^(MIN(C:C))</f>
        <v>0.47181618873205894</v>
      </c>
      <c r="J25" s="51">
        <f t="shared" si="6"/>
        <v>1.4912754242405462</v>
      </c>
      <c r="K25" s="51">
        <f t="shared" si="7"/>
        <v>1.9895407649936363</v>
      </c>
      <c r="L25" s="55">
        <f t="shared" si="1"/>
        <v>6.4620857263886691E-3</v>
      </c>
      <c r="M25" s="51">
        <f t="shared" si="2"/>
        <v>1.9830786792672477</v>
      </c>
      <c r="N25" s="94">
        <f t="shared" si="8"/>
        <v>30.993842676079861</v>
      </c>
      <c r="O25" s="56">
        <f t="shared" si="9"/>
        <v>97.620440942659471</v>
      </c>
      <c r="P25" s="57">
        <f t="shared" si="3"/>
        <v>96.178650533429391</v>
      </c>
      <c r="R25" s="47"/>
      <c r="S25" s="47"/>
      <c r="T25" s="47"/>
    </row>
    <row r="26" spans="1:20" ht="12.75" customHeight="1" x14ac:dyDescent="0.35">
      <c r="A26" s="49">
        <f>'New Vestas G27 60L'!R31</f>
        <v>2.4861354085562333</v>
      </c>
      <c r="B26" s="48">
        <f>'New Vestas G27 60L'!T31</f>
        <v>127.55355449133431</v>
      </c>
      <c r="C26" s="50">
        <f t="shared" si="0"/>
        <v>0.39552477900685873</v>
      </c>
      <c r="D26" s="50">
        <f t="shared" si="0"/>
        <v>2.1056925654504224</v>
      </c>
      <c r="E26" s="51">
        <f t="shared" si="4"/>
        <v>0.15643985080842443</v>
      </c>
      <c r="F26" s="51">
        <f t="shared" si="4"/>
        <v>4.4339411801931812</v>
      </c>
      <c r="G26" s="52">
        <f t="shared" si="5"/>
        <v>0.83285358660616371</v>
      </c>
      <c r="H26" s="63" t="s">
        <v>80</v>
      </c>
      <c r="I26" s="70"/>
      <c r="J26" s="51">
        <f t="shared" si="6"/>
        <v>1.4856852723979845</v>
      </c>
      <c r="K26" s="51">
        <f t="shared" si="7"/>
        <v>1.9901246868543678</v>
      </c>
      <c r="L26" s="55">
        <f t="shared" si="1"/>
        <v>6.4280383651552381E-3</v>
      </c>
      <c r="M26" s="51">
        <f t="shared" si="2"/>
        <v>1.9836966484892127</v>
      </c>
      <c r="N26" s="94">
        <f t="shared" si="8"/>
        <v>30.597452721698716</v>
      </c>
      <c r="O26" s="56">
        <f t="shared" si="9"/>
        <v>97.751782808600353</v>
      </c>
      <c r="P26" s="57">
        <f t="shared" si="3"/>
        <v>96.315603118654366</v>
      </c>
      <c r="R26" s="47" t="s">
        <v>81</v>
      </c>
      <c r="S26" s="47"/>
      <c r="T26" s="47"/>
    </row>
    <row r="27" spans="1:20" ht="12.75" customHeight="1" x14ac:dyDescent="0.35">
      <c r="A27" s="49">
        <f>'New Vestas G27 60L'!R32</f>
        <v>4.0474201093863513</v>
      </c>
      <c r="B27" s="48">
        <f>'New Vestas G27 60L'!T32</f>
        <v>121.45685861059646</v>
      </c>
      <c r="C27" s="50">
        <f t="shared" si="0"/>
        <v>0.60717828512273364</v>
      </c>
      <c r="D27" s="50">
        <f t="shared" si="0"/>
        <v>2.0844220442348695</v>
      </c>
      <c r="E27" s="51">
        <f t="shared" si="4"/>
        <v>0.36866546992458366</v>
      </c>
      <c r="F27" s="51">
        <f t="shared" si="4"/>
        <v>4.3448152584922726</v>
      </c>
      <c r="G27" s="52">
        <f t="shared" si="5"/>
        <v>1.265615802290551</v>
      </c>
      <c r="H27" s="53" t="str">
        <f>"m lower " &amp; TEXT(I18,"##%") &amp; " conf"</f>
        <v>m lower 95% conf</v>
      </c>
      <c r="I27" s="74">
        <f>-I13-I21</f>
        <v>9.9053950039362015E-2</v>
      </c>
      <c r="J27" s="51">
        <f t="shared" si="6"/>
        <v>1.4800222259326634</v>
      </c>
      <c r="K27" s="51">
        <f t="shared" si="7"/>
        <v>1.9907162229561717</v>
      </c>
      <c r="L27" s="55">
        <f t="shared" si="1"/>
        <v>6.3935897444102234E-3</v>
      </c>
      <c r="M27" s="51">
        <f t="shared" si="2"/>
        <v>1.9843226332117614</v>
      </c>
      <c r="N27" s="94">
        <f t="shared" si="8"/>
        <v>30.201062767317563</v>
      </c>
      <c r="O27" s="56">
        <f t="shared" si="9"/>
        <v>97.885017534316518</v>
      </c>
      <c r="P27" s="57">
        <f t="shared" si="3"/>
        <v>96.454530900373655</v>
      </c>
      <c r="R27" s="47"/>
      <c r="S27" s="47"/>
      <c r="T27" s="47"/>
    </row>
    <row r="28" spans="1:20" ht="12.75" customHeight="1" x14ac:dyDescent="0.35">
      <c r="A28" s="49">
        <f>'New Vestas G27 60L'!R33</f>
        <v>4.6701001262150204</v>
      </c>
      <c r="B28" s="48">
        <f>'New Vestas G27 60L'!T33</f>
        <v>118.50686190062923</v>
      </c>
      <c r="C28" s="50">
        <f t="shared" si="0"/>
        <v>0.66932619187157816</v>
      </c>
      <c r="D28" s="50">
        <f t="shared" si="0"/>
        <v>2.0737434980195326</v>
      </c>
      <c r="E28" s="51">
        <f t="shared" si="4"/>
        <v>0.44799755112530865</v>
      </c>
      <c r="F28" s="51">
        <f t="shared" si="4"/>
        <v>4.3004120955782872</v>
      </c>
      <c r="G28" s="52">
        <f t="shared" si="5"/>
        <v>1.3880108384478593</v>
      </c>
      <c r="H28" s="75" t="s">
        <v>82</v>
      </c>
      <c r="I28" s="76">
        <f>-I13</f>
        <v>0.10445545616233799</v>
      </c>
      <c r="J28" s="51">
        <f t="shared" si="6"/>
        <v>1.4742843586326597</v>
      </c>
      <c r="K28" s="51">
        <f t="shared" si="7"/>
        <v>1.9913155745023925</v>
      </c>
      <c r="L28" s="55">
        <f t="shared" si="1"/>
        <v>6.3587305417471679E-3</v>
      </c>
      <c r="M28" s="51">
        <f t="shared" si="2"/>
        <v>1.9849568439606453</v>
      </c>
      <c r="N28" s="94">
        <f t="shared" si="8"/>
        <v>29.804672812936445</v>
      </c>
      <c r="O28" s="56">
        <f t="shared" si="9"/>
        <v>98.020197786394661</v>
      </c>
      <c r="P28" s="57">
        <f t="shared" si="3"/>
        <v>96.595488684592326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60L'!R34</f>
        <v>4.9814401346293558</v>
      </c>
      <c r="B29" s="48">
        <f>'New Vestas G27 60L'!T34</f>
        <v>114.45975897621136</v>
      </c>
      <c r="C29" s="50">
        <f t="shared" si="0"/>
        <v>0.69735491547182171</v>
      </c>
      <c r="D29" s="50">
        <f t="shared" si="0"/>
        <v>2.0586528270571542</v>
      </c>
      <c r="E29" s="51">
        <f t="shared" si="4"/>
        <v>0.48630387813271159</v>
      </c>
      <c r="F29" s="51">
        <f t="shared" si="4"/>
        <v>4.2380514623504135</v>
      </c>
      <c r="G29" s="52">
        <f t="shared" si="5"/>
        <v>1.4356116681982687</v>
      </c>
      <c r="H29" s="77" t="str">
        <f>"m upper " &amp; TEXT(I18,"##%") &amp; " conf"</f>
        <v>m upper 95% conf</v>
      </c>
      <c r="I29" s="74">
        <f>-I13+I21</f>
        <v>0.10985696228531397</v>
      </c>
      <c r="J29" s="51">
        <f>LOG($I$24+($I$25-$I$24)*(ROW()-2)/100)</f>
        <v>1.4684696669135437</v>
      </c>
      <c r="K29" s="51">
        <f t="shared" si="7"/>
        <v>1.991922950778356</v>
      </c>
      <c r="L29" s="55">
        <f t="shared" si="1"/>
        <v>6.3234511197803531E-3</v>
      </c>
      <c r="M29" s="51">
        <f t="shared" si="2"/>
        <v>1.9855994996585757</v>
      </c>
      <c r="N29" s="94">
        <f t="shared" si="8"/>
        <v>29.408282858555292</v>
      </c>
      <c r="O29" s="56">
        <f t="shared" si="9"/>
        <v>98.157378422125802</v>
      </c>
      <c r="P29" s="57">
        <f t="shared" si="3"/>
        <v>96.738533546426524</v>
      </c>
      <c r="R29" s="47"/>
      <c r="S29" s="47"/>
      <c r="T29" s="47"/>
    </row>
    <row r="30" spans="1:20" ht="12.75" customHeight="1" x14ac:dyDescent="0.35">
      <c r="A30" s="49">
        <f>'New Vestas G27 60L'!R35</f>
        <v>7.1608201935296982</v>
      </c>
      <c r="B30" s="48">
        <f>'New Vestas G27 60L'!T35</f>
        <v>112.43620751400243</v>
      </c>
      <c r="C30" s="50">
        <f t="shared" si="0"/>
        <v>0.85496276883348976</v>
      </c>
      <c r="D30" s="50">
        <f t="shared" si="0"/>
        <v>2.0509061883804511</v>
      </c>
      <c r="E30" s="51">
        <f t="shared" si="4"/>
        <v>0.73096133609142722</v>
      </c>
      <c r="F30" s="51">
        <f t="shared" si="4"/>
        <v>4.2062161935372302</v>
      </c>
      <c r="G30" s="52">
        <f t="shared" si="5"/>
        <v>1.7534484334354892</v>
      </c>
      <c r="H30" s="77" t="str">
        <f>"C lower " &amp; TEXT(I18,"##%") &amp; " conf"</f>
        <v>C lower 95% conf</v>
      </c>
      <c r="I30" s="78">
        <f>10^(I14-I22)</f>
        <v>138.43572276597482</v>
      </c>
      <c r="J30" s="51">
        <f t="shared" si="6"/>
        <v>1.4625760656181916</v>
      </c>
      <c r="K30" s="51">
        <f t="shared" si="7"/>
        <v>1.992538569590101</v>
      </c>
      <c r="L30" s="55">
        <f t="shared" si="1"/>
        <v>6.2877415127729772E-3</v>
      </c>
      <c r="M30" s="51">
        <f t="shared" si="2"/>
        <v>1.9862508280773281</v>
      </c>
      <c r="N30" s="94">
        <f t="shared" si="8"/>
        <v>29.011892904174147</v>
      </c>
      <c r="O30" s="56">
        <f t="shared" si="9"/>
        <v>98.296616611619029</v>
      </c>
      <c r="P30" s="57">
        <f t="shared" si="3"/>
        <v>96.883724955807438</v>
      </c>
      <c r="R30" s="47"/>
      <c r="S30" s="47"/>
      <c r="T30" s="47"/>
    </row>
    <row r="31" spans="1:20" ht="12.75" customHeight="1" x14ac:dyDescent="0.35">
      <c r="A31" s="49">
        <f>'New Vestas G27 60L'!R36</f>
        <v>3.4247400925576819</v>
      </c>
      <c r="B31" s="48">
        <f>'New Vestas G27 60L'!T36</f>
        <v>122.86867301238763</v>
      </c>
      <c r="C31" s="50">
        <f t="shared" si="0"/>
        <v>0.53462761797412195</v>
      </c>
      <c r="D31" s="50">
        <f t="shared" si="0"/>
        <v>2.0894411678977485</v>
      </c>
      <c r="E31" s="51">
        <f t="shared" si="4"/>
        <v>0.28582668990068366</v>
      </c>
      <c r="F31" s="51">
        <f t="shared" si="4"/>
        <v>4.3657643941059074</v>
      </c>
      <c r="G31" s="52">
        <f t="shared" si="5"/>
        <v>1.1170729544902407</v>
      </c>
      <c r="H31" s="75" t="s">
        <v>83</v>
      </c>
      <c r="I31" s="79">
        <f>10^I14</f>
        <v>139.73738755724955</v>
      </c>
      <c r="J31" s="51">
        <f t="shared" si="6"/>
        <v>1.4566013835276579</v>
      </c>
      <c r="K31" s="51">
        <f t="shared" si="7"/>
        <v>1.9931626577332926</v>
      </c>
      <c r="L31" s="55">
        <f t="shared" si="1"/>
        <v>6.2515914126393549E-3</v>
      </c>
      <c r="M31" s="51">
        <f t="shared" si="2"/>
        <v>1.9869110663206533</v>
      </c>
      <c r="N31" s="94">
        <f t="shared" si="8"/>
        <v>28.615502949793008</v>
      </c>
      <c r="O31" s="56">
        <f t="shared" si="9"/>
        <v>98.437971968498047</v>
      </c>
      <c r="P31" s="57">
        <f t="shared" si="3"/>
        <v>97.031124911952418</v>
      </c>
      <c r="R31" s="47"/>
      <c r="S31" s="47"/>
      <c r="T31" s="47"/>
    </row>
    <row r="32" spans="1:20" ht="12.75" customHeight="1" thickBot="1" x14ac:dyDescent="0.4">
      <c r="A32" s="49">
        <f>'New Vestas G27 60L'!R37</f>
        <v>3.7360801009720164</v>
      </c>
      <c r="B32" s="48">
        <f>'New Vestas G27 60L'!T37</f>
        <v>120.50280576371755</v>
      </c>
      <c r="C32" s="50">
        <f t="shared" si="0"/>
        <v>0.5724161788635217</v>
      </c>
      <c r="D32" s="50">
        <f t="shared" si="0"/>
        <v>2.0809971590562313</v>
      </c>
      <c r="E32" s="51">
        <f t="shared" si="4"/>
        <v>0.32766028182471524</v>
      </c>
      <c r="F32" s="51">
        <f t="shared" si="4"/>
        <v>4.3305491760001056</v>
      </c>
      <c r="G32" s="52">
        <f t="shared" si="5"/>
        <v>1.1911964420128123</v>
      </c>
      <c r="H32" s="61" t="str">
        <f>"C upper " &amp; TEXT(I18,"##%") &amp; " conf"</f>
        <v>C upper 95% conf</v>
      </c>
      <c r="I32" s="80">
        <f>10^(I14+I22)</f>
        <v>141.05129146712031</v>
      </c>
      <c r="J32" s="51">
        <f t="shared" si="6"/>
        <v>1.4505433585589289</v>
      </c>
      <c r="K32" s="51">
        <f t="shared" si="7"/>
        <v>1.9937954514948442</v>
      </c>
      <c r="L32" s="55">
        <f t="shared" si="1"/>
        <v>6.214990154296789E-3</v>
      </c>
      <c r="M32" s="51">
        <f t="shared" si="2"/>
        <v>1.9875804613405474</v>
      </c>
      <c r="N32" s="94">
        <f t="shared" si="8"/>
        <v>28.219112995411866</v>
      </c>
      <c r="O32" s="56">
        <f t="shared" si="9"/>
        <v>98.581506689910839</v>
      </c>
      <c r="P32" s="57">
        <f t="shared" si="3"/>
        <v>97.180798087342708</v>
      </c>
      <c r="R32" s="47"/>
      <c r="S32" s="47"/>
      <c r="T32" s="47"/>
    </row>
    <row r="33" spans="1:20" ht="12.75" customHeight="1" x14ac:dyDescent="0.35">
      <c r="A33" s="49">
        <f>'New Vestas G27 60L'!R38</f>
        <v>4.0474201093863513</v>
      </c>
      <c r="B33" s="48">
        <f>'New Vestas G27 60L'!T38</f>
        <v>119.69792309148957</v>
      </c>
      <c r="C33" s="50">
        <f t="shared" si="0"/>
        <v>0.60717828512273364</v>
      </c>
      <c r="D33" s="50">
        <f t="shared" si="0"/>
        <v>2.078086614919938</v>
      </c>
      <c r="E33" s="51">
        <f t="shared" si="4"/>
        <v>0.36866546992458366</v>
      </c>
      <c r="F33" s="51">
        <f t="shared" si="4"/>
        <v>4.3184439791094062</v>
      </c>
      <c r="G33" s="52">
        <f t="shared" si="5"/>
        <v>1.2617690671835944</v>
      </c>
      <c r="H33" s="63" t="s">
        <v>84</v>
      </c>
      <c r="I33" s="81"/>
      <c r="J33" s="51">
        <f t="shared" si="6"/>
        <v>1.4443996326229749</v>
      </c>
      <c r="K33" s="51">
        <f t="shared" si="7"/>
        <v>1.9944371971900205</v>
      </c>
      <c r="L33" s="55">
        <f t="shared" si="1"/>
        <v>6.1779267003433712E-3</v>
      </c>
      <c r="M33" s="51">
        <f t="shared" si="2"/>
        <v>1.9882592704896771</v>
      </c>
      <c r="N33" s="94">
        <f t="shared" si="8"/>
        <v>27.822723041030731</v>
      </c>
      <c r="O33" s="56">
        <f t="shared" si="9"/>
        <v>98.727285706657611</v>
      </c>
      <c r="P33" s="57">
        <f t="shared" si="3"/>
        <v>97.332811982022903</v>
      </c>
      <c r="R33" s="47"/>
      <c r="S33" s="47"/>
      <c r="T33" s="47"/>
    </row>
    <row r="34" spans="1:20" ht="12.75" customHeight="1" thickBot="1" x14ac:dyDescent="0.4">
      <c r="A34" s="49">
        <f>'New Vestas G27 60L'!R39</f>
        <v>4.3587601178006858</v>
      </c>
      <c r="B34" s="48">
        <f>'New Vestas G27 60L'!T39</f>
        <v>116.28326933052243</v>
      </c>
      <c r="C34" s="50">
        <f t="shared" si="0"/>
        <v>0.63936296849413488</v>
      </c>
      <c r="D34" s="50">
        <f t="shared" si="0"/>
        <v>2.0655172335580176</v>
      </c>
      <c r="E34" s="51">
        <f t="shared" si="4"/>
        <v>0.4087850054816321</v>
      </c>
      <c r="F34" s="51">
        <f t="shared" si="4"/>
        <v>4.2663614421251665</v>
      </c>
      <c r="G34" s="52">
        <f t="shared" si="5"/>
        <v>1.3206152299234475</v>
      </c>
      <c r="H34" s="82" t="str">
        <f>"G27 Fit: S = " &amp; TEXT(I31,"0,00 E+00 ") &amp; " * N ^ -" &amp; TEXT(I28,"0,00")</f>
        <v>G27 Fit: S = 140 E+00  * N ^ -000</v>
      </c>
      <c r="I34" s="62"/>
      <c r="J34" s="51">
        <f t="shared" si="6"/>
        <v>1.4381677461138511</v>
      </c>
      <c r="K34" s="51">
        <f t="shared" si="7"/>
        <v>1.995088151738083</v>
      </c>
      <c r="L34" s="55">
        <f t="shared" si="1"/>
        <v>6.1403896250391988E-3</v>
      </c>
      <c r="M34" s="51">
        <f t="shared" si="2"/>
        <v>1.9889477621130438</v>
      </c>
      <c r="N34" s="94">
        <f t="shared" si="8"/>
        <v>27.426333086649588</v>
      </c>
      <c r="O34" s="56">
        <f t="shared" si="9"/>
        <v>98.875376844324165</v>
      </c>
      <c r="P34" s="57">
        <f t="shared" si="3"/>
        <v>97.487237089118167</v>
      </c>
      <c r="R34" s="47"/>
      <c r="S34" s="47"/>
      <c r="T34" s="47"/>
    </row>
    <row r="35" spans="1:20" ht="12.75" customHeight="1" thickBot="1" x14ac:dyDescent="0.4">
      <c r="A35" s="49">
        <f>'New Vestas G27 60L'!R40</f>
        <v>4.6701001262150204</v>
      </c>
      <c r="B35" s="48">
        <f>'New Vestas G27 60L'!T40</f>
        <v>112.50275980945165</v>
      </c>
      <c r="C35" s="50">
        <f t="shared" si="0"/>
        <v>0.66932619187157816</v>
      </c>
      <c r="D35" s="50">
        <f t="shared" si="0"/>
        <v>2.0511631762724014</v>
      </c>
      <c r="E35" s="51">
        <f t="shared" si="4"/>
        <v>0.44799755112530865</v>
      </c>
      <c r="F35" s="51">
        <f t="shared" si="4"/>
        <v>4.2072703756958862</v>
      </c>
      <c r="G35" s="52">
        <f t="shared" si="5"/>
        <v>1.3728972376816171</v>
      </c>
      <c r="H35" s="82" t="str">
        <f>"G27 Fit: N = " &amp; TEXT((1/I31)^(-1/I28),"0,00 E+00 ") &amp; " * S ^ -" &amp; TEXT(1/I28,"0,00")</f>
        <v>G27 Fit: N = 003 E+20  * S ^ -010</v>
      </c>
      <c r="I35" s="84"/>
      <c r="J35" s="51">
        <f t="shared" si="6"/>
        <v>1.4318451319966168</v>
      </c>
      <c r="K35" s="51">
        <f t="shared" si="7"/>
        <v>1.9957485832798372</v>
      </c>
      <c r="L35" s="55">
        <f t="shared" si="1"/>
        <v>6.1023670975702817E-3</v>
      </c>
      <c r="M35" s="51">
        <f t="shared" si="2"/>
        <v>1.989646216182267</v>
      </c>
      <c r="N35" s="94">
        <f t="shared" si="8"/>
        <v>27.029943132268446</v>
      </c>
      <c r="O35" s="56">
        <f t="shared" si="9"/>
        <v>99.025850996399285</v>
      </c>
      <c r="P35" s="57">
        <f t="shared" si="3"/>
        <v>97.644147072555825</v>
      </c>
      <c r="R35" s="47"/>
      <c r="S35" s="47"/>
      <c r="T35" s="47"/>
    </row>
    <row r="36" spans="1:20" ht="12.75" customHeight="1" x14ac:dyDescent="0.35">
      <c r="A36" s="49">
        <f>'New Vestas G27 60L'!R41</f>
        <v>6.2268001682866947</v>
      </c>
      <c r="B36" s="48">
        <f>'New Vestas G27 60L'!T41</f>
        <v>110.77104254496116</v>
      </c>
      <c r="C36" s="50">
        <f t="shared" si="0"/>
        <v>0.79426492847987817</v>
      </c>
      <c r="D36" s="50">
        <f t="shared" si="0"/>
        <v>2.0444262431849234</v>
      </c>
      <c r="E36" s="51">
        <f t="shared" si="4"/>
        <v>0.63085677661314599</v>
      </c>
      <c r="F36" s="51">
        <f t="shared" si="4"/>
        <v>4.1796786638232195</v>
      </c>
      <c r="G36" s="52">
        <f t="shared" si="5"/>
        <v>1.6238160638256591</v>
      </c>
      <c r="H36" s="83"/>
      <c r="I36" s="83"/>
      <c r="J36" s="51">
        <f t="shared" si="6"/>
        <v>1.425429109458507</v>
      </c>
      <c r="K36" s="51">
        <f t="shared" si="7"/>
        <v>1.9964187718408033</v>
      </c>
      <c r="L36" s="55">
        <f t="shared" si="1"/>
        <v>6.0638468645769442E-3</v>
      </c>
      <c r="M36" s="51">
        <f t="shared" si="2"/>
        <v>1.9903549249762265</v>
      </c>
      <c r="N36" s="94">
        <f t="shared" si="8"/>
        <v>26.633553177887304</v>
      </c>
      <c r="O36" s="56">
        <f t="shared" si="9"/>
        <v>99.178782310458359</v>
      </c>
      <c r="P36" s="57">
        <f t="shared" si="3"/>
        <v>97.803618958083803</v>
      </c>
      <c r="R36" s="47"/>
      <c r="S36" s="47"/>
      <c r="T36" s="47"/>
    </row>
    <row r="37" spans="1:20" ht="12.75" customHeight="1" x14ac:dyDescent="0.35">
      <c r="A37" s="49">
        <f>'New Vestas G27 60L'!R42</f>
        <v>7.1608201935296982</v>
      </c>
      <c r="B37" s="48">
        <f>'New Vestas G27 60L'!T42</f>
        <v>107.81980608012526</v>
      </c>
      <c r="C37" s="50">
        <f t="shared" si="0"/>
        <v>0.85496276883348976</v>
      </c>
      <c r="D37" s="50">
        <f t="shared" si="0"/>
        <v>2.0326985463907135</v>
      </c>
      <c r="E37" s="51">
        <f t="shared" si="4"/>
        <v>0.73096133609142722</v>
      </c>
      <c r="F37" s="51">
        <f t="shared" si="4"/>
        <v>4.1318633804989195</v>
      </c>
      <c r="G37" s="52">
        <f t="shared" si="5"/>
        <v>1.7378815774260141</v>
      </c>
      <c r="H37" s="95">
        <f>1/I28</f>
        <v>9.5734587425080395</v>
      </c>
      <c r="I37" s="85">
        <f>I31-I30</f>
        <v>1.3016647912747317</v>
      </c>
      <c r="J37" s="51">
        <f t="shared" si="6"/>
        <v>1.4189168770840599</v>
      </c>
      <c r="K37" s="51">
        <f t="shared" si="7"/>
        <v>1.9970990100441113</v>
      </c>
      <c r="L37" s="55">
        <f t="shared" si="1"/>
        <v>6.0248162319320011E-3</v>
      </c>
      <c r="M37" s="51">
        <f t="shared" si="2"/>
        <v>1.9910741938121792</v>
      </c>
      <c r="N37" s="94">
        <f t="shared" si="8"/>
        <v>26.237163223506176</v>
      </c>
      <c r="O37" s="56">
        <f t="shared" si="9"/>
        <v>99.334248388609993</v>
      </c>
      <c r="P37" s="57">
        <f t="shared" si="3"/>
        <v>97.965733338789917</v>
      </c>
      <c r="R37" s="47"/>
      <c r="S37" s="47"/>
      <c r="T37" s="47"/>
    </row>
    <row r="38" spans="1:20" ht="12.75" customHeight="1" x14ac:dyDescent="0.35">
      <c r="A38" s="49">
        <f>'New Vestas G27 60L'!R43</f>
        <v>3.1134000841433473</v>
      </c>
      <c r="B38" s="48">
        <f>'New Vestas G27 60L'!T43</f>
        <v>123.47843261256035</v>
      </c>
      <c r="C38" s="50">
        <f t="shared" si="0"/>
        <v>0.49323493281589692</v>
      </c>
      <c r="D38" s="50">
        <f t="shared" si="0"/>
        <v>2.0915911080789567</v>
      </c>
      <c r="E38" s="51">
        <f t="shared" si="4"/>
        <v>0.24328069894990234</v>
      </c>
      <c r="F38" s="51">
        <f t="shared" si="4"/>
        <v>4.3747533633949578</v>
      </c>
      <c r="G38" s="52">
        <f t="shared" si="5"/>
        <v>1.0316457996716515</v>
      </c>
      <c r="H38" s="95">
        <f>((1/I27)-(1/I29))/2</f>
        <v>0.496381386654285</v>
      </c>
      <c r="I38" s="85">
        <f>I32-I31</f>
        <v>1.3139039098707599</v>
      </c>
      <c r="J38" s="51">
        <f t="shared" si="6"/>
        <v>1.4123055055107119</v>
      </c>
      <c r="K38" s="51">
        <f t="shared" si="7"/>
        <v>1.9977896038776639</v>
      </c>
      <c r="L38" s="55">
        <f t="shared" si="1"/>
        <v>5.9852620457586528E-3</v>
      </c>
      <c r="M38" s="51">
        <f t="shared" si="2"/>
        <v>1.9918043418319054</v>
      </c>
      <c r="N38" s="94">
        <f t="shared" si="8"/>
        <v>25.840773269125037</v>
      </c>
      <c r="O38" s="56">
        <f t="shared" si="9"/>
        <v>99.492330503531889</v>
      </c>
      <c r="P38" s="57">
        <f t="shared" si="3"/>
        <v>98.130574596456924</v>
      </c>
      <c r="R38" s="47"/>
      <c r="S38" s="47"/>
      <c r="T38" s="47"/>
    </row>
    <row r="39" spans="1:20" ht="12.75" customHeight="1" x14ac:dyDescent="0.35">
      <c r="A39" s="49">
        <f>'New Vestas G27 60L'!R44</f>
        <v>3.4247400925576819</v>
      </c>
      <c r="B39" s="48">
        <f>'New Vestas G27 60L'!T44</f>
        <v>121.5759826600215</v>
      </c>
      <c r="C39" s="50">
        <f t="shared" si="0"/>
        <v>0.53462761797412195</v>
      </c>
      <c r="D39" s="50">
        <f t="shared" si="0"/>
        <v>2.0848477885186458</v>
      </c>
      <c r="E39" s="51">
        <f t="shared" si="4"/>
        <v>0.28582668990068366</v>
      </c>
      <c r="F39" s="51">
        <f t="shared" si="4"/>
        <v>4.346590301291088</v>
      </c>
      <c r="G39" s="52">
        <f t="shared" si="5"/>
        <v>1.1146172070143396</v>
      </c>
      <c r="H39" s="86"/>
      <c r="I39" s="86"/>
      <c r="J39" s="51">
        <f t="shared" si="6"/>
        <v>1.405591929516669</v>
      </c>
      <c r="K39" s="51">
        <f t="shared" si="7"/>
        <v>1.9984908735206024</v>
      </c>
      <c r="L39" s="55">
        <f t="shared" si="1"/>
        <v>5.9451706726840444E-3</v>
      </c>
      <c r="M39" s="51">
        <f t="shared" si="2"/>
        <v>1.9925457028479183</v>
      </c>
      <c r="N39" s="94">
        <f t="shared" si="8"/>
        <v>25.444383314743888</v>
      </c>
      <c r="O39" s="56">
        <f t="shared" si="9"/>
        <v>99.653113831569428</v>
      </c>
      <c r="P39" s="57">
        <f t="shared" si="3"/>
        <v>98.298231140231522</v>
      </c>
      <c r="R39" s="47"/>
      <c r="S39" s="47"/>
      <c r="T39" s="47"/>
    </row>
    <row r="40" spans="1:20" ht="12.75" customHeight="1" x14ac:dyDescent="0.35">
      <c r="A40" s="49">
        <f>'New Vestas G27 60L'!R45</f>
        <v>3.7360801009720164</v>
      </c>
      <c r="B40" s="48">
        <f>'New Vestas G27 60L'!T45</f>
        <v>120.45402499570373</v>
      </c>
      <c r="C40" s="50">
        <f t="shared" si="0"/>
        <v>0.5724161788635217</v>
      </c>
      <c r="D40" s="50">
        <f t="shared" si="0"/>
        <v>2.0808213166151264</v>
      </c>
      <c r="E40" s="51">
        <f t="shared" si="4"/>
        <v>0.32766028182471524</v>
      </c>
      <c r="F40" s="51">
        <f t="shared" si="4"/>
        <v>4.3298173516799077</v>
      </c>
      <c r="G40" s="52">
        <f t="shared" si="5"/>
        <v>1.1910957869545928</v>
      </c>
      <c r="H40" s="86">
        <f>(1/$I$31)^(-1/$I$28)</f>
        <v>3.4519289997615943E+20</v>
      </c>
      <c r="I40" s="86"/>
      <c r="J40" s="51">
        <f t="shared" si="6"/>
        <v>1.3987729394875634</v>
      </c>
      <c r="K40" s="51">
        <f t="shared" si="7"/>
        <v>1.9992031542346589</v>
      </c>
      <c r="L40" s="55">
        <f t="shared" si="1"/>
        <v>5.9045279793323406E-3</v>
      </c>
      <c r="M40" s="51">
        <f t="shared" si="2"/>
        <v>1.9932986262553265</v>
      </c>
      <c r="N40" s="94">
        <f>10^$J40</f>
        <v>25.047993360362739</v>
      </c>
      <c r="O40" s="56">
        <f t="shared" si="9"/>
        <v>99.816687704532654</v>
      </c>
      <c r="P40" s="57">
        <f t="shared" si="3"/>
        <v>98.468795664251104</v>
      </c>
      <c r="R40" s="47"/>
      <c r="S40" s="47"/>
      <c r="T40" s="47"/>
    </row>
    <row r="41" spans="1:20" ht="12.75" customHeight="1" x14ac:dyDescent="0.35">
      <c r="A41" s="49">
        <f>'New Vestas G27 60L'!R46</f>
        <v>4.0474201093863513</v>
      </c>
      <c r="B41" s="48">
        <f>'New Vestas G27 60L'!T46</f>
        <v>119.21011541135141</v>
      </c>
      <c r="C41" s="50">
        <f t="shared" si="0"/>
        <v>0.60717828512273364</v>
      </c>
      <c r="D41" s="50">
        <f t="shared" si="0"/>
        <v>2.0763131084322626</v>
      </c>
      <c r="E41" s="51">
        <f t="shared" si="4"/>
        <v>0.36866546992458366</v>
      </c>
      <c r="F41" s="51">
        <f t="shared" si="4"/>
        <v>4.311076124247645</v>
      </c>
      <c r="G41" s="52">
        <f t="shared" si="5"/>
        <v>1.2606922325557537</v>
      </c>
      <c r="H41" s="86"/>
      <c r="I41" s="86"/>
      <c r="J41" s="51">
        <f t="shared" si="6"/>
        <v>1.3918451722024305</v>
      </c>
      <c r="K41" s="51">
        <f t="shared" si="7"/>
        <v>1.9999267973266139</v>
      </c>
      <c r="L41" s="55">
        <f t="shared" si="1"/>
        <v>5.8633193110711052E-3</v>
      </c>
      <c r="M41" s="51">
        <f t="shared" si="2"/>
        <v>1.9940634780155428</v>
      </c>
      <c r="N41" s="94">
        <f t="shared" si="8"/>
        <v>24.651603405981618</v>
      </c>
      <c r="O41" s="56">
        <f t="shared" si="9"/>
        <v>99.983145882015521</v>
      </c>
      <c r="P41" s="57">
        <f t="shared" si="3"/>
        <v>98.642365426052905</v>
      </c>
      <c r="R41" s="47"/>
      <c r="S41" s="47"/>
      <c r="T41" s="47"/>
    </row>
    <row r="42" spans="1:20" ht="12.75" customHeight="1" x14ac:dyDescent="0.35">
      <c r="A42" s="49">
        <f>'New Vestas G27 60L'!R47</f>
        <v>4.3587601178006858</v>
      </c>
      <c r="B42" s="48">
        <f>'New Vestas G27 60L'!T47</f>
        <v>118.81986926724086</v>
      </c>
      <c r="C42" s="50">
        <f t="shared" si="0"/>
        <v>0.63936296849413488</v>
      </c>
      <c r="D42" s="50">
        <f t="shared" si="0"/>
        <v>2.0748890702040486</v>
      </c>
      <c r="E42" s="51">
        <f t="shared" si="4"/>
        <v>0.4087850054816321</v>
      </c>
      <c r="F42" s="51">
        <f t="shared" si="4"/>
        <v>4.3051646536522208</v>
      </c>
      <c r="G42" s="52">
        <f t="shared" si="5"/>
        <v>1.326607235221696</v>
      </c>
      <c r="H42" s="86"/>
      <c r="I42" s="86"/>
      <c r="J42" s="51">
        <f t="shared" si="6"/>
        <v>1.3848051008727951</v>
      </c>
      <c r="K42" s="51">
        <f t="shared" si="7"/>
        <v>2.0006621711887664</v>
      </c>
      <c r="L42" s="55">
        <f t="shared" si="1"/>
        <v>5.82152947003752E-3</v>
      </c>
      <c r="M42" s="51">
        <f t="shared" si="2"/>
        <v>1.994840641718729</v>
      </c>
      <c r="N42" s="94">
        <f t="shared" si="8"/>
        <v>24.255213451600461</v>
      </c>
      <c r="O42" s="56">
        <f t="shared" si="9"/>
        <v>100.15258684626872</v>
      </c>
      <c r="P42" s="57">
        <f t="shared" si="3"/>
        <v>98.819042547799043</v>
      </c>
      <c r="R42" s="47"/>
      <c r="S42" s="47"/>
      <c r="T42" s="47"/>
    </row>
    <row r="43" spans="1:20" ht="12.75" customHeight="1" thickBot="1" x14ac:dyDescent="0.4">
      <c r="A43" s="49">
        <f>'New Vestas G27 60L'!R48</f>
        <v>5.2927801430436903</v>
      </c>
      <c r="B43" s="48">
        <f>'New Vestas G27 60L'!T48</f>
        <v>116.35644048254314</v>
      </c>
      <c r="C43" s="50">
        <f t="shared" si="0"/>
        <v>0.72368385419417081</v>
      </c>
      <c r="D43" s="50">
        <f t="shared" si="0"/>
        <v>2.0657904270607994</v>
      </c>
      <c r="E43" s="51">
        <f t="shared" si="4"/>
        <v>0.52371832082132985</v>
      </c>
      <c r="F43" s="51">
        <f t="shared" si="4"/>
        <v>4.2674900885360403</v>
      </c>
      <c r="G43" s="52">
        <f t="shared" si="5"/>
        <v>1.4949791782127815</v>
      </c>
      <c r="H43" s="86"/>
      <c r="I43" s="82" t="str">
        <f>"G27 Fit: N = " &amp; TEXT((1/J39)^(-1/J36),"0,00 E+00 ") &amp; " * S ^ -" &amp; TEXT(1/J36,"0,00")</f>
        <v>G27 Fit: N = 001 E+00  * S ^ -001</v>
      </c>
      <c r="J43" s="51">
        <f t="shared" si="6"/>
        <v>1.3776490243610169</v>
      </c>
      <c r="K43" s="51">
        <f t="shared" si="7"/>
        <v>2.0014096624251367</v>
      </c>
      <c r="L43" s="55">
        <f t="shared" si="1"/>
        <v>5.7791426924870071E-3</v>
      </c>
      <c r="M43" s="51">
        <f t="shared" si="2"/>
        <v>1.9956305197326498</v>
      </c>
      <c r="N43" s="94">
        <f t="shared" si="8"/>
        <v>23.858823497219319</v>
      </c>
      <c r="O43" s="56">
        <f t="shared" si="9"/>
        <v>100.32511412189787</v>
      </c>
      <c r="P43" s="57">
        <f t="shared" si="3"/>
        <v>98.998934342586722</v>
      </c>
      <c r="R43" s="47"/>
      <c r="S43" s="47"/>
      <c r="T43" s="47"/>
    </row>
    <row r="44" spans="1:20" ht="12.75" customHeight="1" x14ac:dyDescent="0.35">
      <c r="A44" s="49">
        <f>'New Vestas G27 60L'!R49</f>
        <v>7.1608201935296982</v>
      </c>
      <c r="B44" s="48">
        <f>'New Vestas G27 60L'!T49</f>
        <v>114.21008668993522</v>
      </c>
      <c r="C44" s="50">
        <f t="shared" si="0"/>
        <v>0.85496276883348976</v>
      </c>
      <c r="D44" s="50">
        <f t="shared" si="0"/>
        <v>2.0577044611807001</v>
      </c>
      <c r="E44" s="51">
        <f t="shared" si="4"/>
        <v>0.73096133609142722</v>
      </c>
      <c r="F44" s="51">
        <f t="shared" si="4"/>
        <v>4.2341476495629555</v>
      </c>
      <c r="G44" s="52">
        <f t="shared" si="5"/>
        <v>1.7592607035720755</v>
      </c>
      <c r="H44" s="86" t="s">
        <v>83</v>
      </c>
      <c r="I44" s="86">
        <f>(1/$I$31)^(-1/$I$28)</f>
        <v>3.4519289997615943E+20</v>
      </c>
      <c r="J44" s="51">
        <f t="shared" si="6"/>
        <v>1.3703730554953788</v>
      </c>
      <c r="K44" s="51">
        <f t="shared" si="7"/>
        <v>2.0021696770720201</v>
      </c>
      <c r="L44" s="55">
        <f t="shared" si="1"/>
        <v>5.7361426255268426E-3</v>
      </c>
      <c r="M44" s="51">
        <f t="shared" si="2"/>
        <v>1.9964335344464932</v>
      </c>
      <c r="N44" s="94">
        <f t="shared" si="8"/>
        <v>23.462433542838188</v>
      </c>
      <c r="O44" s="56">
        <f t="shared" si="9"/>
        <v>100.50083662292867</v>
      </c>
      <c r="P44" s="57">
        <f t="shared" si="3"/>
        <v>99.182153668377751</v>
      </c>
      <c r="R44" s="47"/>
      <c r="S44" s="47"/>
      <c r="T44" s="47"/>
    </row>
    <row r="45" spans="1:20" ht="12.75" customHeight="1" x14ac:dyDescent="0.35">
      <c r="A45" s="111">
        <f>'New Vestas G20 120L'!R7</f>
        <v>1.4578648939290255</v>
      </c>
      <c r="B45" s="111">
        <f>'New Vestas G20 120L'!T7</f>
        <v>138.47528590532582</v>
      </c>
      <c r="C45" s="50">
        <f t="shared" ref="C45:C108" si="10">IF(ISNA(A45),"",LOG10(A45))</f>
        <v>0.16371727806983555</v>
      </c>
      <c r="D45" s="50">
        <f t="shared" ref="D45:D108" si="11">IF(ISNA(B45),"",LOG10(B45))</f>
        <v>2.1413722704930462</v>
      </c>
      <c r="E45" s="51">
        <f t="shared" ref="E45:E108" si="12">IF(C45="","",C45^2)</f>
        <v>2.6803347138595855E-2</v>
      </c>
      <c r="F45" s="51">
        <f t="shared" ref="F45:F108" si="13">IF(D45="","",D45^2)</f>
        <v>4.5854752008365436</v>
      </c>
      <c r="G45" s="52">
        <f t="shared" ref="G45:G108" si="14">IF(OR(C45="",D45=""),"",C45*D45)</f>
        <v>0.35057963945934517</v>
      </c>
      <c r="H45" s="86" t="s">
        <v>82</v>
      </c>
      <c r="I45" s="86">
        <f>1/$I$28</f>
        <v>9.5734587425080395</v>
      </c>
      <c r="J45" s="51">
        <f t="shared" si="6"/>
        <v>1.3629731083895653</v>
      </c>
      <c r="K45" s="51">
        <f t="shared" si="7"/>
        <v>2.0029426419225351</v>
      </c>
      <c r="L45" s="55">
        <f t="shared" si="1"/>
        <v>5.6925123033226008E-3</v>
      </c>
      <c r="M45" s="51">
        <f t="shared" si="2"/>
        <v>1.9972501296192124</v>
      </c>
      <c r="N45" s="94">
        <f t="shared" si="8"/>
        <v>23.066043588457042</v>
      </c>
      <c r="O45" s="56">
        <f t="shared" si="9"/>
        <v>100.67986903008686</v>
      </c>
      <c r="P45" s="57">
        <f t="shared" si="3"/>
        <v>99.368819312384616</v>
      </c>
      <c r="R45" s="47"/>
      <c r="S45" s="47"/>
      <c r="T45" s="47"/>
    </row>
    <row r="46" spans="1:20" ht="12.75" customHeight="1" x14ac:dyDescent="0.35">
      <c r="A46" s="111">
        <f>'New Vestas G20 120L'!R8</f>
        <v>2.4297748232150425</v>
      </c>
      <c r="B46" s="111">
        <f>'New Vestas G20 120L'!T8</f>
        <v>128.9393080514532</v>
      </c>
      <c r="C46" s="50">
        <f t="shared" si="10"/>
        <v>0.38556602768619191</v>
      </c>
      <c r="D46" s="50">
        <f t="shared" si="11"/>
        <v>2.1103853352543176</v>
      </c>
      <c r="E46" s="51">
        <f t="shared" si="12"/>
        <v>0.14866116170570931</v>
      </c>
      <c r="F46" s="51">
        <f t="shared" si="13"/>
        <v>4.4537262632564785</v>
      </c>
      <c r="G46" s="52">
        <f t="shared" si="14"/>
        <v>0.81369289060119965</v>
      </c>
      <c r="H46" s="86"/>
      <c r="I46" s="86"/>
      <c r="J46" s="51">
        <f t="shared" si="6"/>
        <v>1.3554448846629661</v>
      </c>
      <c r="K46" s="51">
        <f t="shared" si="7"/>
        <v>2.0037290059659889</v>
      </c>
      <c r="L46" s="55">
        <f t="shared" si="1"/>
        <v>5.6482341228965742E-3</v>
      </c>
      <c r="M46" s="51">
        <f t="shared" si="2"/>
        <v>1.9980807718430924</v>
      </c>
      <c r="N46" s="94">
        <f t="shared" si="8"/>
        <v>22.669653634075907</v>
      </c>
      <c r="O46" s="56">
        <f t="shared" si="9"/>
        <v>100.86233220149603</v>
      </c>
      <c r="P46" s="57">
        <f t="shared" si="3"/>
        <v>99.55905640909495</v>
      </c>
      <c r="R46" s="47"/>
      <c r="S46" s="47"/>
      <c r="T46" s="47"/>
    </row>
    <row r="47" spans="1:20" ht="12.75" customHeight="1" x14ac:dyDescent="0.35">
      <c r="A47" s="111">
        <f>'New Vestas G20 120L'!R9</f>
        <v>2.915729787858051</v>
      </c>
      <c r="B47" s="111">
        <f>'New Vestas G20 120L'!T9</f>
        <v>119.78359925310309</v>
      </c>
      <c r="C47" s="50">
        <f t="shared" si="10"/>
        <v>0.46474727373381675</v>
      </c>
      <c r="D47" s="50">
        <f t="shared" si="11"/>
        <v>2.0783973586085747</v>
      </c>
      <c r="E47" s="51">
        <f t="shared" si="12"/>
        <v>0.21599002844301518</v>
      </c>
      <c r="F47" s="51">
        <f t="shared" si="13"/>
        <v>4.3197355802711002</v>
      </c>
      <c r="G47" s="52">
        <f t="shared" si="14"/>
        <v>0.96592950614890094</v>
      </c>
      <c r="H47" s="86"/>
      <c r="I47" s="86"/>
      <c r="J47" s="51">
        <f t="shared" si="6"/>
        <v>1.3477838584454473</v>
      </c>
      <c r="K47" s="51">
        <f t="shared" si="7"/>
        <v>2.0045292419542116</v>
      </c>
      <c r="L47" s="55">
        <f t="shared" si="1"/>
        <v>5.603289819676417E-3</v>
      </c>
      <c r="M47" s="51">
        <f t="shared" si="2"/>
        <v>1.9989259521345351</v>
      </c>
      <c r="N47" s="94">
        <f t="shared" si="8"/>
        <v>22.273263679694775</v>
      </c>
      <c r="O47" s="56">
        <f t="shared" si="9"/>
        <v>101.04835362039346</v>
      </c>
      <c r="P47" s="57">
        <f t="shared" si="3"/>
        <v>99.752996895508801</v>
      </c>
      <c r="R47" s="47"/>
      <c r="S47" s="47"/>
      <c r="T47" s="47"/>
    </row>
    <row r="48" spans="1:20" ht="12.75" customHeight="1" x14ac:dyDescent="0.35">
      <c r="A48" s="111">
        <f>'New Vestas G20 120L'!R10</f>
        <v>0.97190992928601705</v>
      </c>
      <c r="B48" s="111">
        <f>'New Vestas G20 120L'!T10</f>
        <v>144.23390887684323</v>
      </c>
      <c r="C48" s="50">
        <f t="shared" si="10"/>
        <v>-1.2373980985845686E-2</v>
      </c>
      <c r="D48" s="50">
        <f t="shared" si="11"/>
        <v>2.1590673734686971</v>
      </c>
      <c r="E48" s="51">
        <f t="shared" si="12"/>
        <v>1.5311540543807057E-4</v>
      </c>
      <c r="F48" s="51">
        <f t="shared" si="13"/>
        <v>4.6615719231770187</v>
      </c>
      <c r="G48" s="52">
        <f t="shared" si="14"/>
        <v>-2.6716258626461445E-2</v>
      </c>
      <c r="H48" s="86"/>
      <c r="I48" s="86"/>
      <c r="J48" s="51">
        <f t="shared" si="6"/>
        <v>1.339985260035611</v>
      </c>
      <c r="K48" s="51">
        <f t="shared" si="7"/>
        <v>2.0053438481085379</v>
      </c>
      <c r="L48" s="55">
        <f t="shared" si="1"/>
        <v>5.5576604430008312E-3</v>
      </c>
      <c r="M48" s="51">
        <f t="shared" si="2"/>
        <v>1.9997861876655372</v>
      </c>
      <c r="N48" s="94">
        <f t="shared" si="8"/>
        <v>21.876873725313622</v>
      </c>
      <c r="O48" s="56">
        <f t="shared" si="9"/>
        <v>101.23806788392655</v>
      </c>
      <c r="P48" s="57">
        <f t="shared" si="3"/>
        <v>99.950780007611186</v>
      </c>
      <c r="R48" s="47"/>
      <c r="S48" s="47"/>
      <c r="T48" s="47"/>
    </row>
    <row r="49" spans="1:20" ht="12.75" customHeight="1" x14ac:dyDescent="0.35">
      <c r="A49" s="111">
        <f>'New Vestas G20 120L'!R11</f>
        <v>1.4578648939290255</v>
      </c>
      <c r="B49" s="111">
        <f>'New Vestas G20 120L'!T11</f>
        <v>140.89783799974145</v>
      </c>
      <c r="C49" s="50">
        <f t="shared" si="10"/>
        <v>0.16371727806983555</v>
      </c>
      <c r="D49" s="50">
        <f t="shared" si="11"/>
        <v>2.1489043291492007</v>
      </c>
      <c r="E49" s="51">
        <f t="shared" si="12"/>
        <v>2.6803347138595855E-2</v>
      </c>
      <c r="F49" s="51">
        <f t="shared" si="13"/>
        <v>4.6177898158361765</v>
      </c>
      <c r="G49" s="52">
        <f t="shared" si="14"/>
        <v>0.35181276760079311</v>
      </c>
      <c r="H49" s="86"/>
      <c r="I49" s="86"/>
      <c r="J49" s="51">
        <f t="shared" si="6"/>
        <v>1.3320440580647899</v>
      </c>
      <c r="K49" s="51">
        <f t="shared" si="7"/>
        <v>2.0061733499828773</v>
      </c>
      <c r="L49" s="55">
        <f t="shared" si="1"/>
        <v>5.5113263318495595E-3</v>
      </c>
      <c r="M49" s="51">
        <f t="shared" si="2"/>
        <v>2.000662023651028</v>
      </c>
      <c r="N49" s="94">
        <f t="shared" si="8"/>
        <v>21.480483770932484</v>
      </c>
      <c r="O49" s="56">
        <f t="shared" si="9"/>
        <v>101.43161723762218</v>
      </c>
      <c r="P49" s="57">
        <f t="shared" si="3"/>
        <v>100.15255282261822</v>
      </c>
      <c r="R49" s="47"/>
      <c r="S49" s="47"/>
      <c r="T49" s="47"/>
    </row>
    <row r="50" spans="1:20" ht="12.75" customHeight="1" x14ac:dyDescent="0.35">
      <c r="A50" s="111">
        <f>'New Vestas G20 120L'!R12</f>
        <v>1.9438198585720341</v>
      </c>
      <c r="B50" s="111">
        <f>'New Vestas G20 120L'!T12</f>
        <v>129.45570016687481</v>
      </c>
      <c r="C50" s="50">
        <f t="shared" si="10"/>
        <v>0.28865601467813551</v>
      </c>
      <c r="D50" s="50">
        <f t="shared" si="11"/>
        <v>2.1121211779575835</v>
      </c>
      <c r="E50" s="51">
        <f t="shared" si="12"/>
        <v>8.3322294809863987E-2</v>
      </c>
      <c r="F50" s="51">
        <f t="shared" si="13"/>
        <v>4.4610558703769296</v>
      </c>
      <c r="G50" s="52">
        <f t="shared" si="14"/>
        <v>0.60967648174652511</v>
      </c>
      <c r="H50" s="86"/>
      <c r="I50" s="86"/>
      <c r="J50" s="51">
        <f t="shared" si="6"/>
        <v>1.3239549399997548</v>
      </c>
      <c r="K50" s="51">
        <f t="shared" si="7"/>
        <v>2.0070183025003114</v>
      </c>
      <c r="L50" s="55">
        <f t="shared" si="1"/>
        <v>5.464267091139857E-3</v>
      </c>
      <c r="M50" s="51">
        <f t="shared" si="2"/>
        <v>2.0015540354091717</v>
      </c>
      <c r="N50" s="94">
        <f t="shared" si="8"/>
        <v>21.084093816551341</v>
      </c>
      <c r="O50" s="56">
        <f t="shared" si="9"/>
        <v>101.62915216072484</v>
      </c>
      <c r="P50" s="57">
        <f t="shared" si="3"/>
        <v>100.35847085212355</v>
      </c>
      <c r="R50" s="47"/>
      <c r="S50" s="47"/>
      <c r="T50" s="47"/>
    </row>
    <row r="51" spans="1:20" ht="12.75" customHeight="1" x14ac:dyDescent="0.35">
      <c r="A51" s="111">
        <f>'New Vestas G20 120L'!R13</f>
        <v>2.915729787858051</v>
      </c>
      <c r="B51" s="111">
        <f>'New Vestas G20 120L'!T13</f>
        <v>124.10042849573773</v>
      </c>
      <c r="C51" s="50">
        <f t="shared" si="10"/>
        <v>0.46474727373381675</v>
      </c>
      <c r="D51" s="50">
        <f t="shared" si="11"/>
        <v>2.0937732810395286</v>
      </c>
      <c r="E51" s="51">
        <f t="shared" si="12"/>
        <v>0.21599002844301518</v>
      </c>
      <c r="F51" s="51">
        <f t="shared" si="13"/>
        <v>4.3838865523950332</v>
      </c>
      <c r="G51" s="52">
        <f t="shared" si="14"/>
        <v>0.9730754241798294</v>
      </c>
      <c r="H51" s="86"/>
      <c r="I51" s="86"/>
      <c r="J51" s="51">
        <f t="shared" si="6"/>
        <v>1.315712290794929</v>
      </c>
      <c r="K51" s="51">
        <f t="shared" si="7"/>
        <v>2.007879292182988</v>
      </c>
      <c r="L51" s="55">
        <f t="shared" si="1"/>
        <v>5.4164615690249773E-3</v>
      </c>
      <c r="M51" s="51">
        <f t="shared" si="2"/>
        <v>2.0024628306139629</v>
      </c>
      <c r="N51" s="94">
        <f t="shared" si="8"/>
        <v>20.687703862170203</v>
      </c>
      <c r="O51" s="56">
        <f t="shared" si="9"/>
        <v>101.83083200830703</v>
      </c>
      <c r="P51" s="57">
        <f t="shared" si="3"/>
        <v>100.56869869195371</v>
      </c>
      <c r="R51" s="47"/>
      <c r="S51" s="47"/>
      <c r="T51" s="47"/>
    </row>
    <row r="52" spans="1:20" ht="12.75" customHeight="1" x14ac:dyDescent="0.35">
      <c r="A52" s="111">
        <f>'New Vestas G20 120L'!R14</f>
        <v>0.97190992928601705</v>
      </c>
      <c r="B52" s="111">
        <f>'New Vestas G20 120L'!T14</f>
        <v>142.5189443282251</v>
      </c>
      <c r="C52" s="50">
        <f t="shared" si="10"/>
        <v>-1.2373980985845686E-2</v>
      </c>
      <c r="D52" s="50">
        <f t="shared" si="11"/>
        <v>2.1538725967681969</v>
      </c>
      <c r="E52" s="51">
        <f t="shared" si="12"/>
        <v>1.5311540543807057E-4</v>
      </c>
      <c r="F52" s="51">
        <f t="shared" si="13"/>
        <v>4.6391671631089757</v>
      </c>
      <c r="G52" s="52">
        <f t="shared" si="14"/>
        <v>-2.6651978558343739E-2</v>
      </c>
      <c r="H52" s="86"/>
      <c r="I52" s="86"/>
      <c r="J52" s="51">
        <f t="shared" si="6"/>
        <v>1.3073101694792586</v>
      </c>
      <c r="K52" s="51">
        <f t="shared" si="7"/>
        <v>2.0087569395977476</v>
      </c>
      <c r="L52" s="55">
        <f t="shared" si="1"/>
        <v>5.3678878357458892E-3</v>
      </c>
      <c r="M52" s="51">
        <f t="shared" si="2"/>
        <v>2.0033890517620017</v>
      </c>
      <c r="N52" s="94">
        <f t="shared" si="8"/>
        <v>20.291313907789068</v>
      </c>
      <c r="O52" s="56">
        <f t="shared" si="9"/>
        <v>102.03682571686129</v>
      </c>
      <c r="P52" s="57">
        <f t="shared" si="3"/>
        <v>100.78341073532079</v>
      </c>
      <c r="R52" s="47"/>
      <c r="S52" s="47"/>
      <c r="T52" s="47"/>
    </row>
    <row r="53" spans="1:20" ht="12.75" customHeight="1" x14ac:dyDescent="0.35">
      <c r="A53" s="111">
        <f>'New Vestas G20 120L'!R15</f>
        <v>1.4578648939290255</v>
      </c>
      <c r="B53" s="111">
        <f>'New Vestas G20 120L'!T15</f>
        <v>133.45670982827062</v>
      </c>
      <c r="C53" s="50">
        <f t="shared" si="10"/>
        <v>0.16371727806983555</v>
      </c>
      <c r="D53" s="50">
        <f t="shared" si="11"/>
        <v>2.1253404137783507</v>
      </c>
      <c r="E53" s="51">
        <f t="shared" si="12"/>
        <v>2.6803347138595855E-2</v>
      </c>
      <c r="F53" s="51">
        <f t="shared" si="13"/>
        <v>4.5170718744395311</v>
      </c>
      <c r="G53" s="52">
        <f t="shared" si="14"/>
        <v>0.34795494751560957</v>
      </c>
      <c r="H53" s="86"/>
      <c r="I53" s="86"/>
      <c r="J53" s="51">
        <f t="shared" si="6"/>
        <v>1.2987422834332276</v>
      </c>
      <c r="K53" s="51">
        <f t="shared" si="7"/>
        <v>2.0096519020430326</v>
      </c>
      <c r="L53" s="55">
        <f t="shared" si="1"/>
        <v>5.3185231647317234E-3</v>
      </c>
      <c r="M53" s="51">
        <f t="shared" si="2"/>
        <v>2.0043333788783007</v>
      </c>
      <c r="N53" s="94">
        <f t="shared" si="8"/>
        <v>19.894923953407933</v>
      </c>
      <c r="O53" s="56">
        <f t="shared" si="9"/>
        <v>102.24731258103184</v>
      </c>
      <c r="P53" s="57">
        <f t="shared" si="3"/>
        <v>101.00279195677308</v>
      </c>
      <c r="R53" s="47"/>
      <c r="S53" s="47"/>
      <c r="T53" s="47"/>
    </row>
    <row r="54" spans="1:20" ht="12.75" customHeight="1" x14ac:dyDescent="0.35">
      <c r="A54" s="111">
        <f>'New Vestas G20 120L'!R16</f>
        <v>1.9438198585720341</v>
      </c>
      <c r="B54" s="111">
        <f>'New Vestas G20 120L'!T16</f>
        <v>124.71603849452865</v>
      </c>
      <c r="C54" s="50">
        <f t="shared" si="10"/>
        <v>0.28865601467813551</v>
      </c>
      <c r="D54" s="50">
        <f t="shared" si="11"/>
        <v>2.0959223073821125</v>
      </c>
      <c r="E54" s="51">
        <f t="shared" si="12"/>
        <v>8.3322294809863987E-2</v>
      </c>
      <c r="F54" s="51">
        <f t="shared" si="13"/>
        <v>4.3928903185819586</v>
      </c>
      <c r="G54" s="52">
        <f t="shared" si="14"/>
        <v>0.60500058032392268</v>
      </c>
      <c r="H54" s="86"/>
      <c r="I54" s="86"/>
      <c r="J54" s="51">
        <f t="shared" si="6"/>
        <v>1.2900019600770389</v>
      </c>
      <c r="K54" s="51">
        <f t="shared" si="7"/>
        <v>2.0105648765062094</v>
      </c>
      <c r="L54" s="55">
        <f t="shared" si="1"/>
        <v>5.2683440168237233E-3</v>
      </c>
      <c r="M54" s="51">
        <f t="shared" si="2"/>
        <v>2.0052965324893859</v>
      </c>
      <c r="N54" s="94">
        <f t="shared" si="8"/>
        <v>19.49853399902679</v>
      </c>
      <c r="O54" s="56">
        <f t="shared" si="9"/>
        <v>102.46248311023288</v>
      </c>
      <c r="P54" s="57">
        <f t="shared" si="3"/>
        <v>101.22703877548979</v>
      </c>
      <c r="R54" s="47"/>
      <c r="S54" s="47"/>
      <c r="T54" s="47"/>
    </row>
    <row r="55" spans="1:20" ht="12.75" customHeight="1" x14ac:dyDescent="0.35">
      <c r="A55" s="111">
        <f>'New Vestas G20 120L'!R17</f>
        <v>2.915729787858051</v>
      </c>
      <c r="B55" s="111">
        <f>'New Vestas G20 120L'!T17</f>
        <v>123.89751408438963</v>
      </c>
      <c r="C55" s="50">
        <f t="shared" si="10"/>
        <v>0.46474727373381675</v>
      </c>
      <c r="D55" s="50">
        <f t="shared" si="11"/>
        <v>2.0930625926531992</v>
      </c>
      <c r="E55" s="51">
        <f t="shared" si="12"/>
        <v>0.21599002844301518</v>
      </c>
      <c r="F55" s="51">
        <f t="shared" si="13"/>
        <v>4.3809110167641316</v>
      </c>
      <c r="G55" s="52">
        <f t="shared" si="14"/>
        <v>0.97274513368980853</v>
      </c>
      <c r="H55" s="86"/>
      <c r="I55" s="86"/>
      <c r="J55" s="51">
        <f t="shared" si="6"/>
        <v>1.2810821156508772</v>
      </c>
      <c r="K55" s="51">
        <f t="shared" si="7"/>
        <v>2.0114966029246415</v>
      </c>
      <c r="L55" s="55">
        <f t="shared" si="1"/>
        <v>5.2173260287214068E-3</v>
      </c>
      <c r="M55" s="51">
        <f t="shared" si="2"/>
        <v>2.0062792768959201</v>
      </c>
      <c r="N55" s="94">
        <f t="shared" si="8"/>
        <v>19.102144044645645</v>
      </c>
      <c r="O55" s="56">
        <f t="shared" si="9"/>
        <v>102.68253997518396</v>
      </c>
      <c r="P55" s="57">
        <f t="shared" si="3"/>
        <v>101.45636000769186</v>
      </c>
      <c r="R55" s="47"/>
      <c r="S55" s="47"/>
      <c r="T55" s="47"/>
    </row>
    <row r="56" spans="1:20" ht="12.75" customHeight="1" x14ac:dyDescent="0.35">
      <c r="A56" s="111">
        <f>'New Vestas G20 120L'!R18</f>
        <v>3.6513833219278529</v>
      </c>
      <c r="B56" s="111">
        <f>'New Vestas G20 120L'!T18</f>
        <v>125.0881979570498</v>
      </c>
      <c r="C56" s="50">
        <f t="shared" si="10"/>
        <v>0.56245742754285488</v>
      </c>
      <c r="D56" s="50">
        <f t="shared" si="11"/>
        <v>2.0972163360409928</v>
      </c>
      <c r="E56" s="51">
        <f t="shared" si="12"/>
        <v>0.31635835779812582</v>
      </c>
      <c r="F56" s="51">
        <f t="shared" si="13"/>
        <v>4.3983163601572066</v>
      </c>
      <c r="G56" s="52">
        <f t="shared" si="14"/>
        <v>1.1795949053704682</v>
      </c>
      <c r="H56" s="86"/>
      <c r="I56" s="86"/>
      <c r="J56" s="51">
        <f t="shared" si="6"/>
        <v>1.2719752207213073</v>
      </c>
      <c r="K56" s="51">
        <f t="shared" si="7"/>
        <v>2.0124478677887319</v>
      </c>
      <c r="L56" s="55">
        <f t="shared" si="1"/>
        <v>5.1654440070289338E-3</v>
      </c>
      <c r="M56" s="51">
        <f t="shared" si="2"/>
        <v>2.0072824237817031</v>
      </c>
      <c r="N56" s="94">
        <f t="shared" si="8"/>
        <v>18.705754090264502</v>
      </c>
      <c r="O56" s="56">
        <f t="shared" si="9"/>
        <v>102.90769905588662</v>
      </c>
      <c r="P56" s="57">
        <f t="shared" si="3"/>
        <v>101.69097791936555</v>
      </c>
      <c r="R56" s="47"/>
      <c r="S56" s="47"/>
      <c r="T56" s="47"/>
    </row>
    <row r="57" spans="1:20" ht="12.75" customHeight="1" x14ac:dyDescent="0.35">
      <c r="A57" s="111">
        <f>'New Vestas G20 120L'!R19</f>
        <v>4.259947208915829</v>
      </c>
      <c r="B57" s="111">
        <f>'New Vestas G20 120L'!T19</f>
        <v>116.38083086759765</v>
      </c>
      <c r="C57" s="50">
        <f t="shared" si="10"/>
        <v>0.62940421717346817</v>
      </c>
      <c r="D57" s="50">
        <f t="shared" si="11"/>
        <v>2.0658814533894834</v>
      </c>
      <c r="E57" s="51">
        <f t="shared" si="12"/>
        <v>0.3961496685957463</v>
      </c>
      <c r="F57" s="51">
        <f t="shared" si="13"/>
        <v>4.2678661794586441</v>
      </c>
      <c r="G57" s="52">
        <f t="shared" si="14"/>
        <v>1.3002744989437944</v>
      </c>
      <c r="H57" s="86"/>
      <c r="I57" s="86"/>
      <c r="J57" s="51">
        <f t="shared" si="6"/>
        <v>1.2626732619929977</v>
      </c>
      <c r="K57" s="51">
        <f t="shared" si="7"/>
        <v>2.0134195081309008</v>
      </c>
      <c r="L57" s="55">
        <f t="shared" si="1"/>
        <v>5.1126719296294316E-3</v>
      </c>
      <c r="M57" s="51">
        <f t="shared" si="2"/>
        <v>2.0083068362012715</v>
      </c>
      <c r="N57" s="94">
        <f t="shared" si="8"/>
        <v>18.309364135883364</v>
      </c>
      <c r="O57" s="56">
        <f t="shared" si="9"/>
        <v>103.13819060432414</v>
      </c>
      <c r="P57" s="57">
        <f t="shared" si="3"/>
        <v>101.93112939216148</v>
      </c>
      <c r="R57" s="47"/>
      <c r="S57" s="47"/>
      <c r="T57" s="47"/>
    </row>
    <row r="58" spans="1:20" ht="12.75" customHeight="1" x14ac:dyDescent="0.35">
      <c r="A58" s="111">
        <f>'New Vestas G20 120L'!R20</f>
        <v>4.8685110959038047</v>
      </c>
      <c r="B58" s="111">
        <f>'New Vestas G20 120L'!T20</f>
        <v>113.91740208566142</v>
      </c>
      <c r="C58" s="50">
        <f t="shared" si="10"/>
        <v>0.6873961641511549</v>
      </c>
      <c r="D58" s="50">
        <f t="shared" si="11"/>
        <v>2.0565900722133681</v>
      </c>
      <c r="E58" s="51">
        <f t="shared" si="12"/>
        <v>0.47251348648972147</v>
      </c>
      <c r="F58" s="51">
        <f t="shared" si="13"/>
        <v>4.2295627251265868</v>
      </c>
      <c r="G58" s="52">
        <f t="shared" si="14"/>
        <v>1.4136921268708158</v>
      </c>
      <c r="H58" s="86"/>
      <c r="I58" s="86"/>
      <c r="J58" s="51">
        <f t="shared" si="6"/>
        <v>1.2531676999404533</v>
      </c>
      <c r="K58" s="51">
        <f t="shared" si="7"/>
        <v>2.0144124159511789</v>
      </c>
      <c r="L58" s="55">
        <f t="shared" si="1"/>
        <v>5.0589829565532906E-3</v>
      </c>
      <c r="M58" s="51">
        <f t="shared" si="2"/>
        <v>2.0093534329946254</v>
      </c>
      <c r="N58" s="94">
        <f t="shared" si="8"/>
        <v>17.912974181502225</v>
      </c>
      <c r="O58" s="56">
        <f t="shared" si="9"/>
        <v>103.37426053722994</v>
      </c>
      <c r="P58" s="57">
        <f t="shared" si="3"/>
        <v>102.17706721728609</v>
      </c>
      <c r="R58" s="47"/>
      <c r="S58" s="47"/>
      <c r="T58" s="47"/>
    </row>
    <row r="59" spans="1:20" ht="12.75" customHeight="1" x14ac:dyDescent="0.35">
      <c r="A59" s="111">
        <f>'New Vestas G20 120L'!R21</f>
        <v>5.4770749828917795</v>
      </c>
      <c r="B59" s="111">
        <f>'New Vestas G20 120L'!T21</f>
        <v>111.6490963684362</v>
      </c>
      <c r="C59" s="50">
        <f t="shared" si="10"/>
        <v>0.73854868659853612</v>
      </c>
      <c r="D59" s="50">
        <f t="shared" si="11"/>
        <v>2.0478552124608385</v>
      </c>
      <c r="E59" s="51">
        <f t="shared" si="12"/>
        <v>0.54545416247642275</v>
      </c>
      <c r="F59" s="51">
        <f t="shared" si="13"/>
        <v>4.1937109712030258</v>
      </c>
      <c r="G59" s="52">
        <f t="shared" si="14"/>
        <v>1.5124407775069184</v>
      </c>
      <c r="H59" s="86"/>
      <c r="I59" s="86"/>
      <c r="J59" s="51">
        <f t="shared" si="6"/>
        <v>1.2434494216984147</v>
      </c>
      <c r="K59" s="51">
        <f t="shared" si="7"/>
        <v>2.0154275431380633</v>
      </c>
      <c r="L59" s="55">
        <f t="shared" si="1"/>
        <v>5.0043494530573702E-3</v>
      </c>
      <c r="M59" s="51">
        <f t="shared" si="2"/>
        <v>2.0104231936850061</v>
      </c>
      <c r="N59" s="94">
        <f t="shared" si="8"/>
        <v>17.51658422712109</v>
      </c>
      <c r="O59" s="56">
        <f t="shared" si="9"/>
        <v>103.61617187672097</v>
      </c>
      <c r="P59" s="57">
        <f t="shared" si="3"/>
        <v>102.42906153450703</v>
      </c>
      <c r="R59" s="47"/>
      <c r="S59" s="47"/>
      <c r="T59" s="47"/>
    </row>
    <row r="60" spans="1:20" ht="12.75" customHeight="1" x14ac:dyDescent="0.35">
      <c r="A60" s="111">
        <f>'New Vestas G20 120L'!R22</f>
        <v>6.6942027568677309</v>
      </c>
      <c r="B60" s="111">
        <f>'New Vestas G20 120L'!T22</f>
        <v>107.64907339062384</v>
      </c>
      <c r="C60" s="50">
        <f t="shared" si="10"/>
        <v>0.82569886231743628</v>
      </c>
      <c r="D60" s="50">
        <f t="shared" si="11"/>
        <v>2.032010295905248</v>
      </c>
      <c r="E60" s="51">
        <f t="shared" si="12"/>
        <v>0.68177861123230854</v>
      </c>
      <c r="F60" s="51">
        <f t="shared" si="13"/>
        <v>4.1290658426649332</v>
      </c>
      <c r="G60" s="52">
        <f t="shared" si="14"/>
        <v>1.6778285895462803</v>
      </c>
      <c r="H60" s="86"/>
      <c r="I60" s="86"/>
      <c r="J60" s="51">
        <f t="shared" si="6"/>
        <v>1.2335086885596058</v>
      </c>
      <c r="K60" s="51">
        <f t="shared" si="7"/>
        <v>2.016465906952666</v>
      </c>
      <c r="L60" s="55">
        <f t="shared" si="1"/>
        <v>4.9487430283259373E-3</v>
      </c>
      <c r="M60" s="51">
        <f t="shared" si="2"/>
        <v>2.0115171639243399</v>
      </c>
      <c r="N60" s="94">
        <f t="shared" si="8"/>
        <v>17.120194272739941</v>
      </c>
      <c r="O60" s="56">
        <f t="shared" si="9"/>
        <v>103.86420635948264</v>
      </c>
      <c r="P60" s="57">
        <f t="shared" si="3"/>
        <v>102.68740143610336</v>
      </c>
      <c r="R60" s="47"/>
      <c r="S60" s="47"/>
      <c r="T60" s="47"/>
    </row>
    <row r="61" spans="1:20" ht="12.75" customHeight="1" x14ac:dyDescent="0.35">
      <c r="A61" s="111">
        <f>'New Vestas G20 120L'!R23</f>
        <v>7.3027666438557057</v>
      </c>
      <c r="B61" s="111">
        <f>'New Vestas G20 120L'!T23</f>
        <v>106.60028688260051</v>
      </c>
      <c r="C61" s="50">
        <f t="shared" si="10"/>
        <v>0.86348742320683602</v>
      </c>
      <c r="D61" s="50">
        <f t="shared" si="11"/>
        <v>2.0277583734650628</v>
      </c>
      <c r="E61" s="51">
        <f t="shared" si="12"/>
        <v>0.74561053003638156</v>
      </c>
      <c r="F61" s="51">
        <f t="shared" si="13"/>
        <v>4.1118040211576776</v>
      </c>
      <c r="G61" s="52">
        <f t="shared" si="14"/>
        <v>1.7509438527894321</v>
      </c>
      <c r="H61" s="86"/>
      <c r="I61" s="86"/>
      <c r="J61" s="51">
        <f t="shared" si="6"/>
        <v>1.2233350773216822</v>
      </c>
      <c r="K61" s="51">
        <f t="shared" si="7"/>
        <v>2.0175285961553415</v>
      </c>
      <c r="L61" s="55">
        <f t="shared" si="1"/>
        <v>4.8921345940807978E-3</v>
      </c>
      <c r="M61" s="51">
        <f t="shared" si="2"/>
        <v>2.0126364615612609</v>
      </c>
      <c r="N61" s="94">
        <f t="shared" si="8"/>
        <v>16.723804318358809</v>
      </c>
      <c r="O61" s="56">
        <f t="shared" si="9"/>
        <v>104.11866623864455</v>
      </c>
      <c r="P61" s="57">
        <f t="shared" si="3"/>
        <v>102.9523967588169</v>
      </c>
      <c r="R61" s="47"/>
      <c r="S61" s="47"/>
      <c r="T61" s="47"/>
    </row>
    <row r="62" spans="1:20" ht="12.75" customHeight="1" x14ac:dyDescent="0.35">
      <c r="A62" s="111">
        <f>'New Vestas G20 120L'!R24</f>
        <v>2.4342555479519024</v>
      </c>
      <c r="B62" s="111">
        <f>'New Vestas G20 120L'!T24</f>
        <v>122.60037878831164</v>
      </c>
      <c r="C62" s="50">
        <f t="shared" si="10"/>
        <v>0.3863661684871737</v>
      </c>
      <c r="D62" s="50">
        <f t="shared" si="11"/>
        <v>2.0884918119884275</v>
      </c>
      <c r="E62" s="51">
        <f t="shared" si="12"/>
        <v>0.1492788161514591</v>
      </c>
      <c r="F62" s="51">
        <f t="shared" si="13"/>
        <v>4.3617980487427053</v>
      </c>
      <c r="G62" s="52">
        <f t="shared" si="14"/>
        <v>0.80692257931480349</v>
      </c>
      <c r="H62" s="86"/>
      <c r="I62" s="86"/>
      <c r="J62" s="51">
        <f t="shared" si="6"/>
        <v>1.2129174145978847</v>
      </c>
      <c r="K62" s="51">
        <f t="shared" si="7"/>
        <v>2.018616777867301</v>
      </c>
      <c r="L62" s="55">
        <f t="shared" si="1"/>
        <v>4.8344944484984961E-3</v>
      </c>
      <c r="M62" s="51">
        <f t="shared" si="2"/>
        <v>2.0137822834188026</v>
      </c>
      <c r="N62" s="94">
        <f t="shared" si="8"/>
        <v>16.32741436397766</v>
      </c>
      <c r="O62" s="56">
        <f t="shared" si="9"/>
        <v>104.37987630660572</v>
      </c>
      <c r="P62" s="57">
        <f t="shared" si="3"/>
        <v>103.22438009067787</v>
      </c>
      <c r="R62" s="47"/>
      <c r="S62" s="47"/>
      <c r="T62" s="47"/>
    </row>
    <row r="63" spans="1:20" ht="12.75" customHeight="1" x14ac:dyDescent="0.35">
      <c r="A63" s="111">
        <f>'New Vestas G20 120L'!R25</f>
        <v>3.0428194349398776</v>
      </c>
      <c r="B63" s="111">
        <f>'New Vestas G20 120L'!T25</f>
        <v>118.35645197110961</v>
      </c>
      <c r="C63" s="50">
        <f t="shared" si="10"/>
        <v>0.48327618149523005</v>
      </c>
      <c r="D63" s="50">
        <f t="shared" si="11"/>
        <v>2.073191937626949</v>
      </c>
      <c r="E63" s="51">
        <f t="shared" si="12"/>
        <v>0.23355586760061053</v>
      </c>
      <c r="F63" s="51">
        <f t="shared" si="13"/>
        <v>4.2981248102413829</v>
      </c>
      <c r="G63" s="52">
        <f t="shared" si="14"/>
        <v>1.001924283123049</v>
      </c>
      <c r="H63" s="86"/>
      <c r="I63" s="86"/>
      <c r="J63" s="51">
        <f t="shared" si="6"/>
        <v>1.2022437030535269</v>
      </c>
      <c r="K63" s="51">
        <f t="shared" si="7"/>
        <v>2.0197317052756123</v>
      </c>
      <c r="L63" s="55">
        <f t="shared" si="1"/>
        <v>4.7757923922437445E-3</v>
      </c>
      <c r="M63" s="51">
        <f t="shared" si="2"/>
        <v>2.0149559128833685</v>
      </c>
      <c r="N63" s="94">
        <f t="shared" si="8"/>
        <v>15.931024409596523</v>
      </c>
      <c r="O63" s="56">
        <f t="shared" si="9"/>
        <v>104.64818617200729</v>
      </c>
      <c r="P63" s="57">
        <f t="shared" si="3"/>
        <v>103.50370902414979</v>
      </c>
      <c r="R63" s="47"/>
      <c r="S63" s="47"/>
      <c r="T63" s="47"/>
    </row>
    <row r="64" spans="1:20" ht="12.75" customHeight="1" x14ac:dyDescent="0.35">
      <c r="A64" s="111">
        <f>'New Vestas G20 120L'!R26</f>
        <v>3.6513833219278529</v>
      </c>
      <c r="B64" s="111">
        <f>'New Vestas G20 120L'!T26</f>
        <v>117.42961737884711</v>
      </c>
      <c r="C64" s="50">
        <f t="shared" si="10"/>
        <v>0.56245742754285488</v>
      </c>
      <c r="D64" s="50">
        <f t="shared" si="11"/>
        <v>2.0697776458212562</v>
      </c>
      <c r="E64" s="51">
        <f t="shared" si="12"/>
        <v>0.31635835779812582</v>
      </c>
      <c r="F64" s="51">
        <f t="shared" si="13"/>
        <v>4.2839795031413814</v>
      </c>
      <c r="G64" s="52">
        <f t="shared" si="14"/>
        <v>1.1641618102543301</v>
      </c>
      <c r="H64" s="86"/>
      <c r="I64" s="86"/>
      <c r="J64" s="51">
        <f t="shared" si="6"/>
        <v>1.1913010383473079</v>
      </c>
      <c r="K64" s="51">
        <f t="shared" si="7"/>
        <v>2.020874726309132</v>
      </c>
      <c r="L64" s="55">
        <f t="shared" si="1"/>
        <v>4.7159978852273458E-3</v>
      </c>
      <c r="M64" s="51">
        <f t="shared" si="2"/>
        <v>2.0161587284239046</v>
      </c>
      <c r="N64" s="94">
        <f t="shared" si="8"/>
        <v>15.534634455215388</v>
      </c>
      <c r="O64" s="56">
        <f t="shared" si="9"/>
        <v>104.92397283000709</v>
      </c>
      <c r="P64" s="57">
        <f t="shared" si="3"/>
        <v>103.7907686925019</v>
      </c>
      <c r="R64" s="47"/>
      <c r="S64" s="47"/>
      <c r="T64" s="47"/>
    </row>
    <row r="65" spans="1:20" ht="12.75" customHeight="1" x14ac:dyDescent="0.35">
      <c r="A65" s="111">
        <f>'New Vestas G20 120L'!R27</f>
        <v>4.259947208915829</v>
      </c>
      <c r="B65" s="111">
        <f>'New Vestas G20 120L'!T27</f>
        <v>115.47838665829444</v>
      </c>
      <c r="C65" s="50">
        <f t="shared" si="10"/>
        <v>0.62940421717346817</v>
      </c>
      <c r="D65" s="50">
        <f t="shared" si="11"/>
        <v>2.0625007077485633</v>
      </c>
      <c r="E65" s="51">
        <f t="shared" si="12"/>
        <v>0.3961496685957463</v>
      </c>
      <c r="F65" s="51">
        <f t="shared" si="13"/>
        <v>4.2539091694633244</v>
      </c>
      <c r="G65" s="52">
        <f t="shared" si="14"/>
        <v>1.2981466433802085</v>
      </c>
      <c r="H65" s="86"/>
      <c r="I65" s="86"/>
      <c r="J65" s="51">
        <f t="shared" si="6"/>
        <v>1.1800755153354641</v>
      </c>
      <c r="K65" s="51">
        <f t="shared" si="7"/>
        <v>2.0220472934359948</v>
      </c>
      <c r="L65" s="55">
        <f t="shared" si="1"/>
        <v>4.6550802549987867E-3</v>
      </c>
      <c r="M65" s="51">
        <f t="shared" si="2"/>
        <v>2.017392213180996</v>
      </c>
      <c r="N65" s="94">
        <f t="shared" si="8"/>
        <v>15.138244500834238</v>
      </c>
      <c r="O65" s="56">
        <f t="shared" si="9"/>
        <v>105.20764357220854</v>
      </c>
      <c r="P65" s="57">
        <f t="shared" si="3"/>
        <v>104.08597463289725</v>
      </c>
      <c r="R65" s="47"/>
      <c r="S65" s="47"/>
      <c r="T65" s="47"/>
    </row>
    <row r="66" spans="1:20" ht="12.75" customHeight="1" x14ac:dyDescent="0.35">
      <c r="A66" s="111">
        <f>'New Vestas G20 120L'!R28</f>
        <v>5.4770749828917795</v>
      </c>
      <c r="B66" s="111">
        <f>'New Vestas G20 120L'!T28</f>
        <v>114.47838091401121</v>
      </c>
      <c r="C66" s="50">
        <f t="shared" si="10"/>
        <v>0.73854868659853612</v>
      </c>
      <c r="D66" s="50">
        <f t="shared" si="11"/>
        <v>2.0587234784990724</v>
      </c>
      <c r="E66" s="51">
        <f t="shared" si="12"/>
        <v>0.54545416247642275</v>
      </c>
      <c r="F66" s="51">
        <f t="shared" si="13"/>
        <v>4.2383423609233208</v>
      </c>
      <c r="G66" s="52">
        <f t="shared" si="14"/>
        <v>1.5204675211150596</v>
      </c>
      <c r="H66" s="86"/>
      <c r="I66" s="86"/>
      <c r="J66" s="51">
        <f t="shared" ref="J66:J102" si="15">LOG($I$24+($I$25-$I$24)*(ROW()-2)/100)</f>
        <v>1.1685521218288291</v>
      </c>
      <c r="K66" s="51">
        <f t="shared" ref="K66:K129" si="16">+$I$14+$I$13*J66</f>
        <v>2.0232509747612686</v>
      </c>
      <c r="L66" s="55">
        <f t="shared" ref="L66:L129" si="17">SQRT(2*$I$20*$I$17)*SQRT((1/$I$2)+((J66-$I$11)^2/$I$8))</f>
        <v>4.5930089706392738E-3</v>
      </c>
      <c r="M66" s="51">
        <f t="shared" ref="M66:M102" si="18">+$I$14+$I$13*J66-L66</f>
        <v>2.0186579657906294</v>
      </c>
      <c r="N66" s="94">
        <f t="shared" si="8"/>
        <v>14.741854546453107</v>
      </c>
      <c r="O66" s="56">
        <f t="shared" si="9"/>
        <v>105.49963929135312</v>
      </c>
      <c r="P66" s="57">
        <f t="shared" ref="P66:P102" si="19">10^M66</f>
        <v>104.38977602763083</v>
      </c>
      <c r="R66" s="47"/>
      <c r="S66" s="47"/>
      <c r="T66" s="47"/>
    </row>
    <row r="67" spans="1:20" ht="12.75" customHeight="1" x14ac:dyDescent="0.35">
      <c r="A67" s="111">
        <f>'New Vestas G20 120L'!R29</f>
        <v>6.0856388698797552</v>
      </c>
      <c r="B67" s="111">
        <f>'New Vestas G20 120L'!T29</f>
        <v>113.47837516972798</v>
      </c>
      <c r="C67" s="50">
        <f t="shared" si="10"/>
        <v>0.78430617715921125</v>
      </c>
      <c r="D67" s="50">
        <f t="shared" si="11"/>
        <v>2.0549131087604637</v>
      </c>
      <c r="E67" s="51">
        <f t="shared" si="12"/>
        <v>0.61513617953009603</v>
      </c>
      <c r="F67" s="51">
        <f t="shared" si="13"/>
        <v>4.2226678845555936</v>
      </c>
      <c r="G67" s="52">
        <f t="shared" si="14"/>
        <v>1.6116810447262697</v>
      </c>
      <c r="H67" s="86"/>
      <c r="I67" s="86"/>
      <c r="J67" s="51">
        <f t="shared" si="15"/>
        <v>1.1567146178664993</v>
      </c>
      <c r="K67" s="51">
        <f t="shared" si="16"/>
        <v>2.0244874666374773</v>
      </c>
      <c r="L67" s="55">
        <f t="shared" si="17"/>
        <v>4.5297539998304676E-3</v>
      </c>
      <c r="M67" s="51">
        <f t="shared" si="18"/>
        <v>2.0199577126376469</v>
      </c>
      <c r="N67" s="94">
        <f t="shared" ref="N67:N101" si="20">10^$J67</f>
        <v>14.345464592071965</v>
      </c>
      <c r="O67" s="56">
        <f t="shared" ref="O67:O102" si="21">10^K67</f>
        <v>105.80043824657086</v>
      </c>
      <c r="P67" s="57">
        <f t="shared" si="19"/>
        <v>104.70265938459428</v>
      </c>
      <c r="R67" s="47"/>
      <c r="S67" s="47"/>
      <c r="T67" s="47"/>
    </row>
    <row r="68" spans="1:20" ht="12.75" customHeight="1" x14ac:dyDescent="0.35">
      <c r="A68" s="111">
        <f>'New Vestas G20 120L'!R30</f>
        <v>6.6942027568677309</v>
      </c>
      <c r="B68" s="111">
        <f>'New Vestas G20 120L'!T30</f>
        <v>107.47834070402855</v>
      </c>
      <c r="C68" s="50">
        <f t="shared" si="10"/>
        <v>0.82569886231743628</v>
      </c>
      <c r="D68" s="50">
        <f t="shared" si="11"/>
        <v>2.0313209529914356</v>
      </c>
      <c r="E68" s="51">
        <f t="shared" si="12"/>
        <v>0.68177861123230854</v>
      </c>
      <c r="F68" s="51">
        <f t="shared" si="13"/>
        <v>4.1262648140620337</v>
      </c>
      <c r="G68" s="52">
        <f t="shared" si="14"/>
        <v>1.6772593998865988</v>
      </c>
      <c r="H68" s="86"/>
      <c r="I68" s="86"/>
      <c r="J68" s="51">
        <f t="shared" si="15"/>
        <v>1.1445453980702316</v>
      </c>
      <c r="K68" s="51">
        <f t="shared" si="16"/>
        <v>2.0257586080424361</v>
      </c>
      <c r="L68" s="55">
        <f t="shared" si="17"/>
        <v>4.4652862717036784E-3</v>
      </c>
      <c r="M68" s="51">
        <f t="shared" si="18"/>
        <v>2.0212933217707323</v>
      </c>
      <c r="N68" s="94">
        <f t="shared" si="20"/>
        <v>13.949074637690821</v>
      </c>
      <c r="O68" s="56">
        <f t="shared" si="21"/>
        <v>106.11056036811196</v>
      </c>
      <c r="P68" s="57">
        <f t="shared" si="19"/>
        <v>105.02515272980386</v>
      </c>
      <c r="R68" s="47"/>
      <c r="S68" s="47"/>
      <c r="T68" s="47"/>
    </row>
    <row r="69" spans="1:20" ht="12.75" customHeight="1" x14ac:dyDescent="0.35">
      <c r="A69" s="111">
        <f>'New Vestas G20 120L'!R31</f>
        <v>3.0428194349398776</v>
      </c>
      <c r="B69" s="111">
        <f>'New Vestas G20 120L'!T31</f>
        <v>118.64312103662732</v>
      </c>
      <c r="C69" s="50">
        <f t="shared" si="10"/>
        <v>0.48327618149523005</v>
      </c>
      <c r="D69" s="50">
        <f t="shared" si="11"/>
        <v>2.0742425627603511</v>
      </c>
      <c r="E69" s="51">
        <f t="shared" si="12"/>
        <v>0.23355586760061053</v>
      </c>
      <c r="F69" s="51">
        <f t="shared" si="13"/>
        <v>4.3024822091666293</v>
      </c>
      <c r="G69" s="52">
        <f t="shared" si="14"/>
        <v>1.0024320252257026</v>
      </c>
      <c r="H69" s="86"/>
      <c r="I69" s="86"/>
      <c r="J69" s="51">
        <f t="shared" si="15"/>
        <v>1.132025334151916</v>
      </c>
      <c r="K69" s="51">
        <f t="shared" si="16"/>
        <v>2.0270663970302052</v>
      </c>
      <c r="L69" s="55">
        <f t="shared" si="17"/>
        <v>4.399578274478848E-3</v>
      </c>
      <c r="M69" s="51">
        <f t="shared" si="18"/>
        <v>2.0226668187557264</v>
      </c>
      <c r="N69" s="94">
        <f t="shared" si="20"/>
        <v>13.552684683309678</v>
      </c>
      <c r="O69" s="56">
        <f t="shared" si="21"/>
        <v>106.43057219667152</v>
      </c>
      <c r="P69" s="57">
        <f t="shared" si="19"/>
        <v>105.35783039923601</v>
      </c>
      <c r="R69" s="47"/>
      <c r="S69" s="47"/>
      <c r="T69" s="47"/>
    </row>
    <row r="70" spans="1:20" ht="12.75" customHeight="1" x14ac:dyDescent="0.35">
      <c r="A70" s="111">
        <f>'New Vestas G20 120L'!R32</f>
        <v>3.6513833219278529</v>
      </c>
      <c r="B70" s="111">
        <f>'New Vestas G20 120L'!T32</f>
        <v>115.05547298976759</v>
      </c>
      <c r="C70" s="50">
        <f t="shared" si="10"/>
        <v>0.56245742754285488</v>
      </c>
      <c r="D70" s="50">
        <f t="shared" si="11"/>
        <v>2.0609072821330621</v>
      </c>
      <c r="E70" s="51">
        <f t="shared" si="12"/>
        <v>0.31635835779812582</v>
      </c>
      <c r="F70" s="51">
        <f t="shared" si="13"/>
        <v>4.2473388255490843</v>
      </c>
      <c r="G70" s="52">
        <f t="shared" si="14"/>
        <v>1.1591726083128988</v>
      </c>
      <c r="H70" s="86"/>
      <c r="I70" s="86"/>
      <c r="J70" s="51">
        <f t="shared" si="15"/>
        <v>1.1191335940378582</v>
      </c>
      <c r="K70" s="51">
        <f t="shared" si="16"/>
        <v>2.0284130096245456</v>
      </c>
      <c r="L70" s="55">
        <f t="shared" si="17"/>
        <v>4.3326048252588971E-3</v>
      </c>
      <c r="M70" s="51">
        <f t="shared" si="18"/>
        <v>2.0240804047992866</v>
      </c>
      <c r="N70" s="94">
        <f t="shared" si="20"/>
        <v>13.156294728928538</v>
      </c>
      <c r="O70" s="56">
        <f t="shared" si="21"/>
        <v>106.76109257252088</v>
      </c>
      <c r="P70" s="57">
        <f t="shared" si="19"/>
        <v>105.701318534969</v>
      </c>
      <c r="R70" s="47"/>
      <c r="S70" s="47"/>
      <c r="T70" s="47"/>
    </row>
    <row r="71" spans="1:20" ht="12.75" customHeight="1" x14ac:dyDescent="0.35">
      <c r="A71" s="111">
        <f>'New Vestas G20 120L'!R33</f>
        <v>4.8685110959038047</v>
      </c>
      <c r="B71" s="111">
        <f>'New Vestas G20 120L'!T33</f>
        <v>112.3464326278531</v>
      </c>
      <c r="C71" s="50">
        <f t="shared" si="10"/>
        <v>0.6873961641511549</v>
      </c>
      <c r="D71" s="50">
        <f t="shared" si="11"/>
        <v>2.0505592866827347</v>
      </c>
      <c r="E71" s="51">
        <f t="shared" si="12"/>
        <v>0.47251348648972147</v>
      </c>
      <c r="F71" s="51">
        <f t="shared" si="13"/>
        <v>4.2047933882008053</v>
      </c>
      <c r="G71" s="52">
        <f t="shared" si="14"/>
        <v>1.4095465880302402</v>
      </c>
      <c r="H71" s="86"/>
      <c r="I71" s="86"/>
      <c r="J71" s="51">
        <f t="shared" si="15"/>
        <v>1.1058474333159494</v>
      </c>
      <c r="K71" s="51">
        <f t="shared" si="16"/>
        <v>2.0298008216033985</v>
      </c>
      <c r="L71" s="55">
        <f t="shared" si="17"/>
        <v>4.2643440602937307E-3</v>
      </c>
      <c r="M71" s="51">
        <f t="shared" si="18"/>
        <v>2.0255364775431048</v>
      </c>
      <c r="N71" s="94">
        <f t="shared" si="20"/>
        <v>12.759904774547405</v>
      </c>
      <c r="O71" s="56">
        <f t="shared" si="21"/>
        <v>107.10279921474825</v>
      </c>
      <c r="P71" s="57">
        <f t="shared" si="19"/>
        <v>106.0563014126275</v>
      </c>
      <c r="R71" s="47"/>
      <c r="S71" s="47"/>
      <c r="T71" s="47"/>
    </row>
    <row r="72" spans="1:20" ht="12.75" customHeight="1" x14ac:dyDescent="0.35">
      <c r="A72" s="111">
        <f>'New Vestas G20 120L'!R34</f>
        <v>5.4770749828917795</v>
      </c>
      <c r="B72" s="111">
        <f>'New Vestas G20 120L'!T34</f>
        <v>110.88208648627773</v>
      </c>
      <c r="C72" s="50">
        <f t="shared" si="10"/>
        <v>0.73854868659853612</v>
      </c>
      <c r="D72" s="50">
        <f t="shared" si="11"/>
        <v>2.0448613895346086</v>
      </c>
      <c r="E72" s="51">
        <f t="shared" si="12"/>
        <v>0.54545416247642275</v>
      </c>
      <c r="F72" s="51">
        <f t="shared" si="13"/>
        <v>4.18145810240941</v>
      </c>
      <c r="G72" s="52">
        <f t="shared" si="14"/>
        <v>1.5102296935168427</v>
      </c>
      <c r="H72" s="86"/>
      <c r="I72" s="86"/>
      <c r="J72" s="51">
        <f t="shared" si="15"/>
        <v>1.0921419537627555</v>
      </c>
      <c r="K72" s="51">
        <f t="shared" si="16"/>
        <v>2.0312324337220513</v>
      </c>
      <c r="L72" s="55">
        <f t="shared" si="17"/>
        <v>4.1947787084358817E-3</v>
      </c>
      <c r="M72" s="51">
        <f t="shared" si="18"/>
        <v>2.0270376550136153</v>
      </c>
      <c r="N72" s="94">
        <f t="shared" si="20"/>
        <v>12.363514820166262</v>
      </c>
      <c r="O72" s="56">
        <f t="shared" si="21"/>
        <v>107.45643636243774</v>
      </c>
      <c r="P72" s="57">
        <f t="shared" si="19"/>
        <v>106.42352875454475</v>
      </c>
      <c r="R72" s="47"/>
      <c r="S72" s="47"/>
      <c r="T72" s="47"/>
    </row>
    <row r="73" spans="1:20" ht="12.75" customHeight="1" x14ac:dyDescent="0.35">
      <c r="A73" s="111">
        <f>'New Vestas G20 120L'!R35</f>
        <v>6.0856388698797552</v>
      </c>
      <c r="B73" s="111">
        <f>'New Vestas G20 120L'!T35</f>
        <v>110.63802879601515</v>
      </c>
      <c r="C73" s="50">
        <f t="shared" si="10"/>
        <v>0.78430617715921125</v>
      </c>
      <c r="D73" s="50">
        <f t="shared" si="11"/>
        <v>2.0439044294779753</v>
      </c>
      <c r="E73" s="51">
        <f t="shared" si="12"/>
        <v>0.61513617953009603</v>
      </c>
      <c r="F73" s="51">
        <f t="shared" si="13"/>
        <v>4.1775453168396881</v>
      </c>
      <c r="G73" s="52">
        <f t="shared" si="14"/>
        <v>1.6030468695626496</v>
      </c>
      <c r="H73" s="86"/>
      <c r="I73" s="86"/>
      <c r="J73" s="51">
        <f t="shared" si="15"/>
        <v>1.0779898225109545</v>
      </c>
      <c r="K73" s="51">
        <f t="shared" si="16"/>
        <v>2.0327107010476273</v>
      </c>
      <c r="L73" s="55">
        <f t="shared" si="17"/>
        <v>4.1238977295503243E-3</v>
      </c>
      <c r="M73" s="51">
        <f t="shared" si="18"/>
        <v>2.0285868033180772</v>
      </c>
      <c r="N73" s="94">
        <f t="shared" si="20"/>
        <v>11.967124865785124</v>
      </c>
      <c r="O73" s="56">
        <f t="shared" si="21"/>
        <v>107.82282368947781</v>
      </c>
      <c r="P73" s="57">
        <f t="shared" si="19"/>
        <v>106.80382421746341</v>
      </c>
      <c r="R73" s="47"/>
      <c r="S73" s="47"/>
      <c r="T73" s="47"/>
    </row>
    <row r="74" spans="1:20" ht="12.75" customHeight="1" x14ac:dyDescent="0.35">
      <c r="A74" s="111">
        <f>'New Vestas G20 120L'!R36</f>
        <v>15.641802717763225</v>
      </c>
      <c r="B74" s="111">
        <f>'New Vestas G20 120L'!T36</f>
        <v>101.0765920893912</v>
      </c>
      <c r="C74" s="50">
        <f t="shared" si="10"/>
        <v>1.194286804047362</v>
      </c>
      <c r="D74" s="50">
        <f t="shared" si="11"/>
        <v>2.0046505907694194</v>
      </c>
      <c r="E74" s="51">
        <f t="shared" si="12"/>
        <v>1.4263209703216619</v>
      </c>
      <c r="F74" s="51">
        <f t="shared" si="13"/>
        <v>4.0186239910721824</v>
      </c>
      <c r="G74" s="52">
        <f t="shared" si="14"/>
        <v>2.394127747281666</v>
      </c>
      <c r="H74" s="86"/>
      <c r="I74" s="86"/>
      <c r="J74" s="51">
        <f t="shared" si="15"/>
        <v>1.0633609438982747</v>
      </c>
      <c r="K74" s="51">
        <f t="shared" si="16"/>
        <v>2.0342387672362583</v>
      </c>
      <c r="L74" s="55">
        <f t="shared" si="17"/>
        <v>4.051698424910241E-3</v>
      </c>
      <c r="M74" s="51">
        <f t="shared" si="18"/>
        <v>2.0301870688113479</v>
      </c>
      <c r="N74" s="94">
        <f t="shared" si="20"/>
        <v>11.570734911403981</v>
      </c>
      <c r="O74" s="56">
        <f t="shared" si="21"/>
        <v>108.20286675547243</v>
      </c>
      <c r="P74" s="57">
        <f t="shared" si="19"/>
        <v>107.19809528706269</v>
      </c>
      <c r="R74" s="47"/>
      <c r="S74" s="47"/>
      <c r="T74" s="47"/>
    </row>
    <row r="75" spans="1:20" ht="12.75" customHeight="1" x14ac:dyDescent="0.35">
      <c r="A75" s="111">
        <f>'New Vestas G20 120L'!R37</f>
        <v>13.034835598136022</v>
      </c>
      <c r="B75" s="111">
        <f>'New Vestas G20 120L'!T37</f>
        <v>99.463772200994654</v>
      </c>
      <c r="C75" s="50">
        <f t="shared" si="10"/>
        <v>1.1151055579997373</v>
      </c>
      <c r="D75" s="50">
        <f t="shared" si="11"/>
        <v>1.9976649259902204</v>
      </c>
      <c r="E75" s="51">
        <f t="shared" si="12"/>
        <v>1.2434604054819056</v>
      </c>
      <c r="F75" s="51">
        <f t="shared" si="13"/>
        <v>3.9906651565315125</v>
      </c>
      <c r="G75" s="52">
        <f t="shared" si="14"/>
        <v>2.2276072619928287</v>
      </c>
      <c r="H75" s="86"/>
      <c r="I75" s="86"/>
      <c r="J75" s="51">
        <f t="shared" si="15"/>
        <v>1.0482220740958381</v>
      </c>
      <c r="K75" s="51">
        <f t="shared" si="16"/>
        <v>2.0358201047872537</v>
      </c>
      <c r="L75" s="55">
        <f t="shared" si="17"/>
        <v>3.9781891602815936E-3</v>
      </c>
      <c r="M75" s="51">
        <f t="shared" si="18"/>
        <v>2.031841915626972</v>
      </c>
      <c r="N75" s="94">
        <f t="shared" si="20"/>
        <v>11.174344957022839</v>
      </c>
      <c r="O75" s="56">
        <f t="shared" si="21"/>
        <v>108.59756932037675</v>
      </c>
      <c r="P75" s="57">
        <f t="shared" si="19"/>
        <v>107.60734486693418</v>
      </c>
      <c r="R75" s="47"/>
      <c r="S75" s="47"/>
      <c r="T75" s="47"/>
    </row>
    <row r="76" spans="1:20" ht="12.75" customHeight="1" x14ac:dyDescent="0.35">
      <c r="A76" s="112">
        <f>'New Vestas G27 105L'!R7</f>
        <v>30.854470482189271</v>
      </c>
      <c r="B76" s="112">
        <f>'New Vestas G27 105L'!T7</f>
        <v>96.398686048416309</v>
      </c>
      <c r="C76" s="50">
        <f t="shared" si="10"/>
        <v>1.4893180975455251</v>
      </c>
      <c r="D76" s="50">
        <f t="shared" si="11"/>
        <v>1.9840711143404728</v>
      </c>
      <c r="E76" s="51">
        <f t="shared" si="12"/>
        <v>2.2180683956766223</v>
      </c>
      <c r="F76" s="51">
        <f t="shared" si="13"/>
        <v>3.9365381867602456</v>
      </c>
      <c r="G76" s="52">
        <f t="shared" si="14"/>
        <v>2.954913017404583</v>
      </c>
      <c r="H76" s="86"/>
      <c r="I76" s="86"/>
      <c r="J76" s="51">
        <f t="shared" si="15"/>
        <v>1.0325363661086611</v>
      </c>
      <c r="K76" s="51">
        <f t="shared" si="16"/>
        <v>2.0374585625702837</v>
      </c>
      <c r="L76" s="55">
        <f t="shared" si="17"/>
        <v>3.9033928874333307E-3</v>
      </c>
      <c r="M76" s="51">
        <f t="shared" si="18"/>
        <v>2.0335551696828502</v>
      </c>
      <c r="N76" s="94">
        <f t="shared" si="20"/>
        <v>10.777955002641708</v>
      </c>
      <c r="O76" s="56">
        <f t="shared" si="21"/>
        <v>109.00804793476323</v>
      </c>
      <c r="P76" s="57">
        <f t="shared" si="19"/>
        <v>108.03268492065122</v>
      </c>
      <c r="R76" s="47"/>
      <c r="S76" s="47"/>
      <c r="T76" s="47"/>
    </row>
    <row r="77" spans="1:20" ht="12.75" customHeight="1" x14ac:dyDescent="0.35">
      <c r="A77" s="112">
        <f>'New Vestas G27 105L'!R8</f>
        <v>33.939917530408195</v>
      </c>
      <c r="B77" s="112">
        <f>'New Vestas G27 105L'!T8</f>
        <v>93.377574558440898</v>
      </c>
      <c r="C77" s="50">
        <f t="shared" si="10"/>
        <v>1.5307107827037501</v>
      </c>
      <c r="D77" s="50">
        <f t="shared" si="11"/>
        <v>1.9702425891325317</v>
      </c>
      <c r="E77" s="51">
        <f t="shared" si="12"/>
        <v>2.343075500285527</v>
      </c>
      <c r="F77" s="51">
        <f t="shared" si="13"/>
        <v>3.8818558600316622</v>
      </c>
      <c r="G77" s="52">
        <f t="shared" si="14"/>
        <v>3.0158715757273207</v>
      </c>
      <c r="H77" s="86"/>
      <c r="I77" s="86"/>
      <c r="J77" s="51">
        <f t="shared" si="15"/>
        <v>1.0162628294843303</v>
      </c>
      <c r="K77" s="51">
        <f t="shared" si="16"/>
        <v>2.0391584222617527</v>
      </c>
      <c r="L77" s="55">
        <f t="shared" si="17"/>
        <v>3.8273517102386341E-3</v>
      </c>
      <c r="M77" s="51">
        <f t="shared" si="18"/>
        <v>2.0353310705515142</v>
      </c>
      <c r="N77" s="94">
        <f t="shared" si="20"/>
        <v>10.381565048260557</v>
      </c>
      <c r="O77" s="56">
        <f t="shared" si="21"/>
        <v>109.43554932755582</v>
      </c>
      <c r="P77" s="57">
        <f t="shared" si="19"/>
        <v>108.47535261755617</v>
      </c>
      <c r="R77" s="47"/>
      <c r="S77" s="47"/>
      <c r="T77" s="47"/>
    </row>
    <row r="78" spans="1:20" ht="12.75" customHeight="1" x14ac:dyDescent="0.35">
      <c r="A78" s="112">
        <f>'New Vestas G27 105L'!R9</f>
        <v>33.939917530408195</v>
      </c>
      <c r="B78" s="112">
        <f>'New Vestas G27 105L'!T9</f>
        <v>98.202523299837239</v>
      </c>
      <c r="C78" s="50">
        <f t="shared" si="10"/>
        <v>1.5307107827037501</v>
      </c>
      <c r="D78" s="50">
        <f t="shared" si="11"/>
        <v>1.9921226470651214</v>
      </c>
      <c r="E78" s="51">
        <f t="shared" si="12"/>
        <v>2.343075500285527</v>
      </c>
      <c r="F78" s="51">
        <f t="shared" si="13"/>
        <v>3.9685526409497465</v>
      </c>
      <c r="G78" s="52">
        <f t="shared" si="14"/>
        <v>3.0493636163309183</v>
      </c>
      <c r="H78" s="83"/>
      <c r="I78" s="83"/>
      <c r="J78" s="51">
        <f t="shared" si="15"/>
        <v>0.99935568479399506</v>
      </c>
      <c r="K78" s="51">
        <f t="shared" si="16"/>
        <v>2.0409244657727843</v>
      </c>
      <c r="L78" s="55">
        <f t="shared" si="17"/>
        <v>3.750132822826221E-3</v>
      </c>
      <c r="M78" s="51">
        <f t="shared" si="18"/>
        <v>2.0371743329499581</v>
      </c>
      <c r="N78" s="94">
        <f t="shared" si="20"/>
        <v>9.9851750938794233</v>
      </c>
      <c r="O78" s="56">
        <f t="shared" si="21"/>
        <v>109.88147125779867</v>
      </c>
      <c r="P78" s="57">
        <f t="shared" si="19"/>
        <v>108.93672955319558</v>
      </c>
      <c r="R78" s="47"/>
      <c r="S78" s="47"/>
      <c r="T78" s="47"/>
    </row>
    <row r="79" spans="1:20" ht="12.75" customHeight="1" x14ac:dyDescent="0.35">
      <c r="A79" s="112">
        <f>'New Vestas G27 105L'!R10</f>
        <v>38.568088102736588</v>
      </c>
      <c r="B79" s="112">
        <f>'New Vestas G27 105L'!T10</f>
        <v>96.892645099435484</v>
      </c>
      <c r="C79" s="50">
        <f t="shared" si="10"/>
        <v>1.5862281105535816</v>
      </c>
      <c r="D79" s="50">
        <f t="shared" si="11"/>
        <v>1.9862908119944289</v>
      </c>
      <c r="E79" s="51">
        <f t="shared" si="12"/>
        <v>2.5161196187103854</v>
      </c>
      <c r="F79" s="51">
        <f t="shared" si="13"/>
        <v>3.9453511898134876</v>
      </c>
      <c r="G79" s="52">
        <f t="shared" si="14"/>
        <v>3.1507103217198624</v>
      </c>
      <c r="H79" s="83"/>
      <c r="I79" s="83"/>
      <c r="J79" s="51">
        <f t="shared" si="15"/>
        <v>0.98176358729228785</v>
      </c>
      <c r="K79" s="51">
        <f t="shared" si="16"/>
        <v>2.0427620563421773</v>
      </c>
      <c r="L79" s="55">
        <f t="shared" si="17"/>
        <v>3.6718362567724917E-3</v>
      </c>
      <c r="M79" s="51">
        <f t="shared" si="18"/>
        <v>2.0390902200854049</v>
      </c>
      <c r="N79" s="94">
        <f t="shared" si="20"/>
        <v>9.588785139498281</v>
      </c>
      <c r="O79" s="56">
        <f t="shared" si="21"/>
        <v>110.34738768939637</v>
      </c>
      <c r="P79" s="57">
        <f t="shared" si="19"/>
        <v>109.41836477440663</v>
      </c>
      <c r="R79" s="47"/>
      <c r="S79" s="47"/>
      <c r="T79" s="47"/>
    </row>
    <row r="80" spans="1:20" ht="12.75" customHeight="1" x14ac:dyDescent="0.35">
      <c r="A80" s="112">
        <f>'New Vestas G27 105L'!R11</f>
        <v>40.110811626846051</v>
      </c>
      <c r="B80" s="112">
        <f>'New Vestas G27 105L'!T11</f>
        <v>91.075244856474768</v>
      </c>
      <c r="C80" s="50">
        <f t="shared" si="10"/>
        <v>1.6032614498523619</v>
      </c>
      <c r="D80" s="50">
        <f t="shared" si="11"/>
        <v>1.9594003475194754</v>
      </c>
      <c r="E80" s="51">
        <f t="shared" si="12"/>
        <v>2.5704472765826973</v>
      </c>
      <c r="F80" s="51">
        <f t="shared" si="13"/>
        <v>3.8392497218594412</v>
      </c>
      <c r="G80" s="52">
        <f t="shared" si="14"/>
        <v>3.141431042005296</v>
      </c>
      <c r="H80" s="83"/>
      <c r="I80" s="83"/>
      <c r="J80" s="51">
        <f t="shared" si="15"/>
        <v>0.96342868659259784</v>
      </c>
      <c r="K80" s="51">
        <f t="shared" si="16"/>
        <v>2.0446772367584547</v>
      </c>
      <c r="L80" s="55">
        <f t="shared" si="17"/>
        <v>3.5926050219141975E-3</v>
      </c>
      <c r="M80" s="51">
        <f t="shared" si="18"/>
        <v>2.0410846317365405</v>
      </c>
      <c r="N80" s="94">
        <f t="shared" si="20"/>
        <v>9.1923951851171388</v>
      </c>
      <c r="O80" s="56">
        <f t="shared" si="21"/>
        <v>110.83507940616312</v>
      </c>
      <c r="P80" s="57">
        <f t="shared" si="19"/>
        <v>109.92200255198686</v>
      </c>
      <c r="R80" s="47"/>
      <c r="S80" s="47"/>
      <c r="T80" s="47"/>
    </row>
    <row r="81" spans="1:20" ht="12.75" customHeight="1" x14ac:dyDescent="0.35">
      <c r="A81" s="112">
        <f>'New Vestas G27 105L'!R12</f>
        <v>27.769023433970343</v>
      </c>
      <c r="B81" s="112">
        <f>'New Vestas G27 105L'!T12</f>
        <v>98.226747141076572</v>
      </c>
      <c r="C81" s="50">
        <f t="shared" si="10"/>
        <v>1.4435606069848499</v>
      </c>
      <c r="D81" s="50">
        <f t="shared" si="11"/>
        <v>1.9922297622685781</v>
      </c>
      <c r="E81" s="51">
        <f t="shared" si="12"/>
        <v>2.0838672260384681</v>
      </c>
      <c r="F81" s="51">
        <f t="shared" si="13"/>
        <v>3.968979425668715</v>
      </c>
      <c r="G81" s="52">
        <f t="shared" si="14"/>
        <v>2.8759044048737117</v>
      </c>
      <c r="H81" s="83"/>
      <c r="I81" s="83"/>
      <c r="J81" s="51">
        <f t="shared" si="15"/>
        <v>0.94428547895149784</v>
      </c>
      <c r="K81" s="51">
        <f t="shared" si="16"/>
        <v>2.0466768492450162</v>
      </c>
      <c r="L81" s="55">
        <f t="shared" si="17"/>
        <v>3.512638423823395E-3</v>
      </c>
      <c r="M81" s="51">
        <f t="shared" si="18"/>
        <v>2.0431642108211929</v>
      </c>
      <c r="N81" s="94">
        <f t="shared" si="20"/>
        <v>8.7960052307360002</v>
      </c>
      <c r="O81" s="56">
        <f t="shared" si="21"/>
        <v>111.34657153553113</v>
      </c>
      <c r="P81" s="57">
        <f t="shared" si="19"/>
        <v>110.44961613276307</v>
      </c>
      <c r="R81" s="47"/>
      <c r="S81" s="47"/>
      <c r="T81" s="47"/>
    </row>
    <row r="82" spans="1:20" ht="12.75" customHeight="1" x14ac:dyDescent="0.35">
      <c r="A82" s="112">
        <f>'New Vestas G27 105L'!R13</f>
        <v>29.311746958079805</v>
      </c>
      <c r="B82" s="112">
        <f>'New Vestas G27 105L'!T13</f>
        <v>96.129287571603214</v>
      </c>
      <c r="C82" s="50">
        <f t="shared" si="10"/>
        <v>1.4670417028343727</v>
      </c>
      <c r="D82" s="50">
        <f t="shared" si="11"/>
        <v>1.9828557237032332</v>
      </c>
      <c r="E82" s="51">
        <f t="shared" si="12"/>
        <v>2.152211357855176</v>
      </c>
      <c r="F82" s="51">
        <f t="shared" si="13"/>
        <v>3.9317168210226723</v>
      </c>
      <c r="G82" s="52">
        <f t="shared" si="14"/>
        <v>2.9089320373764735</v>
      </c>
      <c r="H82" s="83"/>
      <c r="I82" s="83"/>
      <c r="J82" s="51">
        <f t="shared" si="15"/>
        <v>0.9242593947306309</v>
      </c>
      <c r="K82" s="51">
        <f t="shared" si="16"/>
        <v>2.0487686830074523</v>
      </c>
      <c r="L82" s="55">
        <f t="shared" si="17"/>
        <v>3.4322096064982356E-3</v>
      </c>
      <c r="M82" s="51">
        <f t="shared" si="18"/>
        <v>2.0453364734009543</v>
      </c>
      <c r="N82" s="94">
        <f t="shared" si="20"/>
        <v>8.3996152763548562</v>
      </c>
      <c r="O82" s="56">
        <f t="shared" si="21"/>
        <v>111.88417993191403</v>
      </c>
      <c r="P82" s="57">
        <f t="shared" si="19"/>
        <v>111.00344910083228</v>
      </c>
      <c r="R82" s="47"/>
      <c r="S82" s="47"/>
      <c r="T82" s="47"/>
    </row>
    <row r="83" spans="1:20" ht="12.75" customHeight="1" x14ac:dyDescent="0.35">
      <c r="A83" s="112">
        <f>'New Vestas G27 105L'!R14</f>
        <v>38.568088102736588</v>
      </c>
      <c r="B83" s="112">
        <f>'New Vestas G27 105L'!T14</f>
        <v>95.109421909382206</v>
      </c>
      <c r="C83" s="50">
        <f t="shared" si="10"/>
        <v>1.5862281105535816</v>
      </c>
      <c r="D83" s="50">
        <f t="shared" si="11"/>
        <v>1.9782235419696752</v>
      </c>
      <c r="E83" s="51">
        <f t="shared" si="12"/>
        <v>2.5161196187103854</v>
      </c>
      <c r="F83" s="51">
        <f t="shared" si="13"/>
        <v>3.9133683820030472</v>
      </c>
      <c r="G83" s="52">
        <f t="shared" si="14"/>
        <v>3.1379137912311719</v>
      </c>
      <c r="H83" s="83"/>
      <c r="I83" s="83"/>
      <c r="J83" s="51">
        <f t="shared" si="15"/>
        <v>0.90326504414777686</v>
      </c>
      <c r="K83" s="51">
        <f t="shared" si="16"/>
        <v>2.0509616574744163</v>
      </c>
      <c r="L83" s="55">
        <f t="shared" si="17"/>
        <v>3.3516887206456957E-3</v>
      </c>
      <c r="M83" s="51">
        <f t="shared" si="18"/>
        <v>2.0476099687537705</v>
      </c>
      <c r="N83" s="94">
        <f t="shared" si="20"/>
        <v>8.0032253219737175</v>
      </c>
      <c r="O83" s="56">
        <f t="shared" si="21"/>
        <v>112.45056904315292</v>
      </c>
      <c r="P83" s="57">
        <f t="shared" si="19"/>
        <v>111.58606653531051</v>
      </c>
      <c r="R83" s="47"/>
      <c r="S83" s="47"/>
      <c r="T83" s="47"/>
    </row>
    <row r="84" spans="1:20" ht="12.75" customHeight="1" x14ac:dyDescent="0.35">
      <c r="A84" s="112">
        <f>'New Vestas G27 105L'!R15</f>
        <v>3.8413815750325635</v>
      </c>
      <c r="B84" s="112">
        <f>'New Vestas G27 105L'!T15</f>
        <v>119.13563169228982</v>
      </c>
      <c r="C84" s="50">
        <f t="shared" si="10"/>
        <v>0.58448744897728011</v>
      </c>
      <c r="D84" s="50">
        <f t="shared" si="11"/>
        <v>2.07604167191933</v>
      </c>
      <c r="E84" s="51">
        <f t="shared" si="12"/>
        <v>0.34162557801196863</v>
      </c>
      <c r="F84" s="51">
        <f t="shared" si="13"/>
        <v>4.3099490235456068</v>
      </c>
      <c r="G84" s="52">
        <f t="shared" si="14"/>
        <v>1.2134203007906568</v>
      </c>
      <c r="H84" s="83"/>
      <c r="I84" s="83"/>
      <c r="J84" s="51">
        <f t="shared" si="15"/>
        <v>0.88120401705431017</v>
      </c>
      <c r="K84" s="51">
        <f t="shared" si="16"/>
        <v>2.0532660521228743</v>
      </c>
      <c r="L84" s="55">
        <f t="shared" si="17"/>
        <v>3.2715735765713513E-3</v>
      </c>
      <c r="M84" s="51">
        <f t="shared" si="18"/>
        <v>2.0499944785463029</v>
      </c>
      <c r="N84" s="94">
        <f t="shared" si="20"/>
        <v>7.6068353675925833</v>
      </c>
      <c r="O84" s="56">
        <f t="shared" si="21"/>
        <v>113.04882483382251</v>
      </c>
      <c r="P84" s="57">
        <f t="shared" si="19"/>
        <v>112.20041894797762</v>
      </c>
      <c r="R84" s="47"/>
      <c r="S84" s="47"/>
      <c r="T84" s="47"/>
    </row>
    <row r="85" spans="1:20" ht="12.75" customHeight="1" x14ac:dyDescent="0.35">
      <c r="A85" s="112">
        <f>'New Vestas G27 105L'!R16</f>
        <v>4.8017269687907049</v>
      </c>
      <c r="B85" s="112">
        <f>'New Vestas G27 105L'!T16</f>
        <v>114.99363409754525</v>
      </c>
      <c r="C85" s="50">
        <f t="shared" si="10"/>
        <v>0.68139746198533657</v>
      </c>
      <c r="D85" s="50">
        <f t="shared" si="11"/>
        <v>2.060673799024642</v>
      </c>
      <c r="E85" s="51">
        <f t="shared" si="12"/>
        <v>0.46430250120005823</v>
      </c>
      <c r="F85" s="51">
        <f t="shared" si="13"/>
        <v>4.2463765059866505</v>
      </c>
      <c r="G85" s="52">
        <f t="shared" si="14"/>
        <v>1.4041378966350726</v>
      </c>
      <c r="H85" s="83"/>
      <c r="I85" s="83"/>
      <c r="J85" s="51">
        <f t="shared" si="15"/>
        <v>0.85796209336367868</v>
      </c>
      <c r="K85" s="51">
        <f t="shared" si="16"/>
        <v>2.0556937978640692</v>
      </c>
      <c r="L85" s="55">
        <f t="shared" si="17"/>
        <v>3.192530222737547E-3</v>
      </c>
      <c r="M85" s="51">
        <f t="shared" si="18"/>
        <v>2.0525012676413317</v>
      </c>
      <c r="N85" s="94">
        <f t="shared" si="20"/>
        <v>7.2104454132114402</v>
      </c>
      <c r="O85" s="56">
        <f t="shared" si="21"/>
        <v>113.68254770344292</v>
      </c>
      <c r="P85" s="57">
        <f t="shared" si="19"/>
        <v>112.84992314452312</v>
      </c>
      <c r="R85" s="47"/>
      <c r="S85" s="47"/>
      <c r="T85" s="47"/>
    </row>
    <row r="86" spans="1:20" ht="12.75" customHeight="1" x14ac:dyDescent="0.35">
      <c r="A86" s="112">
        <f>'New Vestas G27 105L'!R17</f>
        <v>6.722417756306986</v>
      </c>
      <c r="B86" s="112">
        <f>'New Vestas G27 105L'!T17</f>
        <v>113.98806242714483</v>
      </c>
      <c r="C86" s="50">
        <f t="shared" si="10"/>
        <v>0.82752549766357464</v>
      </c>
      <c r="D86" s="50">
        <f t="shared" si="11"/>
        <v>2.0568593715690859</v>
      </c>
      <c r="E86" s="51">
        <f t="shared" si="12"/>
        <v>0.68479844928334688</v>
      </c>
      <c r="F86" s="51">
        <f t="shared" si="13"/>
        <v>4.2306704744115748</v>
      </c>
      <c r="G86" s="52">
        <f t="shared" si="14"/>
        <v>1.7021035750816953</v>
      </c>
      <c r="H86" s="83"/>
      <c r="I86" s="83"/>
      <c r="J86" s="51">
        <f t="shared" si="15"/>
        <v>0.83340566392014093</v>
      </c>
      <c r="K86" s="51">
        <f t="shared" si="16"/>
        <v>2.0582588509033122</v>
      </c>
      <c r="L86" s="55">
        <f t="shared" si="17"/>
        <v>3.1154465977045577E-3</v>
      </c>
      <c r="M86" s="51">
        <f t="shared" si="18"/>
        <v>2.0551434043056078</v>
      </c>
      <c r="N86" s="94">
        <f t="shared" si="20"/>
        <v>6.8140554588302971</v>
      </c>
      <c r="O86" s="56">
        <f t="shared" si="21"/>
        <v>114.35597232990031</v>
      </c>
      <c r="P86" s="57">
        <f t="shared" si="19"/>
        <v>113.53856588265447</v>
      </c>
      <c r="R86" s="47"/>
      <c r="S86" s="47"/>
      <c r="T86" s="47"/>
    </row>
    <row r="87" spans="1:20" ht="12.75" customHeight="1" x14ac:dyDescent="0.35">
      <c r="A87" s="112">
        <f>'New Vestas G27 105L'!R18</f>
        <v>9.6034539375814099</v>
      </c>
      <c r="B87" s="112">
        <f>'New Vestas G27 105L'!T18</f>
        <v>111.52201761640093</v>
      </c>
      <c r="C87" s="50">
        <f t="shared" si="10"/>
        <v>0.98242745764931783</v>
      </c>
      <c r="D87" s="50">
        <f t="shared" si="11"/>
        <v>2.0473606179252322</v>
      </c>
      <c r="E87" s="51">
        <f t="shared" si="12"/>
        <v>0.96516370954330222</v>
      </c>
      <c r="F87" s="51">
        <f t="shared" si="13"/>
        <v>4.1916854998311885</v>
      </c>
      <c r="G87" s="52">
        <f t="shared" si="14"/>
        <v>2.0113832867596222</v>
      </c>
      <c r="H87" s="83"/>
      <c r="I87" s="83"/>
      <c r="J87" s="51">
        <f t="shared" si="15"/>
        <v>0.8073770774591289</v>
      </c>
      <c r="K87" s="51">
        <f t="shared" si="16"/>
        <v>2.060977678775358</v>
      </c>
      <c r="L87" s="55">
        <f t="shared" si="17"/>
        <v>3.0415031981096208E-3</v>
      </c>
      <c r="M87" s="51">
        <f t="shared" si="18"/>
        <v>2.0579361755772485</v>
      </c>
      <c r="N87" s="94">
        <f t="shared" si="20"/>
        <v>6.417665504449162</v>
      </c>
      <c r="O87" s="56">
        <f t="shared" si="21"/>
        <v>115.07412433301974</v>
      </c>
      <c r="P87" s="57">
        <f t="shared" si="19"/>
        <v>114.2710388400029</v>
      </c>
      <c r="R87" s="47"/>
      <c r="S87" s="47"/>
      <c r="T87" s="47"/>
    </row>
    <row r="88" spans="1:20" ht="12.75" customHeight="1" x14ac:dyDescent="0.35">
      <c r="A88" s="112">
        <f>'New Vestas G27 105L'!R19</f>
        <v>10.563799331339549</v>
      </c>
      <c r="B88" s="112">
        <f>'New Vestas G27 105L'!T19</f>
        <v>109.94183356291457</v>
      </c>
      <c r="C88" s="50">
        <f t="shared" si="10"/>
        <v>1.0238201428075429</v>
      </c>
      <c r="D88" s="50">
        <f t="shared" si="11"/>
        <v>2.0411629756678757</v>
      </c>
      <c r="E88" s="51">
        <f t="shared" si="12"/>
        <v>1.0482076848184574</v>
      </c>
      <c r="F88" s="51">
        <f t="shared" si="13"/>
        <v>4.1663462932373374</v>
      </c>
      <c r="G88" s="52">
        <f t="shared" si="14"/>
        <v>2.0897837692417536</v>
      </c>
      <c r="H88" s="83"/>
      <c r="I88" s="83"/>
      <c r="J88" s="51">
        <f t="shared" si="15"/>
        <v>0.77968850216741636</v>
      </c>
      <c r="K88" s="51">
        <f t="shared" si="16"/>
        <v>2.0638699015379394</v>
      </c>
      <c r="L88" s="55">
        <f t="shared" si="17"/>
        <v>2.9722654778739244E-3</v>
      </c>
      <c r="M88" s="51">
        <f t="shared" si="18"/>
        <v>2.0608976360600653</v>
      </c>
      <c r="N88" s="94">
        <f t="shared" si="20"/>
        <v>6.0212755500680188</v>
      </c>
      <c r="O88" s="56">
        <f t="shared" si="21"/>
        <v>115.84302815775627</v>
      </c>
      <c r="P88" s="57">
        <f t="shared" si="19"/>
        <v>115.05291753209478</v>
      </c>
      <c r="R88" s="47"/>
      <c r="S88" s="47"/>
      <c r="T88" s="47"/>
    </row>
    <row r="89" spans="1:20" ht="12.75" customHeight="1" x14ac:dyDescent="0.35">
      <c r="A89" s="112">
        <f>'New Vestas G27 105L'!R20</f>
        <v>15.365526300130254</v>
      </c>
      <c r="B89" s="112">
        <f>'New Vestas G27 105L'!T20</f>
        <v>109.0080884403999</v>
      </c>
      <c r="C89" s="50">
        <f t="shared" si="10"/>
        <v>1.1865474403052425</v>
      </c>
      <c r="D89" s="50">
        <f t="shared" si="11"/>
        <v>2.0374587239470956</v>
      </c>
      <c r="E89" s="51">
        <f t="shared" si="12"/>
        <v>1.4078948280949231</v>
      </c>
      <c r="F89" s="51">
        <f t="shared" si="13"/>
        <v>4.1512380517881269</v>
      </c>
      <c r="G89" s="52">
        <f t="shared" si="14"/>
        <v>2.417541433627012</v>
      </c>
      <c r="H89" s="83"/>
      <c r="I89" s="83"/>
      <c r="J89" s="51">
        <f t="shared" si="15"/>
        <v>0.7501136937759042</v>
      </c>
      <c r="K89" s="51">
        <f t="shared" si="16"/>
        <v>2.0669591516393884</v>
      </c>
      <c r="L89" s="55">
        <f t="shared" si="17"/>
        <v>2.9098032106436799E-3</v>
      </c>
      <c r="M89" s="51">
        <f t="shared" si="18"/>
        <v>2.0640493484287448</v>
      </c>
      <c r="N89" s="94">
        <f t="shared" si="20"/>
        <v>5.6248855956868775</v>
      </c>
      <c r="O89" s="56">
        <f t="shared" si="21"/>
        <v>116.66998758126199</v>
      </c>
      <c r="P89" s="57">
        <f t="shared" si="19"/>
        <v>115.89090342978785</v>
      </c>
      <c r="R89" s="47"/>
      <c r="S89" s="47"/>
      <c r="T89" s="47"/>
    </row>
    <row r="90" spans="1:20" ht="12.75" customHeight="1" x14ac:dyDescent="0.35">
      <c r="A90" s="112">
        <f>'New Vestas G27 105L'!R21</f>
        <v>17.286217087646538</v>
      </c>
      <c r="B90" s="112">
        <f>'New Vestas G27 105L'!T21</f>
        <v>108.07434331788519</v>
      </c>
      <c r="C90" s="50">
        <f t="shared" si="10"/>
        <v>1.237699962752624</v>
      </c>
      <c r="D90" s="50">
        <f t="shared" si="11"/>
        <v>2.0337226053504009</v>
      </c>
      <c r="E90" s="51">
        <f t="shared" si="12"/>
        <v>1.5319011977978467</v>
      </c>
      <c r="F90" s="51">
        <f t="shared" si="13"/>
        <v>4.1360276355132228</v>
      </c>
      <c r="G90" s="52">
        <f t="shared" si="14"/>
        <v>2.5171383928913604</v>
      </c>
      <c r="H90" s="83"/>
      <c r="I90" s="83"/>
      <c r="J90" s="51">
        <f t="shared" si="15"/>
        <v>0.71837675030887482</v>
      </c>
      <c r="K90" s="51">
        <f t="shared" si="16"/>
        <v>2.0702742485464354</v>
      </c>
      <c r="L90" s="55">
        <f t="shared" si="17"/>
        <v>2.8568419250170579E-3</v>
      </c>
      <c r="M90" s="51">
        <f t="shared" si="18"/>
        <v>2.0674174066214182</v>
      </c>
      <c r="N90" s="94">
        <f t="shared" si="20"/>
        <v>5.2284956413057415</v>
      </c>
      <c r="O90" s="56">
        <f t="shared" si="21"/>
        <v>117.56397142748014</v>
      </c>
      <c r="P90" s="57">
        <f t="shared" si="19"/>
        <v>116.79315935149388</v>
      </c>
      <c r="R90" s="47"/>
      <c r="S90" s="47"/>
      <c r="T90" s="47"/>
    </row>
    <row r="91" spans="1:20" ht="12.75" customHeight="1" x14ac:dyDescent="0.35">
      <c r="A91" s="112">
        <f>'New Vestas G27 105L'!R22</f>
        <v>18.246562481404677</v>
      </c>
      <c r="B91" s="112">
        <f>'New Vestas G27 105L'!T22</f>
        <v>105.75195160291281</v>
      </c>
      <c r="C91" s="50">
        <f t="shared" si="10"/>
        <v>1.2611810586021468</v>
      </c>
      <c r="D91" s="50">
        <f t="shared" si="11"/>
        <v>2.0242883908230147</v>
      </c>
      <c r="E91" s="51">
        <f t="shared" si="12"/>
        <v>1.5905776625768315</v>
      </c>
      <c r="F91" s="51">
        <f t="shared" si="13"/>
        <v>4.0977434892208304</v>
      </c>
      <c r="G91" s="52">
        <f t="shared" si="14"/>
        <v>2.5529941756542058</v>
      </c>
      <c r="H91" s="83"/>
      <c r="I91" s="83"/>
      <c r="J91" s="51">
        <f t="shared" si="15"/>
        <v>0.6841364245257836</v>
      </c>
      <c r="K91" s="51">
        <f t="shared" si="16"/>
        <v>2.0738508373952551</v>
      </c>
      <c r="L91" s="55">
        <f t="shared" si="17"/>
        <v>2.8169503303888087E-3</v>
      </c>
      <c r="M91" s="51">
        <f t="shared" si="18"/>
        <v>2.0710338870648664</v>
      </c>
      <c r="N91" s="94">
        <f t="shared" si="20"/>
        <v>4.8321056869245931</v>
      </c>
      <c r="O91" s="56">
        <f t="shared" si="21"/>
        <v>118.53615544502372</v>
      </c>
      <c r="P91" s="57">
        <f t="shared" si="19"/>
        <v>117.7697863168477</v>
      </c>
      <c r="R91" s="47"/>
      <c r="S91" s="47"/>
      <c r="T91" s="47"/>
    </row>
    <row r="92" spans="1:20" ht="12.75" customHeight="1" x14ac:dyDescent="0.35">
      <c r="A92" s="112">
        <f>'New Vestas G27 105L'!R23</f>
        <v>19.20690787516282</v>
      </c>
      <c r="B92" s="112">
        <f>'New Vestas G27 105L'!T23</f>
        <v>105.56041414188415</v>
      </c>
      <c r="C92" s="50">
        <f t="shared" si="10"/>
        <v>1.283457453313299</v>
      </c>
      <c r="D92" s="50">
        <f t="shared" si="11"/>
        <v>2.023501085405365</v>
      </c>
      <c r="E92" s="51">
        <f t="shared" si="12"/>
        <v>1.6472630344654591</v>
      </c>
      <c r="F92" s="51">
        <f t="shared" si="13"/>
        <v>4.0945566426366904</v>
      </c>
      <c r="G92" s="52">
        <f t="shared" si="14"/>
        <v>2.5970775498510661</v>
      </c>
      <c r="H92" s="83"/>
      <c r="I92" s="83"/>
      <c r="J92" s="51">
        <f t="shared" si="15"/>
        <v>0.64696370615530707</v>
      </c>
      <c r="K92" s="51">
        <f t="shared" si="16"/>
        <v>2.0777337306494372</v>
      </c>
      <c r="L92" s="55">
        <f t="shared" si="17"/>
        <v>2.7947654266923133E-3</v>
      </c>
      <c r="M92" s="51">
        <f t="shared" si="18"/>
        <v>2.0749389652227448</v>
      </c>
      <c r="N92" s="94">
        <f t="shared" si="20"/>
        <v>4.435715732543458</v>
      </c>
      <c r="O92" s="56">
        <f t="shared" si="21"/>
        <v>119.60070251904038</v>
      </c>
      <c r="P92" s="57">
        <f t="shared" si="19"/>
        <v>118.83352097228241</v>
      </c>
      <c r="R92" s="47"/>
      <c r="S92" s="47"/>
      <c r="T92" s="47"/>
    </row>
    <row r="93" spans="1:20" ht="12.75" customHeight="1" x14ac:dyDescent="0.35">
      <c r="A93" s="112">
        <f>'New Vestas G27 105L'!R24</f>
        <v>2.8810361812744225</v>
      </c>
      <c r="B93" s="112">
        <f>'New Vestas G27 105L'!T24</f>
        <v>126.17252703498713</v>
      </c>
      <c r="C93" s="50">
        <f t="shared" si="10"/>
        <v>0.45954871236898021</v>
      </c>
      <c r="D93" s="50">
        <f t="shared" si="11"/>
        <v>2.1009648013741478</v>
      </c>
      <c r="E93" s="51">
        <f t="shared" si="12"/>
        <v>0.21118501903998771</v>
      </c>
      <c r="F93" s="51">
        <f t="shared" si="13"/>
        <v>4.4140530966131122</v>
      </c>
      <c r="G93" s="52">
        <f t="shared" si="14"/>
        <v>0.96549566920403984</v>
      </c>
      <c r="H93" s="83"/>
      <c r="I93" s="83"/>
      <c r="J93" s="51">
        <f t="shared" si="15"/>
        <v>0.60630888113548009</v>
      </c>
      <c r="K93" s="51">
        <f t="shared" si="16"/>
        <v>2.0819803489420834</v>
      </c>
      <c r="L93" s="55">
        <f t="shared" si="17"/>
        <v>2.796255684697531E-3</v>
      </c>
      <c r="M93" s="51">
        <f t="shared" si="18"/>
        <v>2.079184093257386</v>
      </c>
      <c r="N93" s="94">
        <f t="shared" si="20"/>
        <v>4.0393257781623157</v>
      </c>
      <c r="O93" s="56">
        <f t="shared" si="21"/>
        <v>120.77591849013467</v>
      </c>
      <c r="P93" s="57">
        <f t="shared" si="19"/>
        <v>120.00078671570918</v>
      </c>
      <c r="R93" s="47"/>
      <c r="S93" s="47"/>
      <c r="T93" s="47"/>
    </row>
    <row r="94" spans="1:20" ht="12.75" customHeight="1" x14ac:dyDescent="0.35">
      <c r="A94" s="112">
        <f>'New Vestas G27 105L'!R25</f>
        <v>3.8413815750325635</v>
      </c>
      <c r="B94" s="112">
        <f>'New Vestas G27 105L'!T25</f>
        <v>122.38570023480405</v>
      </c>
      <c r="C94" s="50">
        <f t="shared" si="10"/>
        <v>0.58448744897728011</v>
      </c>
      <c r="D94" s="50">
        <f t="shared" si="11"/>
        <v>2.0877306770259247</v>
      </c>
      <c r="E94" s="51">
        <f t="shared" si="12"/>
        <v>0.34162557801196863</v>
      </c>
      <c r="F94" s="51">
        <f t="shared" si="13"/>
        <v>4.358619379795126</v>
      </c>
      <c r="G94" s="52">
        <f t="shared" si="14"/>
        <v>1.2202523775664926</v>
      </c>
      <c r="H94" s="83"/>
      <c r="I94" s="83"/>
      <c r="J94" s="51">
        <f t="shared" si="15"/>
        <v>0.56145152050812386</v>
      </c>
      <c r="K94" s="51">
        <f t="shared" si="16"/>
        <v>2.0866659450086527</v>
      </c>
      <c r="L94" s="55">
        <f t="shared" si="17"/>
        <v>2.829029195908184E-3</v>
      </c>
      <c r="M94" s="51">
        <f t="shared" si="18"/>
        <v>2.0838369158127446</v>
      </c>
      <c r="N94" s="94">
        <f t="shared" si="20"/>
        <v>3.6429358237811731</v>
      </c>
      <c r="O94" s="56">
        <f t="shared" si="21"/>
        <v>122.08602253796059</v>
      </c>
      <c r="P94" s="57">
        <f t="shared" si="19"/>
        <v>121.29332900259895</v>
      </c>
      <c r="R94" s="47"/>
      <c r="S94" s="47"/>
      <c r="T94" s="47"/>
    </row>
    <row r="95" spans="1:20" ht="12.75" customHeight="1" x14ac:dyDescent="0.35">
      <c r="A95" s="112">
        <f>'New Vestas G27 105L'!R26</f>
        <v>4.8017269687907049</v>
      </c>
      <c r="B95" s="112">
        <f>'New Vestas G27 105L'!T26</f>
        <v>116.53768922634551</v>
      </c>
      <c r="C95" s="50">
        <f t="shared" si="10"/>
        <v>0.68139746198533657</v>
      </c>
      <c r="D95" s="50">
        <f t="shared" si="11"/>
        <v>2.0664664024087003</v>
      </c>
      <c r="E95" s="51">
        <f t="shared" si="12"/>
        <v>0.46430250120005823</v>
      </c>
      <c r="F95" s="51">
        <f t="shared" si="13"/>
        <v>4.2702833922839565</v>
      </c>
      <c r="G95" s="52">
        <f t="shared" si="14"/>
        <v>1.4080849618792575</v>
      </c>
      <c r="H95" s="83"/>
      <c r="I95" s="83"/>
      <c r="J95" s="51">
        <f t="shared" si="15"/>
        <v>0.51142154325885836</v>
      </c>
      <c r="K95" s="51">
        <f t="shared" si="16"/>
        <v>2.0918918491040159</v>
      </c>
      <c r="L95" s="55">
        <f t="shared" si="17"/>
        <v>2.9027246710381528E-3</v>
      </c>
      <c r="M95" s="51">
        <f t="shared" si="18"/>
        <v>2.0889891244329779</v>
      </c>
      <c r="N95" s="94">
        <f t="shared" si="20"/>
        <v>3.246545869400038</v>
      </c>
      <c r="O95" s="56">
        <f t="shared" si="21"/>
        <v>123.56396879268547</v>
      </c>
      <c r="P95" s="57">
        <f t="shared" si="19"/>
        <v>122.74084941100726</v>
      </c>
      <c r="R95" s="47"/>
      <c r="S95" s="47"/>
      <c r="T95" s="47"/>
    </row>
    <row r="96" spans="1:20" ht="12.75" customHeight="1" x14ac:dyDescent="0.35">
      <c r="A96" s="112">
        <f>'New Vestas G27 105L'!R27</f>
        <v>9.6034539375814099</v>
      </c>
      <c r="B96" s="112">
        <f>'New Vestas G27 105L'!T27</f>
        <v>114.28476694963702</v>
      </c>
      <c r="C96" s="50">
        <f t="shared" si="10"/>
        <v>0.98242745764931783</v>
      </c>
      <c r="D96" s="50">
        <f t="shared" si="11"/>
        <v>2.057988347012996</v>
      </c>
      <c r="E96" s="51">
        <f t="shared" si="12"/>
        <v>0.96516370954330222</v>
      </c>
      <c r="F96" s="51">
        <f t="shared" si="13"/>
        <v>4.2353160364412838</v>
      </c>
      <c r="G96" s="52">
        <f t="shared" si="14"/>
        <v>2.0218242596278997</v>
      </c>
      <c r="H96" s="83"/>
      <c r="I96" s="83"/>
      <c r="J96" s="51">
        <f t="shared" si="15"/>
        <v>0.45486861831736297</v>
      </c>
      <c r="K96" s="51">
        <f t="shared" si="16"/>
        <v>2.0977991106760943</v>
      </c>
      <c r="L96" s="55">
        <f t="shared" si="17"/>
        <v>3.0296108535454967E-3</v>
      </c>
      <c r="M96" s="51">
        <f t="shared" si="18"/>
        <v>2.0947694998225486</v>
      </c>
      <c r="N96" s="94">
        <f t="shared" si="20"/>
        <v>2.8501559150188958</v>
      </c>
      <c r="O96" s="56">
        <f t="shared" si="21"/>
        <v>125.25616500356004</v>
      </c>
      <c r="P96" s="57">
        <f t="shared" si="19"/>
        <v>124.38542655337294</v>
      </c>
      <c r="R96" s="47"/>
      <c r="S96" s="47"/>
      <c r="T96" s="47"/>
    </row>
    <row r="97" spans="1:20" ht="12.75" customHeight="1" x14ac:dyDescent="0.35">
      <c r="A97" s="112">
        <f>'New Vestas G27 105L'!R28</f>
        <v>10.563799331339549</v>
      </c>
      <c r="B97" s="112">
        <f>'New Vestas G27 105L'!T28</f>
        <v>111.64836854649269</v>
      </c>
      <c r="C97" s="50">
        <f t="shared" si="10"/>
        <v>1.0238201428075429</v>
      </c>
      <c r="D97" s="50">
        <f t="shared" si="11"/>
        <v>2.0478523813579059</v>
      </c>
      <c r="E97" s="51">
        <f t="shared" si="12"/>
        <v>1.0482076848184574</v>
      </c>
      <c r="F97" s="51">
        <f t="shared" si="13"/>
        <v>4.1936993758332459</v>
      </c>
      <c r="G97" s="52">
        <f t="shared" si="14"/>
        <v>2.096632517530618</v>
      </c>
      <c r="H97" s="83"/>
      <c r="I97" s="83"/>
      <c r="J97" s="51">
        <f t="shared" si="15"/>
        <v>0.38983313750642645</v>
      </c>
      <c r="K97" s="51">
        <f t="shared" si="16"/>
        <v>2.1045924214909375</v>
      </c>
      <c r="L97" s="55">
        <f t="shared" si="17"/>
        <v>3.2257220212109821E-3</v>
      </c>
      <c r="M97" s="51">
        <f t="shared" si="18"/>
        <v>2.1013666994697267</v>
      </c>
      <c r="N97" s="94">
        <f t="shared" si="20"/>
        <v>2.4537659606377535</v>
      </c>
      <c r="O97" s="56">
        <f t="shared" si="21"/>
        <v>127.23084791426768</v>
      </c>
      <c r="P97" s="57">
        <f t="shared" si="19"/>
        <v>126.28934170940927</v>
      </c>
      <c r="R97" s="47"/>
      <c r="S97" s="47"/>
      <c r="T97" s="47"/>
    </row>
    <row r="98" spans="1:20" ht="12.75" customHeight="1" x14ac:dyDescent="0.35">
      <c r="A98" s="112">
        <f>'New Vestas G27 105L'!R29</f>
        <v>11.52414472509769</v>
      </c>
      <c r="B98" s="112">
        <f>'New Vestas G27 105L'!T29</f>
        <v>108.77229755650337</v>
      </c>
      <c r="C98" s="50">
        <f t="shared" si="10"/>
        <v>1.0616087036969426</v>
      </c>
      <c r="D98" s="50">
        <f t="shared" si="11"/>
        <v>2.0365183020693021</v>
      </c>
      <c r="E98" s="51">
        <f t="shared" si="12"/>
        <v>1.1270130397651028</v>
      </c>
      <c r="F98" s="51">
        <f t="shared" si="13"/>
        <v>4.1474067946632331</v>
      </c>
      <c r="G98" s="52">
        <f t="shared" si="14"/>
        <v>2.1619855547148905</v>
      </c>
      <c r="H98" s="83"/>
      <c r="I98" s="83"/>
      <c r="J98" s="51">
        <f t="shared" si="15"/>
        <v>0.31331367065406879</v>
      </c>
      <c r="K98" s="51">
        <f t="shared" si="16"/>
        <v>2.1125852973062993</v>
      </c>
      <c r="L98" s="55">
        <f t="shared" si="17"/>
        <v>3.5133003680776049E-3</v>
      </c>
      <c r="M98" s="51">
        <f t="shared" si="18"/>
        <v>2.1090719969382219</v>
      </c>
      <c r="N98" s="94">
        <f t="shared" si="20"/>
        <v>2.057376006256618</v>
      </c>
      <c r="O98" s="56">
        <f t="shared" si="21"/>
        <v>129.59412009555516</v>
      </c>
      <c r="P98" s="57">
        <f t="shared" si="19"/>
        <v>128.54997512419362</v>
      </c>
      <c r="R98" s="47"/>
      <c r="S98" s="47"/>
      <c r="T98" s="47"/>
    </row>
    <row r="99" spans="1:20" ht="12.75" customHeight="1" x14ac:dyDescent="0.35">
      <c r="A99" s="112">
        <f>'New Vestas G27 105L'!R30</f>
        <v>14.405180906372113</v>
      </c>
      <c r="B99" s="112">
        <f>'New Vestas G27 105L'!T30</f>
        <v>107.07062222328031</v>
      </c>
      <c r="C99" s="50">
        <f t="shared" si="10"/>
        <v>1.1585187167049991</v>
      </c>
      <c r="D99" s="50">
        <f t="shared" si="11"/>
        <v>2.0296703265134846</v>
      </c>
      <c r="E99" s="51">
        <f t="shared" si="12"/>
        <v>1.3421656169557978</v>
      </c>
      <c r="F99" s="51">
        <f t="shared" si="13"/>
        <v>4.1195616343293553</v>
      </c>
      <c r="G99" s="52">
        <f t="shared" si="14"/>
        <v>2.3514110620066186</v>
      </c>
      <c r="H99" s="83"/>
      <c r="I99" s="83"/>
      <c r="J99" s="51">
        <f t="shared" si="15"/>
        <v>0.22036598548032402</v>
      </c>
      <c r="K99" s="51">
        <f t="shared" si="16"/>
        <v>2.1222941901603565</v>
      </c>
      <c r="L99" s="55">
        <f t="shared" si="17"/>
        <v>3.9264053463738697E-3</v>
      </c>
      <c r="M99" s="51">
        <f t="shared" si="18"/>
        <v>2.1183677848139828</v>
      </c>
      <c r="N99" s="94">
        <f t="shared" si="20"/>
        <v>1.6609860518754758</v>
      </c>
      <c r="O99" s="56">
        <f t="shared" si="21"/>
        <v>132.52389452575318</v>
      </c>
      <c r="P99" s="57">
        <f t="shared" si="19"/>
        <v>131.33116138185929</v>
      </c>
      <c r="R99" s="47"/>
      <c r="S99" s="47"/>
      <c r="T99" s="47"/>
    </row>
    <row r="100" spans="1:20" ht="12.75" customHeight="1" x14ac:dyDescent="0.35">
      <c r="A100" s="112">
        <f>'New Vestas G27 105L'!R31</f>
        <v>19.20690787516282</v>
      </c>
      <c r="B100" s="112">
        <f>'New Vestas G27 105L'!T31</f>
        <v>106.04003012696514</v>
      </c>
      <c r="C100" s="50">
        <f t="shared" si="10"/>
        <v>1.283457453313299</v>
      </c>
      <c r="D100" s="50">
        <f t="shared" si="11"/>
        <v>2.0254698424482007</v>
      </c>
      <c r="E100" s="51">
        <f t="shared" si="12"/>
        <v>1.6472630344654591</v>
      </c>
      <c r="F100" s="51">
        <f t="shared" si="13"/>
        <v>4.1025280826671393</v>
      </c>
      <c r="G100" s="52">
        <f t="shared" si="14"/>
        <v>2.5996043657514565</v>
      </c>
      <c r="H100" s="83"/>
      <c r="I100" s="83"/>
      <c r="J100" s="51">
        <f t="shared" si="15"/>
        <v>0.10195183725950878</v>
      </c>
      <c r="K100" s="51">
        <f t="shared" si="16"/>
        <v>2.1346631940288363</v>
      </c>
      <c r="L100" s="55">
        <f t="shared" si="17"/>
        <v>4.5249350678581149E-3</v>
      </c>
      <c r="M100" s="51">
        <f t="shared" si="18"/>
        <v>2.1301382589609781</v>
      </c>
      <c r="N100" s="94">
        <f t="shared" si="20"/>
        <v>1.2645960974943335</v>
      </c>
      <c r="O100" s="56">
        <f t="shared" si="21"/>
        <v>136.3525279309255</v>
      </c>
      <c r="P100" s="57">
        <f t="shared" si="19"/>
        <v>134.9392397367632</v>
      </c>
      <c r="R100" s="47"/>
      <c r="S100" s="47"/>
      <c r="T100" s="47"/>
    </row>
    <row r="101" spans="1:20" ht="12.75" customHeight="1" x14ac:dyDescent="0.35">
      <c r="A101" s="112">
        <f>'New Vestas G27 105L'!R32</f>
        <v>3.8413815750325635</v>
      </c>
      <c r="B101" s="112">
        <f>'New Vestas G27 105L'!T32</f>
        <v>122.25432118368342</v>
      </c>
      <c r="C101" s="50">
        <f t="shared" si="10"/>
        <v>0.58448744897728011</v>
      </c>
      <c r="D101" s="50">
        <f t="shared" si="11"/>
        <v>2.0872642185773547</v>
      </c>
      <c r="E101" s="51">
        <f t="shared" si="12"/>
        <v>0.34162557801196863</v>
      </c>
      <c r="F101" s="51">
        <f t="shared" si="13"/>
        <v>4.3566719181533351</v>
      </c>
      <c r="G101" s="52">
        <f t="shared" si="14"/>
        <v>1.2199797384578339</v>
      </c>
      <c r="H101" s="83"/>
      <c r="I101" s="83"/>
      <c r="J101" s="51">
        <f t="shared" si="15"/>
        <v>-6.137714557549772E-2</v>
      </c>
      <c r="K101" s="51">
        <f t="shared" si="16"/>
        <v>2.1517237974353978</v>
      </c>
      <c r="L101" s="55">
        <f t="shared" si="17"/>
        <v>5.4363099404120489E-3</v>
      </c>
      <c r="M101" s="51">
        <f t="shared" si="18"/>
        <v>2.1462874874949858</v>
      </c>
      <c r="N101" s="94">
        <f t="shared" si="20"/>
        <v>0.86820614311319844</v>
      </c>
      <c r="O101" s="56">
        <f t="shared" si="21"/>
        <v>141.81553165397281</v>
      </c>
      <c r="P101" s="57">
        <f t="shared" si="19"/>
        <v>140.05141062984552</v>
      </c>
      <c r="R101" s="47"/>
      <c r="S101" s="47"/>
      <c r="T101" s="47"/>
    </row>
    <row r="102" spans="1:20" ht="12.75" customHeight="1" x14ac:dyDescent="0.35">
      <c r="A102" s="112">
        <f>'New Vestas G27 105L'!R33</f>
        <v>5.762072362548845</v>
      </c>
      <c r="B102" s="112">
        <f>'New Vestas G27 105L'!T33</f>
        <v>120.29311410924292</v>
      </c>
      <c r="C102" s="50">
        <f t="shared" si="10"/>
        <v>0.76057870803296135</v>
      </c>
      <c r="D102" s="50">
        <f t="shared" si="11"/>
        <v>2.0802407679055199</v>
      </c>
      <c r="E102" s="51">
        <f t="shared" si="12"/>
        <v>0.57847997111308869</v>
      </c>
      <c r="F102" s="51">
        <f t="shared" si="13"/>
        <v>4.3274016524561469</v>
      </c>
      <c r="G102" s="52">
        <f t="shared" si="14"/>
        <v>1.5821868356510758</v>
      </c>
      <c r="H102" s="83"/>
      <c r="I102" s="83"/>
      <c r="J102" s="51">
        <f t="shared" si="15"/>
        <v>-0.32622716188962847</v>
      </c>
      <c r="K102" s="51">
        <f t="shared" si="16"/>
        <v>2.1793888267040926</v>
      </c>
      <c r="L102" s="55">
        <f t="shared" si="17"/>
        <v>7.0323147153319764E-3</v>
      </c>
      <c r="M102" s="51">
        <f t="shared" si="18"/>
        <v>2.1723565119887605</v>
      </c>
      <c r="N102" s="94">
        <f>10^$J102</f>
        <v>0.47181618873205616</v>
      </c>
      <c r="O102" s="56">
        <f t="shared" si="21"/>
        <v>151.14327442523762</v>
      </c>
      <c r="P102" s="57">
        <f t="shared" si="19"/>
        <v>148.7155946458158</v>
      </c>
      <c r="R102" s="47"/>
      <c r="S102" s="47"/>
      <c r="T102" s="47"/>
    </row>
    <row r="103" spans="1:20" ht="12.75" customHeight="1" x14ac:dyDescent="0.35">
      <c r="A103" s="112">
        <f>'New Vestas G27 105L'!R34</f>
        <v>6.722417756306986</v>
      </c>
      <c r="B103" s="112">
        <f>'New Vestas G27 105L'!T34</f>
        <v>116.89687746813868</v>
      </c>
      <c r="C103" s="50">
        <f t="shared" si="10"/>
        <v>0.82752549766357464</v>
      </c>
      <c r="D103" s="50">
        <f t="shared" si="11"/>
        <v>2.067802910507702</v>
      </c>
      <c r="E103" s="51">
        <f t="shared" si="12"/>
        <v>0.68479844928334688</v>
      </c>
      <c r="F103" s="51">
        <f t="shared" si="13"/>
        <v>4.275808876704124</v>
      </c>
      <c r="G103" s="52">
        <f t="shared" si="14"/>
        <v>1.7111596325880742</v>
      </c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112">
        <f>'New Vestas G27 105L'!R35</f>
        <v>9.6034539375814099</v>
      </c>
      <c r="B104" s="112">
        <f>'New Vestas G27 105L'!T35</f>
        <v>111.82643966592674</v>
      </c>
      <c r="C104" s="50">
        <f t="shared" si="10"/>
        <v>0.98242745764931783</v>
      </c>
      <c r="D104" s="50">
        <f t="shared" si="11"/>
        <v>2.0485444980357794</v>
      </c>
      <c r="E104" s="51">
        <f t="shared" si="12"/>
        <v>0.96516370954330222</v>
      </c>
      <c r="F104" s="51">
        <f t="shared" si="13"/>
        <v>4.1965345604326636</v>
      </c>
      <c r="G104" s="52">
        <f t="shared" si="14"/>
        <v>2.0125463630867886</v>
      </c>
      <c r="H104" s="83"/>
      <c r="I104" s="83"/>
      <c r="J104" s="51">
        <f>LOG($I$24+($I$25-$I$24)*(ROW()-104)/100)</f>
        <v>1.6032614498523621</v>
      </c>
      <c r="K104" s="51">
        <f t="shared" si="16"/>
        <v>1.977843213604547</v>
      </c>
      <c r="L104" s="55">
        <f t="shared" si="17"/>
        <v>7.152040833584279E-3</v>
      </c>
      <c r="M104" s="51">
        <f>+$I$14+$I$13*J104+L104</f>
        <v>1.9849952544381313</v>
      </c>
      <c r="N104" s="94">
        <f t="shared" ref="N104:N167" si="22">10^$J104</f>
        <v>40.110811626846086</v>
      </c>
      <c r="O104" s="56">
        <f t="shared" ref="O104:O167" si="23">10^K104</f>
        <v>95.026167394042758</v>
      </c>
      <c r="P104" s="57">
        <f t="shared" ref="P104:P167" si="24">10^M104</f>
        <v>96.604032295155321</v>
      </c>
      <c r="R104" s="47"/>
      <c r="S104" s="47"/>
      <c r="T104" s="47"/>
    </row>
    <row r="105" spans="1:20" ht="12.75" customHeight="1" x14ac:dyDescent="0.35">
      <c r="A105" s="112">
        <f>'New Vestas G27 105L'!R36</f>
        <v>14.405180906372113</v>
      </c>
      <c r="B105" s="112">
        <f>'New Vestas G27 105L'!T36</f>
        <v>111.41984795537198</v>
      </c>
      <c r="C105" s="50">
        <f t="shared" si="10"/>
        <v>1.1585187167049991</v>
      </c>
      <c r="D105" s="50">
        <f t="shared" si="11"/>
        <v>2.0469625614812772</v>
      </c>
      <c r="E105" s="51">
        <f t="shared" si="12"/>
        <v>1.3421656169557978</v>
      </c>
      <c r="F105" s="51">
        <f t="shared" si="13"/>
        <v>4.1900557281059916</v>
      </c>
      <c r="G105" s="52">
        <f t="shared" si="14"/>
        <v>2.371444439870467</v>
      </c>
      <c r="H105" s="83"/>
      <c r="I105" s="83"/>
      <c r="J105" s="51">
        <f t="shared" ref="J105:J168" si="25">LOG($I$24+($I$25-$I$24)*(ROW()-104)/100)</f>
        <v>1.5989482426682133</v>
      </c>
      <c r="K105" s="51">
        <f t="shared" si="16"/>
        <v>1.9782937516284897</v>
      </c>
      <c r="L105" s="55">
        <f t="shared" si="17"/>
        <v>7.1252156526569761E-3</v>
      </c>
      <c r="M105" s="51">
        <f t="shared" ref="M105:M168" si="26">+$I$14+$I$13*J105+L105</f>
        <v>1.9854189672811466</v>
      </c>
      <c r="N105" s="94">
        <f t="shared" si="22"/>
        <v>39.714421672464923</v>
      </c>
      <c r="O105" s="56">
        <f t="shared" si="23"/>
        <v>95.124798894659449</v>
      </c>
      <c r="P105" s="57">
        <f t="shared" si="24"/>
        <v>96.698328550106069</v>
      </c>
      <c r="R105" s="47"/>
      <c r="S105" s="47"/>
      <c r="T105" s="47"/>
    </row>
    <row r="106" spans="1:20" ht="12.75" customHeight="1" x14ac:dyDescent="0.35">
      <c r="A106" s="112">
        <f>'New Vestas G27 105L'!R37</f>
        <v>18.246562481404677</v>
      </c>
      <c r="B106" s="112">
        <f>'New Vestas G27 105L'!T37</f>
        <v>110.00873554815261</v>
      </c>
      <c r="C106" s="50">
        <f t="shared" si="10"/>
        <v>1.2611810586021468</v>
      </c>
      <c r="D106" s="50">
        <f t="shared" si="11"/>
        <v>2.0414271728830111</v>
      </c>
      <c r="E106" s="51">
        <f t="shared" si="12"/>
        <v>1.5905776625768315</v>
      </c>
      <c r="F106" s="51">
        <f t="shared" si="13"/>
        <v>4.1674249021851235</v>
      </c>
      <c r="G106" s="52">
        <f t="shared" si="14"/>
        <v>2.5746092829557838</v>
      </c>
      <c r="H106" s="83"/>
      <c r="I106" s="83"/>
      <c r="J106" s="51">
        <f t="shared" si="25"/>
        <v>1.5945917686877962</v>
      </c>
      <c r="K106" s="51">
        <f t="shared" si="16"/>
        <v>1.9787488091053738</v>
      </c>
      <c r="L106" s="55">
        <f t="shared" si="17"/>
        <v>7.0981399680585741E-3</v>
      </c>
      <c r="M106" s="51">
        <f t="shared" si="26"/>
        <v>1.9858469490734323</v>
      </c>
      <c r="N106" s="94">
        <f t="shared" si="22"/>
        <v>39.318031718083802</v>
      </c>
      <c r="O106" s="56">
        <f t="shared" si="23"/>
        <v>95.224523710603123</v>
      </c>
      <c r="P106" s="57">
        <f t="shared" si="24"/>
        <v>96.793668288865064</v>
      </c>
      <c r="R106" s="47"/>
      <c r="S106" s="47"/>
      <c r="T106" s="47"/>
    </row>
    <row r="107" spans="1:20" ht="12.75" customHeight="1" x14ac:dyDescent="0.35">
      <c r="A107" s="112">
        <f>'New Vestas G27 105L'!R38</f>
        <v>0.57514661383205934</v>
      </c>
      <c r="B107" s="112">
        <f>'New Vestas G27 105L'!T38</f>
        <v>140.09555954729694</v>
      </c>
      <c r="C107" s="50">
        <f t="shared" si="10"/>
        <v>-0.24022143276802024</v>
      </c>
      <c r="D107" s="50">
        <f t="shared" si="11"/>
        <v>2.1464243701560961</v>
      </c>
      <c r="E107" s="51">
        <f t="shared" si="12"/>
        <v>5.7706336761120469E-2</v>
      </c>
      <c r="F107" s="51">
        <f t="shared" si="13"/>
        <v>4.6071375767999942</v>
      </c>
      <c r="G107" s="52">
        <f t="shared" si="14"/>
        <v>-0.51561713752709282</v>
      </c>
      <c r="H107" s="83"/>
      <c r="I107" s="83"/>
      <c r="J107" s="51">
        <f t="shared" si="25"/>
        <v>1.5901911510690439</v>
      </c>
      <c r="K107" s="51">
        <f t="shared" si="16"/>
        <v>1.9792084776261365</v>
      </c>
      <c r="L107" s="55">
        <f t="shared" si="17"/>
        <v>7.0708091102457014E-3</v>
      </c>
      <c r="M107" s="51">
        <f t="shared" si="26"/>
        <v>1.9862792867363821</v>
      </c>
      <c r="N107" s="94">
        <f t="shared" si="22"/>
        <v>38.921641763702667</v>
      </c>
      <c r="O107" s="56">
        <f t="shared" si="23"/>
        <v>95.325365168444989</v>
      </c>
      <c r="P107" s="57">
        <f t="shared" si="24"/>
        <v>96.890073807451245</v>
      </c>
      <c r="R107" s="47"/>
      <c r="S107" s="47"/>
      <c r="T107" s="47"/>
    </row>
    <row r="108" spans="1:20" ht="12.75" customHeight="1" x14ac:dyDescent="0.35">
      <c r="A108" s="112">
        <f>'New Vestas G27 105L'!R39</f>
        <v>1.1502932276641187</v>
      </c>
      <c r="B108" s="112">
        <f>'New Vestas G27 105L'!T39</f>
        <v>125.70535893441595</v>
      </c>
      <c r="C108" s="50">
        <f t="shared" si="10"/>
        <v>6.0808562895960969E-2</v>
      </c>
      <c r="D108" s="50">
        <f t="shared" si="11"/>
        <v>2.0993537924515615</v>
      </c>
      <c r="E108" s="51">
        <f t="shared" si="12"/>
        <v>3.6976813214720412E-3</v>
      </c>
      <c r="F108" s="51">
        <f t="shared" si="13"/>
        <v>4.4072863458807543</v>
      </c>
      <c r="G108" s="52">
        <f t="shared" si="14"/>
        <v>0.12765868712916498</v>
      </c>
      <c r="H108" s="83"/>
      <c r="I108" s="83"/>
      <c r="J108" s="51">
        <f t="shared" si="25"/>
        <v>1.5857454860417592</v>
      </c>
      <c r="K108" s="51">
        <f t="shared" si="16"/>
        <v>1.9796728515945063</v>
      </c>
      <c r="L108" s="55">
        <f t="shared" si="17"/>
        <v>7.0432182802132974E-3</v>
      </c>
      <c r="M108" s="51">
        <f t="shared" si="26"/>
        <v>1.9867160698747197</v>
      </c>
      <c r="N108" s="94">
        <f t="shared" si="22"/>
        <v>38.525251809321517</v>
      </c>
      <c r="O108" s="56">
        <f t="shared" si="23"/>
        <v>95.427347336460699</v>
      </c>
      <c r="P108" s="57">
        <f t="shared" si="24"/>
        <v>96.987568112907752</v>
      </c>
      <c r="R108" s="47"/>
      <c r="S108" s="47"/>
      <c r="T108" s="47"/>
    </row>
    <row r="109" spans="1:20" ht="12.75" customHeight="1" x14ac:dyDescent="0.35">
      <c r="A109" s="112">
        <f>'New Vestas G27 105L'!R40</f>
        <v>1.725439841496178</v>
      </c>
      <c r="B109" s="112">
        <f>'New Vestas G27 105L'!T40</f>
        <v>123.2687711812389</v>
      </c>
      <c r="C109" s="50">
        <f t="shared" ref="C109:C167" si="27">IF(ISNA(A109),"",LOG10(A109))</f>
        <v>0.23689982195164222</v>
      </c>
      <c r="D109" s="50">
        <f t="shared" ref="D109:D167" si="28">IF(ISNA(B109),"",LOG10(B109))</f>
        <v>2.0908530666891902</v>
      </c>
      <c r="E109" s="51">
        <f t="shared" ref="E109:E167" si="29">IF(C109="","",C109^2)</f>
        <v>5.6121525640719788E-2</v>
      </c>
      <c r="F109" s="51">
        <f t="shared" ref="F109:F167" si="30">IF(D109="","",D109^2)</f>
        <v>4.3716665464835911</v>
      </c>
      <c r="G109" s="52">
        <f t="shared" ref="G109:G167" si="31">IF(OR(C109="",D109=""),"",C109*D109)</f>
        <v>0.4953227192257143</v>
      </c>
      <c r="H109" s="83"/>
      <c r="I109" s="83"/>
      <c r="J109" s="51">
        <f t="shared" si="25"/>
        <v>1.5812538417935709</v>
      </c>
      <c r="K109" s="51">
        <f t="shared" si="16"/>
        <v>1.9801420283433699</v>
      </c>
      <c r="L109" s="55">
        <f t="shared" si="17"/>
        <v>7.0153625447851699E-3</v>
      </c>
      <c r="M109" s="51">
        <f t="shared" si="26"/>
        <v>1.987157390888155</v>
      </c>
      <c r="N109" s="94">
        <f t="shared" si="22"/>
        <v>38.128861854940368</v>
      </c>
      <c r="O109" s="56">
        <f t="shared" si="23"/>
        <v>95.530495056134143</v>
      </c>
      <c r="P109" s="57">
        <f t="shared" si="24"/>
        <v>97.086174953623001</v>
      </c>
      <c r="R109" s="47"/>
      <c r="S109" s="47"/>
      <c r="T109" s="47"/>
    </row>
    <row r="110" spans="1:20" ht="12.75" customHeight="1" x14ac:dyDescent="0.35">
      <c r="A110" s="112">
        <f>'New Vestas G27 105L'!R41</f>
        <v>2.3005864553282374</v>
      </c>
      <c r="B110" s="112">
        <f>'New Vestas G27 105L'!T41</f>
        <v>121.06150933424321</v>
      </c>
      <c r="C110" s="50">
        <f t="shared" si="27"/>
        <v>0.36183855855994218</v>
      </c>
      <c r="D110" s="50">
        <f t="shared" si="28"/>
        <v>2.0830060841762932</v>
      </c>
      <c r="E110" s="51">
        <f t="shared" si="29"/>
        <v>0.1309271424607367</v>
      </c>
      <c r="F110" s="51">
        <f t="shared" si="30"/>
        <v>4.3389143467154545</v>
      </c>
      <c r="G110" s="52">
        <f t="shared" si="31"/>
        <v>0.7537119189699395</v>
      </c>
      <c r="J110" s="51">
        <f t="shared" si="25"/>
        <v>1.5767152572976744</v>
      </c>
      <c r="K110" s="51">
        <f t="shared" si="16"/>
        <v>1.98061610825722</v>
      </c>
      <c r="L110" s="55">
        <f t="shared" si="17"/>
        <v>6.9872368316962691E-3</v>
      </c>
      <c r="M110" s="51">
        <f t="shared" si="26"/>
        <v>1.9876033450889163</v>
      </c>
      <c r="N110" s="94">
        <f t="shared" si="22"/>
        <v>37.732471900559233</v>
      </c>
      <c r="O110" s="56">
        <f t="shared" si="23"/>
        <v>95.634833975341465</v>
      </c>
      <c r="P110" s="57">
        <f t="shared" si="24"/>
        <v>97.185918851278288</v>
      </c>
      <c r="R110" s="47"/>
      <c r="S110" s="47"/>
      <c r="T110" s="47"/>
    </row>
    <row r="111" spans="1:20" ht="12.75" customHeight="1" x14ac:dyDescent="0.35">
      <c r="A111" s="112">
        <f>'New Vestas G27 105L'!R42</f>
        <v>2.8757330691602965</v>
      </c>
      <c r="B111" s="112">
        <f>'New Vestas G27 105L'!T42</f>
        <v>120.63152326015314</v>
      </c>
      <c r="C111" s="50">
        <f t="shared" si="27"/>
        <v>0.45874857156799853</v>
      </c>
      <c r="D111" s="50">
        <f t="shared" si="28"/>
        <v>2.0814608118589013</v>
      </c>
      <c r="E111" s="51">
        <f t="shared" si="29"/>
        <v>0.21045025191567907</v>
      </c>
      <c r="F111" s="51">
        <f t="shared" si="30"/>
        <v>4.3324791113043162</v>
      </c>
      <c r="G111" s="52">
        <f t="shared" si="31"/>
        <v>0.95486717421503753</v>
      </c>
      <c r="J111" s="51">
        <f t="shared" si="25"/>
        <v>1.5721287410786717</v>
      </c>
      <c r="K111" s="51">
        <f t="shared" si="16"/>
        <v>1.981095194901072</v>
      </c>
      <c r="L111" s="55">
        <f t="shared" si="17"/>
        <v>6.9588359244561722E-3</v>
      </c>
      <c r="M111" s="51">
        <f t="shared" si="26"/>
        <v>1.9880540308255281</v>
      </c>
      <c r="N111" s="94">
        <f t="shared" si="22"/>
        <v>37.336081946178105</v>
      </c>
      <c r="O111" s="56">
        <f t="shared" si="23"/>
        <v>95.740390583326302</v>
      </c>
      <c r="P111" s="57">
        <f t="shared" si="24"/>
        <v>97.286825134527007</v>
      </c>
      <c r="R111" s="47"/>
      <c r="S111" s="47"/>
      <c r="T111" s="47"/>
    </row>
    <row r="112" spans="1:20" ht="12.75" customHeight="1" x14ac:dyDescent="0.35">
      <c r="A112" s="112">
        <f>'New Vestas G27 105L'!R43</f>
        <v>3.450879682992356</v>
      </c>
      <c r="B112" s="112">
        <f>'New Vestas G27 105L'!T43</f>
        <v>120.05820849469971</v>
      </c>
      <c r="C112" s="50">
        <f t="shared" si="27"/>
        <v>0.53792981761562342</v>
      </c>
      <c r="D112" s="50">
        <f t="shared" si="28"/>
        <v>2.0793918585378366</v>
      </c>
      <c r="E112" s="51">
        <f t="shared" si="29"/>
        <v>0.28936848867997789</v>
      </c>
      <c r="F112" s="51">
        <f t="shared" si="30"/>
        <v>4.3238705013534382</v>
      </c>
      <c r="G112" s="52">
        <f t="shared" si="31"/>
        <v>1.1185668832146707</v>
      </c>
      <c r="J112" s="51">
        <f t="shared" si="25"/>
        <v>1.5674932699125428</v>
      </c>
      <c r="K112" s="51">
        <f t="shared" si="16"/>
        <v>1.9815793951562573</v>
      </c>
      <c r="L112" s="55">
        <f t="shared" si="17"/>
        <v>6.9301544569826722E-3</v>
      </c>
      <c r="M112" s="51">
        <f t="shared" si="26"/>
        <v>1.9885095496132399</v>
      </c>
      <c r="N112" s="94">
        <f t="shared" si="22"/>
        <v>36.939691991796941</v>
      </c>
      <c r="O112" s="56">
        <f t="shared" si="23"/>
        <v>95.847192247580978</v>
      </c>
      <c r="P112" s="57">
        <f t="shared" si="24"/>
        <v>97.388919974519538</v>
      </c>
      <c r="R112" s="47"/>
      <c r="S112" s="47"/>
      <c r="T112" s="47"/>
    </row>
    <row r="113" spans="1:20" ht="12.75" customHeight="1" x14ac:dyDescent="0.35">
      <c r="A113" s="112">
        <f>'New Vestas G27 105L'!R44</f>
        <v>4.0260262968244147</v>
      </c>
      <c r="B113" s="112">
        <f>'New Vestas G27 105L'!T44</f>
        <v>118.13760403043072</v>
      </c>
      <c r="C113" s="50">
        <f t="shared" si="27"/>
        <v>0.60487660724623649</v>
      </c>
      <c r="D113" s="50">
        <f t="shared" si="28"/>
        <v>2.0723881586081463</v>
      </c>
      <c r="E113" s="51">
        <f t="shared" si="29"/>
        <v>0.36587570999371782</v>
      </c>
      <c r="F113" s="51">
        <f t="shared" si="30"/>
        <v>4.2947926799392633</v>
      </c>
      <c r="G113" s="52">
        <f t="shared" si="31"/>
        <v>1.253539118276171</v>
      </c>
      <c r="J113" s="51">
        <f t="shared" si="25"/>
        <v>1.5628077874564861</v>
      </c>
      <c r="K113" s="51">
        <f t="shared" si="16"/>
        <v>1.9820688193635454</v>
      </c>
      <c r="L113" s="55">
        <f t="shared" si="17"/>
        <v>6.9011869079938139E-3</v>
      </c>
      <c r="M113" s="51">
        <f t="shared" si="26"/>
        <v>1.9889700062715392</v>
      </c>
      <c r="N113" s="94">
        <f t="shared" si="22"/>
        <v>36.543302037415827</v>
      </c>
      <c r="O113" s="56">
        <f t="shared" si="23"/>
        <v>95.955267252760223</v>
      </c>
      <c r="P113" s="57">
        <f t="shared" si="24"/>
        <v>97.492230422395991</v>
      </c>
      <c r="R113" s="47"/>
      <c r="S113" s="47"/>
      <c r="T113" s="47"/>
    </row>
    <row r="114" spans="1:20" ht="12.75" customHeight="1" x14ac:dyDescent="0.35">
      <c r="A114" s="112">
        <f>'New Vestas G27 105L'!R45</f>
        <v>5.1763195244885329</v>
      </c>
      <c r="B114" s="112">
        <f>'New Vestas G27 105L'!T45</f>
        <v>116.90497728470585</v>
      </c>
      <c r="C114" s="50">
        <f t="shared" si="27"/>
        <v>0.71402107667130454</v>
      </c>
      <c r="D114" s="50">
        <f t="shared" si="28"/>
        <v>2.067833001848463</v>
      </c>
      <c r="E114" s="51">
        <f t="shared" si="29"/>
        <v>0.50982609793084899</v>
      </c>
      <c r="F114" s="51">
        <f t="shared" si="30"/>
        <v>4.2759333235336259</v>
      </c>
      <c r="G114" s="52">
        <f t="shared" si="31"/>
        <v>1.4764763463562951</v>
      </c>
      <c r="J114" s="51">
        <f t="shared" si="25"/>
        <v>1.5580712028040355</v>
      </c>
      <c r="K114" s="51">
        <f t="shared" si="16"/>
        <v>1.9825635814740685</v>
      </c>
      <c r="L114" s="55">
        <f t="shared" si="17"/>
        <v>6.8719275951460218E-3</v>
      </c>
      <c r="M114" s="51">
        <f t="shared" si="26"/>
        <v>1.9894355090692146</v>
      </c>
      <c r="N114" s="94">
        <f t="shared" si="22"/>
        <v>36.146912083034685</v>
      </c>
      <c r="O114" s="56">
        <f t="shared" si="23"/>
        <v>96.064644841762643</v>
      </c>
      <c r="P114" s="57">
        <f t="shared" si="24"/>
        <v>97.596784448877855</v>
      </c>
      <c r="R114" s="47"/>
      <c r="S114" s="47"/>
      <c r="T114" s="47"/>
    </row>
    <row r="115" spans="1:20" ht="12.75" customHeight="1" x14ac:dyDescent="0.35">
      <c r="A115" s="112">
        <f>'New Vestas G27 105L'!R46</f>
        <v>0.57514661383205934</v>
      </c>
      <c r="B115" s="112">
        <f>'New Vestas G27 105L'!T46</f>
        <v>151.18427342926574</v>
      </c>
      <c r="C115" s="50">
        <f t="shared" si="27"/>
        <v>-0.24022143276802024</v>
      </c>
      <c r="D115" s="50">
        <f t="shared" si="28"/>
        <v>2.1795066171036015</v>
      </c>
      <c r="E115" s="51">
        <f t="shared" si="29"/>
        <v>5.7706336761120469E-2</v>
      </c>
      <c r="F115" s="51">
        <f t="shared" si="30"/>
        <v>4.7502490939983852</v>
      </c>
      <c r="G115" s="52">
        <f t="shared" si="31"/>
        <v>-0.52356420228800804</v>
      </c>
      <c r="J115" s="51">
        <f t="shared" si="25"/>
        <v>1.5532823889605172</v>
      </c>
      <c r="K115" s="51">
        <f t="shared" si="16"/>
        <v>1.9830637992085698</v>
      </c>
      <c r="L115" s="55">
        <f t="shared" si="17"/>
        <v>6.8423706689054488E-3</v>
      </c>
      <c r="M115" s="51">
        <f t="shared" si="26"/>
        <v>1.9899061698774752</v>
      </c>
      <c r="N115" s="94">
        <f t="shared" si="22"/>
        <v>35.750522128653536</v>
      </c>
      <c r="O115" s="56">
        <f t="shared" si="23"/>
        <v>96.175355259125837</v>
      </c>
      <c r="P115" s="57">
        <f t="shared" si="24"/>
        <v>97.70261098610311</v>
      </c>
      <c r="R115" s="47"/>
      <c r="S115" s="47"/>
      <c r="T115" s="47"/>
    </row>
    <row r="116" spans="1:20" ht="12.75" customHeight="1" x14ac:dyDescent="0.35">
      <c r="A116" s="112">
        <f>'New Vestas G27 105L'!R47</f>
        <v>1.1502932276641187</v>
      </c>
      <c r="B116" s="112">
        <f>'New Vestas G27 105L'!T47</f>
        <v>140.46954198969809</v>
      </c>
      <c r="C116" s="50">
        <f t="shared" si="27"/>
        <v>6.0808562895960969E-2</v>
      </c>
      <c r="D116" s="50">
        <f t="shared" si="28"/>
        <v>2.1475821663778514</v>
      </c>
      <c r="E116" s="51">
        <f t="shared" si="29"/>
        <v>3.6976813214720412E-3</v>
      </c>
      <c r="F116" s="51">
        <f t="shared" si="30"/>
        <v>4.6121091613441854</v>
      </c>
      <c r="G116" s="52">
        <f t="shared" si="31"/>
        <v>0.1305913852384317</v>
      </c>
      <c r="J116" s="51">
        <f t="shared" si="25"/>
        <v>1.5484401812335069</v>
      </c>
      <c r="K116" s="51">
        <f t="shared" si="16"/>
        <v>1.9835695942255276</v>
      </c>
      <c r="L116" s="55">
        <f t="shared" si="17"/>
        <v>6.8125101061388416E-3</v>
      </c>
      <c r="M116" s="51">
        <f t="shared" si="26"/>
        <v>1.9903821043316665</v>
      </c>
      <c r="N116" s="94">
        <f t="shared" si="22"/>
        <v>35.354132174272387</v>
      </c>
      <c r="O116" s="56">
        <f t="shared" si="23"/>
        <v>96.287429796892539</v>
      </c>
      <c r="P116" s="57">
        <f t="shared" si="24"/>
        <v>97.809739971855507</v>
      </c>
      <c r="R116" s="47"/>
      <c r="S116" s="47"/>
      <c r="T116" s="47"/>
    </row>
    <row r="117" spans="1:20" ht="12.75" customHeight="1" x14ac:dyDescent="0.35">
      <c r="A117" s="112">
        <f>'New Vestas G27 105L'!R48</f>
        <v>1.725439841496178</v>
      </c>
      <c r="B117" s="112">
        <f>'New Vestas G27 105L'!T48</f>
        <v>133.86260302177348</v>
      </c>
      <c r="C117" s="50">
        <f t="shared" si="27"/>
        <v>0.23689982195164222</v>
      </c>
      <c r="D117" s="50">
        <f t="shared" si="28"/>
        <v>2.1266592658116701</v>
      </c>
      <c r="E117" s="51">
        <f t="shared" si="29"/>
        <v>5.6121525640719788E-2</v>
      </c>
      <c r="F117" s="51">
        <f t="shared" si="30"/>
        <v>4.5226796328626317</v>
      </c>
      <c r="G117" s="52">
        <f t="shared" si="31"/>
        <v>0.50380520142259477</v>
      </c>
      <c r="J117" s="51">
        <f t="shared" si="25"/>
        <v>1.5435433755325452</v>
      </c>
      <c r="K117" s="51">
        <f t="shared" si="16"/>
        <v>1.9840810922987597</v>
      </c>
      <c r="L117" s="55">
        <f t="shared" si="17"/>
        <v>6.7823397034096362E-3</v>
      </c>
      <c r="M117" s="51">
        <f t="shared" si="26"/>
        <v>1.9908634320021694</v>
      </c>
      <c r="N117" s="94">
        <f t="shared" si="22"/>
        <v>34.957742219891266</v>
      </c>
      <c r="O117" s="56">
        <f t="shared" si="23"/>
        <v>96.400900843118762</v>
      </c>
      <c r="P117" s="57">
        <f t="shared" si="24"/>
        <v>97.918202396356378</v>
      </c>
      <c r="R117" s="47"/>
      <c r="S117" s="47"/>
      <c r="T117" s="47"/>
    </row>
    <row r="118" spans="1:20" ht="12.75" customHeight="1" x14ac:dyDescent="0.35">
      <c r="A118" s="112">
        <f>'New Vestas G27 105L'!R49</f>
        <v>2.3005864553282374</v>
      </c>
      <c r="B118" s="112">
        <f>'New Vestas G27 105L'!T49</f>
        <v>126.30771195903883</v>
      </c>
      <c r="C118" s="50">
        <f t="shared" si="27"/>
        <v>0.36183855855994218</v>
      </c>
      <c r="D118" s="50">
        <f t="shared" si="28"/>
        <v>2.1014298680454764</v>
      </c>
      <c r="E118" s="51">
        <f t="shared" si="29"/>
        <v>0.1309271424607367</v>
      </c>
      <c r="F118" s="51">
        <f t="shared" si="30"/>
        <v>4.4160074903136284</v>
      </c>
      <c r="G118" s="52">
        <f t="shared" si="31"/>
        <v>0.76037835436838463</v>
      </c>
      <c r="J118" s="51">
        <f t="shared" si="25"/>
        <v>1.5385907265718965</v>
      </c>
      <c r="K118" s="51">
        <f t="shared" si="16"/>
        <v>1.9845984235051564</v>
      </c>
      <c r="L118" s="55">
        <f t="shared" si="17"/>
        <v>6.7518530699642093E-3</v>
      </c>
      <c r="M118" s="51">
        <f t="shared" si="26"/>
        <v>1.9913502765751205</v>
      </c>
      <c r="N118" s="94">
        <f t="shared" si="22"/>
        <v>34.561352265510102</v>
      </c>
      <c r="O118" s="56">
        <f t="shared" si="23"/>
        <v>96.5158019332072</v>
      </c>
      <c r="P118" s="57">
        <f t="shared" si="24"/>
        <v>98.028030351797796</v>
      </c>
      <c r="R118" s="47"/>
      <c r="S118" s="47"/>
      <c r="T118" s="47"/>
    </row>
    <row r="119" spans="1:20" ht="12.75" customHeight="1" x14ac:dyDescent="0.35">
      <c r="A119" s="112">
        <f>'New Vestas G27 105L'!R50</f>
        <v>3.450879682992356</v>
      </c>
      <c r="B119" s="112">
        <f>'New Vestas G27 105L'!T50</f>
        <v>121.05088661287125</v>
      </c>
      <c r="C119" s="50">
        <f t="shared" si="27"/>
        <v>0.53792981761562342</v>
      </c>
      <c r="D119" s="50">
        <f t="shared" si="28"/>
        <v>2.0829679746919809</v>
      </c>
      <c r="E119" s="51">
        <f t="shared" si="29"/>
        <v>0.28936848867997789</v>
      </c>
      <c r="F119" s="51">
        <f t="shared" si="30"/>
        <v>4.3387555835924125</v>
      </c>
      <c r="G119" s="52">
        <f t="shared" si="31"/>
        <v>1.1204905827252418</v>
      </c>
      <c r="J119" s="51">
        <f t="shared" si="25"/>
        <v>1.5335809459696454</v>
      </c>
      <c r="K119" s="51">
        <f t="shared" si="16"/>
        <v>1.9851217224232376</v>
      </c>
      <c r="L119" s="55">
        <f t="shared" si="17"/>
        <v>6.7210436203924721E-3</v>
      </c>
      <c r="M119" s="51">
        <f t="shared" si="26"/>
        <v>1.99184276604363</v>
      </c>
      <c r="N119" s="94">
        <f t="shared" si="22"/>
        <v>34.16496231112896</v>
      </c>
      <c r="O119" s="56">
        <f t="shared" si="23"/>
        <v>96.632167804264668</v>
      </c>
      <c r="P119" s="57">
        <f t="shared" si="24"/>
        <v>98.139257084810993</v>
      </c>
      <c r="R119" s="47"/>
      <c r="S119" s="47"/>
      <c r="T119" s="47"/>
    </row>
    <row r="120" spans="1:20" ht="12.75" customHeight="1" x14ac:dyDescent="0.35">
      <c r="A120" s="112">
        <f>'New Vestas G27 105L'!R51</f>
        <v>5.7514661383205929</v>
      </c>
      <c r="B120" s="112">
        <f>'New Vestas G27 105L'!T51</f>
        <v>119.21243402712456</v>
      </c>
      <c r="C120" s="50">
        <f t="shared" si="27"/>
        <v>0.75977856723197978</v>
      </c>
      <c r="D120" s="50">
        <f t="shared" si="28"/>
        <v>2.0763215553013894</v>
      </c>
      <c r="E120" s="51">
        <f t="shared" si="29"/>
        <v>0.57726347122508004</v>
      </c>
      <c r="F120" s="51">
        <f t="shared" si="30"/>
        <v>4.3111112010091803</v>
      </c>
      <c r="G120" s="52">
        <f t="shared" si="31"/>
        <v>1.5775446163997655</v>
      </c>
      <c r="J120" s="51">
        <f t="shared" si="25"/>
        <v>1.5285127002358649</v>
      </c>
      <c r="K120" s="51">
        <f t="shared" si="16"/>
        <v>1.9856511283433025</v>
      </c>
      <c r="L120" s="55">
        <f t="shared" si="17"/>
        <v>6.6899045669461905E-3</v>
      </c>
      <c r="M120" s="51">
        <f t="shared" si="26"/>
        <v>1.9923410329102487</v>
      </c>
      <c r="N120" s="94">
        <f t="shared" si="22"/>
        <v>33.768572356747846</v>
      </c>
      <c r="O120" s="56">
        <f t="shared" si="23"/>
        <v>96.750034452700916</v>
      </c>
      <c r="P120" s="57">
        <f t="shared" si="24"/>
        <v>98.251917052082518</v>
      </c>
      <c r="R120" s="47"/>
      <c r="S120" s="47"/>
      <c r="T120" s="47"/>
    </row>
    <row r="121" spans="1:20" ht="12.75" customHeight="1" x14ac:dyDescent="0.35">
      <c r="A121" s="112">
        <f>'New Vestas G27 105L'!R52</f>
        <v>1.1502932276641187</v>
      </c>
      <c r="B121" s="112">
        <f>'New Vestas G27 105L'!T52</f>
        <v>138.21626111911107</v>
      </c>
      <c r="C121" s="50">
        <f t="shared" si="27"/>
        <v>6.0808562895960969E-2</v>
      </c>
      <c r="D121" s="50">
        <f t="shared" si="28"/>
        <v>2.1405591407144096</v>
      </c>
      <c r="E121" s="51">
        <f t="shared" si="29"/>
        <v>3.6976813214720412E-3</v>
      </c>
      <c r="F121" s="51">
        <f t="shared" si="30"/>
        <v>4.5819934348960114</v>
      </c>
      <c r="G121" s="52">
        <f t="shared" si="31"/>
        <v>0.13016432514065635</v>
      </c>
      <c r="J121" s="51">
        <f t="shared" si="25"/>
        <v>1.5233846086420029</v>
      </c>
      <c r="K121" s="51">
        <f t="shared" si="16"/>
        <v>1.9861867854899815</v>
      </c>
      <c r="L121" s="55">
        <f t="shared" si="17"/>
        <v>6.6584289114976604E-3</v>
      </c>
      <c r="M121" s="51">
        <f t="shared" si="26"/>
        <v>1.9928452144014792</v>
      </c>
      <c r="N121" s="94">
        <f t="shared" si="22"/>
        <v>33.372182402366704</v>
      </c>
      <c r="O121" s="56">
        <f t="shared" si="23"/>
        <v>96.86943919530006</v>
      </c>
      <c r="P121" s="57">
        <f t="shared" si="24"/>
        <v>98.366045979343951</v>
      </c>
      <c r="R121" s="47"/>
      <c r="S121" s="47"/>
      <c r="T121" s="47"/>
    </row>
    <row r="122" spans="1:20" ht="12.75" customHeight="1" x14ac:dyDescent="0.35">
      <c r="A122" s="112">
        <f>'New Vestas G27 105L'!R53</f>
        <v>1.725439841496178</v>
      </c>
      <c r="B122" s="112">
        <f>'New Vestas G27 105L'!T53</f>
        <v>129.98058130777247</v>
      </c>
      <c r="C122" s="50">
        <f t="shared" si="27"/>
        <v>0.23689982195164222</v>
      </c>
      <c r="D122" s="50">
        <f t="shared" si="28"/>
        <v>2.113878474915968</v>
      </c>
      <c r="E122" s="51">
        <f t="shared" si="29"/>
        <v>5.6121525640719788E-2</v>
      </c>
      <c r="F122" s="51">
        <f t="shared" si="30"/>
        <v>4.468482206713059</v>
      </c>
      <c r="G122" s="52">
        <f t="shared" si="31"/>
        <v>0.50077743433500177</v>
      </c>
      <c r="J122" s="51">
        <f t="shared" si="25"/>
        <v>1.5181952409629682</v>
      </c>
      <c r="K122" s="51">
        <f t="shared" si="16"/>
        <v>1.9867288432580894</v>
      </c>
      <c r="L122" s="55">
        <f t="shared" si="17"/>
        <v>6.6266094371205155E-3</v>
      </c>
      <c r="M122" s="51">
        <f t="shared" si="26"/>
        <v>1.99335545269521</v>
      </c>
      <c r="N122" s="94">
        <f t="shared" si="22"/>
        <v>32.975792447985548</v>
      </c>
      <c r="O122" s="56">
        <f t="shared" si="23"/>
        <v>96.990420734020717</v>
      </c>
      <c r="P122" s="57">
        <f t="shared" si="24"/>
        <v>98.481680923986374</v>
      </c>
      <c r="R122" s="47"/>
      <c r="S122" s="47"/>
      <c r="T122" s="47"/>
    </row>
    <row r="123" spans="1:20" ht="12.75" customHeight="1" x14ac:dyDescent="0.35">
      <c r="A123" s="112">
        <f>'New Vestas G27 105L'!R54</f>
        <v>2.3005864553282374</v>
      </c>
      <c r="B123" s="112">
        <f>'New Vestas G27 105L'!T54</f>
        <v>127.25448519557391</v>
      </c>
      <c r="C123" s="50">
        <f t="shared" si="27"/>
        <v>0.36183855855994218</v>
      </c>
      <c r="D123" s="50">
        <f t="shared" si="28"/>
        <v>2.1046730983672242</v>
      </c>
      <c r="E123" s="51">
        <f t="shared" si="29"/>
        <v>0.1309271424607367</v>
      </c>
      <c r="F123" s="51">
        <f t="shared" si="30"/>
        <v>4.4296488509906915</v>
      </c>
      <c r="G123" s="52">
        <f t="shared" si="31"/>
        <v>0.76155188015308384</v>
      </c>
      <c r="J123" s="51">
        <f t="shared" si="25"/>
        <v>1.5129431150826793</v>
      </c>
      <c r="K123" s="51">
        <f t="shared" si="16"/>
        <v>1.9872774564627369</v>
      </c>
      <c r="L123" s="55">
        <f t="shared" si="17"/>
        <v>6.5944386992736357E-3</v>
      </c>
      <c r="M123" s="51">
        <f t="shared" si="26"/>
        <v>1.9938718951620105</v>
      </c>
      <c r="N123" s="94">
        <f t="shared" si="22"/>
        <v>32.579402493604412</v>
      </c>
      <c r="O123" s="56">
        <f t="shared" si="23"/>
        <v>97.113019224797767</v>
      </c>
      <c r="P123" s="57">
        <f t="shared" si="24"/>
        <v>98.598860341566862</v>
      </c>
      <c r="R123" s="47"/>
      <c r="S123" s="47"/>
      <c r="T123" s="47"/>
    </row>
    <row r="124" spans="1:20" ht="12.75" customHeight="1" x14ac:dyDescent="0.35">
      <c r="A124" s="112">
        <f>'New Vestas G27 105L'!R55</f>
        <v>3.450879682992356</v>
      </c>
      <c r="B124" s="112">
        <f>'New Vestas G27 105L'!T55</f>
        <v>124.93012956898552</v>
      </c>
      <c r="C124" s="50">
        <f t="shared" si="27"/>
        <v>0.53792981761562342</v>
      </c>
      <c r="D124" s="50">
        <f t="shared" si="28"/>
        <v>2.0966671903961478</v>
      </c>
      <c r="E124" s="51">
        <f t="shared" si="29"/>
        <v>0.28936848867997789</v>
      </c>
      <c r="F124" s="51">
        <f t="shared" si="30"/>
        <v>4.3960133072836767</v>
      </c>
      <c r="G124" s="52">
        <f t="shared" si="31"/>
        <v>1.1278597993304613</v>
      </c>
      <c r="J124" s="51">
        <f t="shared" si="25"/>
        <v>1.5076266944530421</v>
      </c>
      <c r="K124" s="51">
        <f t="shared" si="16"/>
        <v>1.9878327856047564</v>
      </c>
      <c r="L124" s="55">
        <f t="shared" si="17"/>
        <v>6.5619090165682775E-3</v>
      </c>
      <c r="M124" s="51">
        <f t="shared" si="26"/>
        <v>1.9943946946213247</v>
      </c>
      <c r="N124" s="94">
        <f t="shared" si="22"/>
        <v>32.183012539223263</v>
      </c>
      <c r="O124" s="56">
        <f t="shared" si="23"/>
        <v>97.237276350647505</v>
      </c>
      <c r="P124" s="57">
        <f t="shared" si="24"/>
        <v>98.717624156501998</v>
      </c>
      <c r="R124" s="47"/>
      <c r="S124" s="47"/>
      <c r="T124" s="47"/>
    </row>
    <row r="125" spans="1:20" ht="12.75" customHeight="1" x14ac:dyDescent="0.35">
      <c r="A125" s="112">
        <f>'New Vestas G27 105L'!R56</f>
        <v>4.6011729106564747</v>
      </c>
      <c r="B125" s="112">
        <f>'New Vestas G27 105L'!T56</f>
        <v>121.94577173299243</v>
      </c>
      <c r="C125" s="50">
        <f t="shared" si="27"/>
        <v>0.66286855422392332</v>
      </c>
      <c r="D125" s="50">
        <f t="shared" si="28"/>
        <v>2.0861667464712781</v>
      </c>
      <c r="E125" s="51">
        <f t="shared" si="29"/>
        <v>0.4393947201789144</v>
      </c>
      <c r="F125" s="51">
        <f t="shared" si="30"/>
        <v>4.3520916940825582</v>
      </c>
      <c r="G125" s="52">
        <f t="shared" si="31"/>
        <v>1.3828543351034421</v>
      </c>
      <c r="J125" s="51">
        <f t="shared" si="25"/>
        <v>1.5022443853954661</v>
      </c>
      <c r="K125" s="51">
        <f t="shared" si="16"/>
        <v>1.9883949971525723</v>
      </c>
      <c r="L125" s="55">
        <f t="shared" si="17"/>
        <v>6.5290124610977883E-3</v>
      </c>
      <c r="M125" s="51">
        <f t="shared" si="26"/>
        <v>1.99492400961367</v>
      </c>
      <c r="N125" s="94">
        <f t="shared" si="22"/>
        <v>31.786622584842132</v>
      </c>
      <c r="O125" s="56">
        <f t="shared" si="23"/>
        <v>97.363235399399812</v>
      </c>
      <c r="P125" s="57">
        <f t="shared" si="24"/>
        <v>98.838013837266288</v>
      </c>
    </row>
    <row r="126" spans="1:20" ht="12.75" customHeight="1" x14ac:dyDescent="0.35">
      <c r="A126" s="112">
        <f>'New Vestas G27 105L'!R57</f>
        <v>5.1763195244885329</v>
      </c>
      <c r="B126" s="112">
        <f>'New Vestas G27 105L'!T57</f>
        <v>120.56837580196087</v>
      </c>
      <c r="C126" s="50">
        <f t="shared" si="27"/>
        <v>0.71402107667130454</v>
      </c>
      <c r="D126" s="50">
        <f t="shared" si="28"/>
        <v>2.081233410492878</v>
      </c>
      <c r="E126" s="51">
        <f t="shared" si="29"/>
        <v>0.50982609793084899</v>
      </c>
      <c r="F126" s="51">
        <f t="shared" si="30"/>
        <v>4.3315325089518169</v>
      </c>
      <c r="G126" s="52">
        <f t="shared" si="31"/>
        <v>1.4860445205644159</v>
      </c>
      <c r="J126" s="51">
        <f t="shared" si="25"/>
        <v>1.4967945342330518</v>
      </c>
      <c r="K126" s="51">
        <f t="shared" si="16"/>
        <v>1.9889642638417591</v>
      </c>
      <c r="L126" s="55">
        <f t="shared" si="17"/>
        <v>6.4957408483083678E-3</v>
      </c>
      <c r="M126" s="51">
        <f t="shared" si="26"/>
        <v>1.9954600046900675</v>
      </c>
      <c r="N126" s="94">
        <f t="shared" si="22"/>
        <v>31.390232630460993</v>
      </c>
      <c r="O126" s="56">
        <f t="shared" si="23"/>
        <v>97.490941346413152</v>
      </c>
      <c r="P126" s="57">
        <f t="shared" si="24"/>
        <v>98.960072476444907</v>
      </c>
    </row>
    <row r="127" spans="1:20" ht="12.75" customHeight="1" x14ac:dyDescent="0.35">
      <c r="A127" s="113">
        <f>'New Vestas G30 85L'!R7</f>
        <v>30.373414329104897</v>
      </c>
      <c r="B127" s="113">
        <f>'New Vestas G30 85L'!T7</f>
        <v>100.92286507311093</v>
      </c>
      <c r="C127" s="50">
        <f t="shared" si="27"/>
        <v>1.4824936144715444</v>
      </c>
      <c r="D127" s="50">
        <f t="shared" si="28"/>
        <v>2.0039895710942521</v>
      </c>
      <c r="E127" s="51">
        <f t="shared" si="29"/>
        <v>2.1977873169489039</v>
      </c>
      <c r="F127" s="51">
        <f t="shared" si="30"/>
        <v>4.015974201054525</v>
      </c>
      <c r="G127" s="52">
        <f t="shared" si="31"/>
        <v>2.9709017426147977</v>
      </c>
      <c r="J127" s="51">
        <f t="shared" si="25"/>
        <v>1.4912754242405462</v>
      </c>
      <c r="K127" s="51">
        <f t="shared" si="16"/>
        <v>1.9895407649936363</v>
      </c>
      <c r="L127" s="55">
        <f t="shared" si="17"/>
        <v>6.4620857263886691E-3</v>
      </c>
      <c r="M127" s="51">
        <f t="shared" si="26"/>
        <v>1.9960028507200249</v>
      </c>
      <c r="N127" s="94">
        <f t="shared" si="22"/>
        <v>30.993842676079861</v>
      </c>
      <c r="O127" s="56">
        <f t="shared" si="23"/>
        <v>97.620440942659471</v>
      </c>
      <c r="P127" s="57">
        <f t="shared" si="24"/>
        <v>99.083844876020009</v>
      </c>
    </row>
    <row r="128" spans="1:20" ht="12.75" customHeight="1" x14ac:dyDescent="0.35">
      <c r="A128" s="113">
        <f>'New Vestas G30 85L'!R8</f>
        <v>3.9390521708057915</v>
      </c>
      <c r="B128" s="113">
        <f>'New Vestas G30 85L'!T8</f>
        <v>117.92779020417348</v>
      </c>
      <c r="C128" s="50">
        <f t="shared" si="27"/>
        <v>0.59539173286373115</v>
      </c>
      <c r="D128" s="50">
        <f t="shared" si="28"/>
        <v>2.0716161605670114</v>
      </c>
      <c r="E128" s="51">
        <f t="shared" si="29"/>
        <v>0.35449131556247659</v>
      </c>
      <c r="F128" s="51">
        <f t="shared" si="30"/>
        <v>4.2915935167224051</v>
      </c>
      <c r="G128" s="52">
        <f t="shared" si="31"/>
        <v>1.2334231356685024</v>
      </c>
      <c r="J128" s="51">
        <f t="shared" si="25"/>
        <v>1.4856852723979845</v>
      </c>
      <c r="K128" s="51">
        <f t="shared" si="16"/>
        <v>1.9901246868543678</v>
      </c>
      <c r="L128" s="55">
        <f t="shared" si="17"/>
        <v>6.4280383651552381E-3</v>
      </c>
      <c r="M128" s="51">
        <f t="shared" si="26"/>
        <v>1.996552725219523</v>
      </c>
      <c r="N128" s="94">
        <f t="shared" si="22"/>
        <v>30.597452721698716</v>
      </c>
      <c r="O128" s="56">
        <f t="shared" si="23"/>
        <v>97.751782808600353</v>
      </c>
      <c r="P128" s="57">
        <f t="shared" si="24"/>
        <v>99.209377638305924</v>
      </c>
    </row>
    <row r="129" spans="1:16" ht="12.75" customHeight="1" x14ac:dyDescent="0.35">
      <c r="A129" s="113">
        <f>'New Vestas G30 85L'!R9</f>
        <v>6.3024834732892669</v>
      </c>
      <c r="B129" s="113">
        <f>'New Vestas G30 85L'!T9</f>
        <v>117.59224858897701</v>
      </c>
      <c r="C129" s="50">
        <f t="shared" si="27"/>
        <v>0.79951171551965594</v>
      </c>
      <c r="D129" s="50">
        <f t="shared" si="28"/>
        <v>2.0703786949885523</v>
      </c>
      <c r="E129" s="51">
        <f t="shared" si="29"/>
        <v>0.63921898325318327</v>
      </c>
      <c r="F129" s="51">
        <f t="shared" si="30"/>
        <v>4.2864679406625008</v>
      </c>
      <c r="G129" s="52">
        <f t="shared" si="31"/>
        <v>1.655292022205644</v>
      </c>
      <c r="J129" s="51">
        <f t="shared" si="25"/>
        <v>1.4800222259326634</v>
      </c>
      <c r="K129" s="51">
        <f t="shared" si="16"/>
        <v>1.9907162229561717</v>
      </c>
      <c r="L129" s="55">
        <f t="shared" si="17"/>
        <v>6.3935897444102234E-3</v>
      </c>
      <c r="M129" s="51">
        <f t="shared" si="26"/>
        <v>1.997109812700582</v>
      </c>
      <c r="N129" s="94">
        <f t="shared" si="22"/>
        <v>30.201062767317563</v>
      </c>
      <c r="O129" s="56">
        <f t="shared" si="23"/>
        <v>97.885017534316518</v>
      </c>
      <c r="P129" s="57">
        <f t="shared" si="24"/>
        <v>99.336719262986179</v>
      </c>
    </row>
    <row r="130" spans="1:16" ht="12.75" customHeight="1" x14ac:dyDescent="0.35">
      <c r="A130" s="113">
        <f>'New Vestas G30 85L'!R10</f>
        <v>7.090293907450425</v>
      </c>
      <c r="B130" s="113">
        <f>'New Vestas G30 85L'!T10</f>
        <v>115.98644228767971</v>
      </c>
      <c r="C130" s="50">
        <f t="shared" si="27"/>
        <v>0.85066423796703716</v>
      </c>
      <c r="D130" s="50">
        <f t="shared" si="28"/>
        <v>2.0644072272979317</v>
      </c>
      <c r="E130" s="51">
        <f t="shared" si="29"/>
        <v>0.72362964575604005</v>
      </c>
      <c r="F130" s="51">
        <f t="shared" si="30"/>
        <v>4.2617772001199343</v>
      </c>
      <c r="G130" s="52">
        <f t="shared" si="31"/>
        <v>1.7561174008630391</v>
      </c>
      <c r="J130" s="51">
        <f t="shared" si="25"/>
        <v>1.4742843586326597</v>
      </c>
      <c r="K130" s="51">
        <f t="shared" ref="K130:K193" si="32">+$I$14+$I$13*J130</f>
        <v>1.9913155745023925</v>
      </c>
      <c r="L130" s="55">
        <f t="shared" ref="L130:L193" si="33">SQRT(2*$I$20*$I$17)*SQRT((1/$I$2)+((J130-$I$11)^2/$I$8))</f>
        <v>6.3587305417471679E-3</v>
      </c>
      <c r="M130" s="51">
        <f t="shared" si="26"/>
        <v>1.9976743050441397</v>
      </c>
      <c r="N130" s="94">
        <f t="shared" si="22"/>
        <v>29.804672812936445</v>
      </c>
      <c r="O130" s="56">
        <f t="shared" si="23"/>
        <v>98.020197786394661</v>
      </c>
      <c r="P130" s="57">
        <f t="shared" si="24"/>
        <v>99.465920250750457</v>
      </c>
    </row>
    <row r="131" spans="1:16" ht="12.75" customHeight="1" x14ac:dyDescent="0.35">
      <c r="A131" s="113">
        <f>'New Vestas G30 85L'!R11</f>
        <v>9.4537252099338982</v>
      </c>
      <c r="B131" s="113">
        <f>'New Vestas G30 85L'!T11</f>
        <v>113.70955275598949</v>
      </c>
      <c r="C131" s="50">
        <f t="shared" si="27"/>
        <v>0.97560297457533707</v>
      </c>
      <c r="D131" s="50">
        <f t="shared" si="28"/>
        <v>2.0557969513626819</v>
      </c>
      <c r="E131" s="51">
        <f t="shared" si="29"/>
        <v>0.95180116400024584</v>
      </c>
      <c r="F131" s="51">
        <f t="shared" si="30"/>
        <v>4.2263011052320971</v>
      </c>
      <c r="G131" s="52">
        <f t="shared" si="31"/>
        <v>2.0056416208723422</v>
      </c>
      <c r="J131" s="51">
        <f t="shared" si="25"/>
        <v>1.4684696669135437</v>
      </c>
      <c r="K131" s="51">
        <f t="shared" si="32"/>
        <v>1.991922950778356</v>
      </c>
      <c r="L131" s="55">
        <f t="shared" si="33"/>
        <v>6.3234511197803531E-3</v>
      </c>
      <c r="M131" s="51">
        <f t="shared" si="26"/>
        <v>1.9982464018981363</v>
      </c>
      <c r="N131" s="94">
        <f t="shared" si="22"/>
        <v>29.408282858555292</v>
      </c>
      <c r="O131" s="56">
        <f t="shared" si="23"/>
        <v>98.157378422125802</v>
      </c>
      <c r="P131" s="57">
        <f t="shared" si="24"/>
        <v>99.59703321407558</v>
      </c>
    </row>
    <row r="132" spans="1:16" ht="12.75" customHeight="1" x14ac:dyDescent="0.35">
      <c r="A132" s="113">
        <f>'New Vestas G30 85L'!R12</f>
        <v>10.241535644095059</v>
      </c>
      <c r="B132" s="113">
        <f>'New Vestas G30 85L'!T12</f>
        <v>110.78554725213468</v>
      </c>
      <c r="C132" s="50">
        <f t="shared" si="27"/>
        <v>1.010365080834549</v>
      </c>
      <c r="D132" s="50">
        <f t="shared" si="28"/>
        <v>2.0444831073414065</v>
      </c>
      <c r="E132" s="51">
        <f t="shared" si="29"/>
        <v>1.0208375965698047</v>
      </c>
      <c r="F132" s="51">
        <f t="shared" si="30"/>
        <v>4.1799111762043726</v>
      </c>
      <c r="G132" s="52">
        <f t="shared" si="31"/>
        <v>2.06567434001387</v>
      </c>
      <c r="J132" s="51">
        <f t="shared" si="25"/>
        <v>1.4625760656181916</v>
      </c>
      <c r="K132" s="51">
        <f t="shared" si="32"/>
        <v>1.992538569590101</v>
      </c>
      <c r="L132" s="55">
        <f t="shared" si="33"/>
        <v>6.2877415127729772E-3</v>
      </c>
      <c r="M132" s="51">
        <f t="shared" si="26"/>
        <v>1.9988263111028739</v>
      </c>
      <c r="N132" s="94">
        <f t="shared" si="22"/>
        <v>29.011892904174147</v>
      </c>
      <c r="O132" s="56">
        <f t="shared" si="23"/>
        <v>98.296616611619029</v>
      </c>
      <c r="P132" s="57">
        <f t="shared" si="24"/>
        <v>99.730112995747703</v>
      </c>
    </row>
    <row r="133" spans="1:16" ht="12.75" customHeight="1" x14ac:dyDescent="0.35">
      <c r="A133" s="113">
        <f>'New Vestas G30 85L'!R13</f>
        <v>11.029346078256216</v>
      </c>
      <c r="B133" s="113">
        <f>'New Vestas G30 85L'!T13</f>
        <v>110.45000563693822</v>
      </c>
      <c r="C133" s="50">
        <f t="shared" si="27"/>
        <v>1.0425497642059502</v>
      </c>
      <c r="D133" s="50">
        <f t="shared" si="28"/>
        <v>2.0431657423721536</v>
      </c>
      <c r="E133" s="51">
        <f t="shared" si="29"/>
        <v>1.0869100108458825</v>
      </c>
      <c r="F133" s="51">
        <f t="shared" si="30"/>
        <v>4.1745262508031535</v>
      </c>
      <c r="G133" s="52">
        <f t="shared" si="31"/>
        <v>2.1301019629437641</v>
      </c>
      <c r="J133" s="51">
        <f t="shared" si="25"/>
        <v>1.4566013835276579</v>
      </c>
      <c r="K133" s="51">
        <f t="shared" si="32"/>
        <v>1.9931626577332926</v>
      </c>
      <c r="L133" s="55">
        <f t="shared" si="33"/>
        <v>6.2515914126393549E-3</v>
      </c>
      <c r="M133" s="51">
        <f t="shared" si="26"/>
        <v>1.9994142491459319</v>
      </c>
      <c r="N133" s="94">
        <f t="shared" si="22"/>
        <v>28.615502949793008</v>
      </c>
      <c r="O133" s="56">
        <f t="shared" si="23"/>
        <v>98.437971968498047</v>
      </c>
      <c r="P133" s="57">
        <f t="shared" si="24"/>
        <v>99.865216795782786</v>
      </c>
    </row>
    <row r="134" spans="1:16" ht="12.75" customHeight="1" x14ac:dyDescent="0.35">
      <c r="A134" s="113">
        <f>'New Vestas G30 85L'!R14</f>
        <v>14.968398249062007</v>
      </c>
      <c r="B134" s="113">
        <f>'New Vestas G30 85L'!T14</f>
        <v>107.11855674320198</v>
      </c>
      <c r="C134" s="50">
        <f t="shared" si="27"/>
        <v>1.1751753294805412</v>
      </c>
      <c r="D134" s="50">
        <f t="shared" si="28"/>
        <v>2.0298647125972509</v>
      </c>
      <c r="E134" s="51">
        <f t="shared" si="29"/>
        <v>1.3810370550196984</v>
      </c>
      <c r="F134" s="51">
        <f t="shared" si="30"/>
        <v>4.1203507514475195</v>
      </c>
      <c r="G134" s="52">
        <f t="shared" si="31"/>
        <v>2.3854469324273984</v>
      </c>
      <c r="J134" s="51">
        <f t="shared" si="25"/>
        <v>1.4505433585589289</v>
      </c>
      <c r="K134" s="51">
        <f t="shared" si="32"/>
        <v>1.9937954514948442</v>
      </c>
      <c r="L134" s="55">
        <f t="shared" si="33"/>
        <v>6.214990154296789E-3</v>
      </c>
      <c r="M134" s="51">
        <f t="shared" si="26"/>
        <v>2.0000104416491409</v>
      </c>
      <c r="N134" s="94">
        <f t="shared" si="22"/>
        <v>28.219112995411866</v>
      </c>
      <c r="O134" s="56">
        <f t="shared" si="23"/>
        <v>98.581506689910839</v>
      </c>
      <c r="P134" s="57">
        <f t="shared" si="24"/>
        <v>100.00240430746889</v>
      </c>
    </row>
    <row r="135" spans="1:16" ht="12.75" customHeight="1" x14ac:dyDescent="0.35">
      <c r="A135" s="113">
        <f>'New Vestas G30 85L'!R15</f>
        <v>3.1512417366446335</v>
      </c>
      <c r="B135" s="113">
        <f>'New Vestas G30 85L'!T15</f>
        <v>123.83285370717226</v>
      </c>
      <c r="C135" s="50">
        <f t="shared" si="27"/>
        <v>0.49848171985567474</v>
      </c>
      <c r="D135" s="50">
        <f t="shared" si="28"/>
        <v>2.0928358812821926</v>
      </c>
      <c r="E135" s="51">
        <f t="shared" si="29"/>
        <v>0.24848402503027139</v>
      </c>
      <c r="F135" s="51">
        <f t="shared" si="30"/>
        <v>4.3799620259822118</v>
      </c>
      <c r="G135" s="52">
        <f t="shared" si="31"/>
        <v>1.0432404294772142</v>
      </c>
      <c r="J135" s="51">
        <f t="shared" si="25"/>
        <v>1.4443996326229749</v>
      </c>
      <c r="K135" s="51">
        <f t="shared" si="32"/>
        <v>1.9944371971900205</v>
      </c>
      <c r="L135" s="55">
        <f t="shared" si="33"/>
        <v>6.1779267003433712E-3</v>
      </c>
      <c r="M135" s="51">
        <f t="shared" si="26"/>
        <v>2.000615123890364</v>
      </c>
      <c r="N135" s="94">
        <f t="shared" si="22"/>
        <v>27.822723041030731</v>
      </c>
      <c r="O135" s="56">
        <f t="shared" si="23"/>
        <v>98.727285706657611</v>
      </c>
      <c r="P135" s="57">
        <f t="shared" si="24"/>
        <v>100.14173786332464</v>
      </c>
    </row>
    <row r="136" spans="1:16" ht="12.75" customHeight="1" x14ac:dyDescent="0.35">
      <c r="A136" s="113">
        <f>'New Vestas G30 85L'!R16</f>
        <v>3.9390521708057915</v>
      </c>
      <c r="B136" s="113">
        <f>'New Vestas G30 85L'!T16</f>
        <v>121.48897208098484</v>
      </c>
      <c r="C136" s="50">
        <f t="shared" si="27"/>
        <v>0.59539173286373115</v>
      </c>
      <c r="D136" s="50">
        <f t="shared" si="28"/>
        <v>2.0845368575084784</v>
      </c>
      <c r="E136" s="51">
        <f t="shared" si="29"/>
        <v>0.35449131556247659</v>
      </c>
      <c r="F136" s="51">
        <f t="shared" si="30"/>
        <v>4.3452939103113222</v>
      </c>
      <c r="G136" s="52">
        <f t="shared" si="31"/>
        <v>1.2411160118102895</v>
      </c>
      <c r="J136" s="51">
        <f t="shared" si="25"/>
        <v>1.4381677461138511</v>
      </c>
      <c r="K136" s="51">
        <f t="shared" si="32"/>
        <v>1.995088151738083</v>
      </c>
      <c r="L136" s="55">
        <f t="shared" si="33"/>
        <v>6.1403896250391988E-3</v>
      </c>
      <c r="M136" s="51">
        <f t="shared" si="26"/>
        <v>2.0012285413631221</v>
      </c>
      <c r="N136" s="94">
        <f t="shared" si="22"/>
        <v>27.426333086649588</v>
      </c>
      <c r="O136" s="56">
        <f t="shared" si="23"/>
        <v>98.875376844324165</v>
      </c>
      <c r="P136" s="57">
        <f t="shared" si="24"/>
        <v>100.28328259185399</v>
      </c>
    </row>
    <row r="137" spans="1:16" ht="12.75" customHeight="1" x14ac:dyDescent="0.35">
      <c r="A137" s="113">
        <f>'New Vestas G30 85L'!R17</f>
        <v>6.3024834732892669</v>
      </c>
      <c r="B137" s="113">
        <f>'New Vestas G30 85L'!T17</f>
        <v>115.31834494014291</v>
      </c>
      <c r="C137" s="50">
        <f t="shared" si="27"/>
        <v>0.79951171551965594</v>
      </c>
      <c r="D137" s="50">
        <f t="shared" si="28"/>
        <v>2.0618984007251786</v>
      </c>
      <c r="E137" s="51">
        <f t="shared" si="29"/>
        <v>0.63921898325318327</v>
      </c>
      <c r="F137" s="51">
        <f t="shared" si="30"/>
        <v>4.2514250149130488</v>
      </c>
      <c r="G137" s="52">
        <f t="shared" si="31"/>
        <v>1.6485119275910225</v>
      </c>
      <c r="J137" s="51">
        <f t="shared" si="25"/>
        <v>1.4318451319966168</v>
      </c>
      <c r="K137" s="51">
        <f t="shared" si="32"/>
        <v>1.9957485832798372</v>
      </c>
      <c r="L137" s="55">
        <f t="shared" si="33"/>
        <v>6.1023670975702817E-3</v>
      </c>
      <c r="M137" s="51">
        <f t="shared" si="26"/>
        <v>2.0018509503774076</v>
      </c>
      <c r="N137" s="94">
        <f t="shared" si="22"/>
        <v>27.029943132268446</v>
      </c>
      <c r="O137" s="56">
        <f t="shared" si="23"/>
        <v>99.025850996399285</v>
      </c>
      <c r="P137" s="57">
        <f t="shared" si="24"/>
        <v>100.42710658606605</v>
      </c>
    </row>
    <row r="138" spans="1:16" ht="12.75" customHeight="1" x14ac:dyDescent="0.35">
      <c r="A138" s="113">
        <f>'New Vestas G30 85L'!R18</f>
        <v>8.6659147757727411</v>
      </c>
      <c r="B138" s="113">
        <f>'New Vestas G30 85L'!T18</f>
        <v>111.80252250868433</v>
      </c>
      <c r="C138" s="50">
        <f t="shared" si="27"/>
        <v>0.93781441368593732</v>
      </c>
      <c r="D138" s="50">
        <f t="shared" si="28"/>
        <v>2.0484516022914017</v>
      </c>
      <c r="E138" s="51">
        <f t="shared" si="29"/>
        <v>0.87949587451709843</v>
      </c>
      <c r="F138" s="51">
        <f t="shared" si="30"/>
        <v>4.1961539669302113</v>
      </c>
      <c r="G138" s="52">
        <f t="shared" si="31"/>
        <v>1.9210674383669297</v>
      </c>
      <c r="J138" s="51">
        <f t="shared" si="25"/>
        <v>1.425429109458507</v>
      </c>
      <c r="K138" s="51">
        <f t="shared" si="32"/>
        <v>1.9964187718408033</v>
      </c>
      <c r="L138" s="55">
        <f t="shared" si="33"/>
        <v>6.0638468645769442E-3</v>
      </c>
      <c r="M138" s="51">
        <f t="shared" si="26"/>
        <v>2.0024826187053804</v>
      </c>
      <c r="N138" s="94">
        <f t="shared" si="22"/>
        <v>26.633553177887304</v>
      </c>
      <c r="O138" s="56">
        <f t="shared" si="23"/>
        <v>99.178782310458359</v>
      </c>
      <c r="P138" s="57">
        <f t="shared" si="24"/>
        <v>100.57328108483324</v>
      </c>
    </row>
    <row r="139" spans="1:16" ht="12.75" customHeight="1" x14ac:dyDescent="0.35">
      <c r="A139" s="113">
        <f>'New Vestas G30 85L'!R19</f>
        <v>9.4537252099338982</v>
      </c>
      <c r="B139" s="113">
        <f>'New Vestas G30 85L'!T19</f>
        <v>106.66033323073361</v>
      </c>
      <c r="C139" s="50">
        <f t="shared" si="27"/>
        <v>0.97560297457533707</v>
      </c>
      <c r="D139" s="50">
        <f t="shared" si="28"/>
        <v>2.0280029361820606</v>
      </c>
      <c r="E139" s="51">
        <f t="shared" si="29"/>
        <v>0.95180116400024584</v>
      </c>
      <c r="F139" s="51">
        <f t="shared" si="30"/>
        <v>4.1127959091630588</v>
      </c>
      <c r="G139" s="52">
        <f t="shared" si="31"/>
        <v>1.9785256969867357</v>
      </c>
      <c r="J139" s="51">
        <f t="shared" si="25"/>
        <v>1.4189168770840599</v>
      </c>
      <c r="K139" s="51">
        <f t="shared" si="32"/>
        <v>1.9970990100441113</v>
      </c>
      <c r="L139" s="55">
        <f t="shared" si="33"/>
        <v>6.0248162319320011E-3</v>
      </c>
      <c r="M139" s="51">
        <f t="shared" si="26"/>
        <v>2.0031238262760431</v>
      </c>
      <c r="N139" s="94">
        <f t="shared" si="22"/>
        <v>26.237163223506176</v>
      </c>
      <c r="O139" s="56">
        <f t="shared" si="23"/>
        <v>99.334248388609993</v>
      </c>
      <c r="P139" s="57">
        <f t="shared" si="24"/>
        <v>100.7218806682791</v>
      </c>
    </row>
    <row r="140" spans="1:16" ht="12.75" customHeight="1" x14ac:dyDescent="0.35">
      <c r="A140" s="113">
        <f>'New Vestas G30 85L'!R20</f>
        <v>14.968398249062007</v>
      </c>
      <c r="B140" s="113">
        <f>'New Vestas G30 85L'!T20</f>
        <v>107.66485392543608</v>
      </c>
      <c r="C140" s="50">
        <f t="shared" si="27"/>
        <v>1.1751753294805412</v>
      </c>
      <c r="D140" s="50">
        <f t="shared" si="28"/>
        <v>2.0320739555048672</v>
      </c>
      <c r="E140" s="51">
        <f t="shared" si="29"/>
        <v>1.3810370550196984</v>
      </c>
      <c r="F140" s="51">
        <f t="shared" si="30"/>
        <v>4.129324560641197</v>
      </c>
      <c r="G140" s="52">
        <f t="shared" si="31"/>
        <v>2.3880431801892588</v>
      </c>
      <c r="J140" s="51">
        <f t="shared" si="25"/>
        <v>1.4123055055107119</v>
      </c>
      <c r="K140" s="51">
        <f t="shared" si="32"/>
        <v>1.9977896038776639</v>
      </c>
      <c r="L140" s="55">
        <f t="shared" si="33"/>
        <v>5.9852620457586528E-3</v>
      </c>
      <c r="M140" s="51">
        <f t="shared" si="26"/>
        <v>2.0037748659234227</v>
      </c>
      <c r="N140" s="94">
        <f t="shared" si="22"/>
        <v>25.840773269125037</v>
      </c>
      <c r="O140" s="56">
        <f t="shared" si="23"/>
        <v>99.492330503531889</v>
      </c>
      <c r="P140" s="57">
        <f t="shared" si="24"/>
        <v>100.8729834685124</v>
      </c>
    </row>
    <row r="141" spans="1:16" ht="12.75" customHeight="1" x14ac:dyDescent="0.35">
      <c r="A141" s="113">
        <f>'New Vestas G30 85L'!R21</f>
        <v>3.1512417366446335</v>
      </c>
      <c r="B141" s="113">
        <f>'New Vestas G30 85L'!T21</f>
        <v>126.05358399617073</v>
      </c>
      <c r="C141" s="50">
        <f t="shared" si="27"/>
        <v>0.49848171985567474</v>
      </c>
      <c r="D141" s="50">
        <f t="shared" si="28"/>
        <v>2.1005551981888417</v>
      </c>
      <c r="E141" s="51">
        <f t="shared" si="29"/>
        <v>0.24848402503027139</v>
      </c>
      <c r="F141" s="51">
        <f t="shared" si="30"/>
        <v>4.4123321406381644</v>
      </c>
      <c r="G141" s="52">
        <f t="shared" si="31"/>
        <v>1.0470883678449516</v>
      </c>
      <c r="J141" s="51">
        <f t="shared" si="25"/>
        <v>1.405591929516669</v>
      </c>
      <c r="K141" s="51">
        <f t="shared" si="32"/>
        <v>1.9984908735206024</v>
      </c>
      <c r="L141" s="55">
        <f t="shared" si="33"/>
        <v>5.9451706726840444E-3</v>
      </c>
      <c r="M141" s="51">
        <f t="shared" si="26"/>
        <v>2.0044360441932865</v>
      </c>
      <c r="N141" s="94">
        <f t="shared" si="22"/>
        <v>25.444383314743888</v>
      </c>
      <c r="O141" s="56">
        <f t="shared" si="23"/>
        <v>99.653113831569428</v>
      </c>
      <c r="P141" s="57">
        <f t="shared" si="24"/>
        <v>101.02667139717508</v>
      </c>
    </row>
    <row r="142" spans="1:16" ht="12.75" customHeight="1" x14ac:dyDescent="0.35">
      <c r="A142" s="113">
        <f>'New Vestas G30 85L'!R22</f>
        <v>3.9390521708057915</v>
      </c>
      <c r="B142" s="113">
        <f>'New Vestas G30 85L'!T22</f>
        <v>122.3402146342103</v>
      </c>
      <c r="C142" s="50">
        <f t="shared" si="27"/>
        <v>0.59539173286373115</v>
      </c>
      <c r="D142" s="50">
        <f t="shared" si="28"/>
        <v>2.0875692380905999</v>
      </c>
      <c r="E142" s="51">
        <f t="shared" si="29"/>
        <v>0.35449131556247659</v>
      </c>
      <c r="F142" s="51">
        <f t="shared" si="30"/>
        <v>4.3579453238221681</v>
      </c>
      <c r="G142" s="52">
        <f t="shared" si="31"/>
        <v>1.2429214661397812</v>
      </c>
      <c r="J142" s="51">
        <f t="shared" si="25"/>
        <v>1.3987729394875634</v>
      </c>
      <c r="K142" s="51">
        <f t="shared" si="32"/>
        <v>1.9992031542346589</v>
      </c>
      <c r="L142" s="55">
        <f t="shared" si="33"/>
        <v>5.9045279793323406E-3</v>
      </c>
      <c r="M142" s="51">
        <f t="shared" si="26"/>
        <v>2.0051076822139913</v>
      </c>
      <c r="N142" s="94">
        <f t="shared" si="22"/>
        <v>25.047993360362739</v>
      </c>
      <c r="O142" s="56">
        <f t="shared" si="23"/>
        <v>99.816687704532654</v>
      </c>
      <c r="P142" s="57">
        <f t="shared" si="24"/>
        <v>101.18303039143782</v>
      </c>
    </row>
    <row r="143" spans="1:16" ht="12.75" customHeight="1" x14ac:dyDescent="0.35">
      <c r="A143" s="113">
        <f>'New Vestas G30 85L'!R23</f>
        <v>4.7268626049669491</v>
      </c>
      <c r="B143" s="113">
        <f>'New Vestas G30 85L'!T23</f>
        <v>121.42984020955707</v>
      </c>
      <c r="C143" s="50">
        <f t="shared" si="27"/>
        <v>0.67457297891135592</v>
      </c>
      <c r="D143" s="50">
        <f t="shared" si="28"/>
        <v>2.0843254235258177</v>
      </c>
      <c r="E143" s="51">
        <f t="shared" si="29"/>
        <v>0.45504870387734064</v>
      </c>
      <c r="F143" s="51">
        <f t="shared" si="30"/>
        <v>4.3444124711560796</v>
      </c>
      <c r="G143" s="52">
        <f t="shared" si="31"/>
        <v>1.4060296099684844</v>
      </c>
      <c r="J143" s="51">
        <f t="shared" si="25"/>
        <v>1.3918451722024305</v>
      </c>
      <c r="K143" s="51">
        <f t="shared" si="32"/>
        <v>1.9999267973266139</v>
      </c>
      <c r="L143" s="55">
        <f t="shared" si="33"/>
        <v>5.8633193110711052E-3</v>
      </c>
      <c r="M143" s="51">
        <f t="shared" si="26"/>
        <v>2.005790116637685</v>
      </c>
      <c r="N143" s="94">
        <f t="shared" si="22"/>
        <v>24.651603405981618</v>
      </c>
      <c r="O143" s="56">
        <f t="shared" si="23"/>
        <v>99.983145882015521</v>
      </c>
      <c r="P143" s="57">
        <f t="shared" si="24"/>
        <v>101.34215068026077</v>
      </c>
    </row>
    <row r="144" spans="1:16" ht="12.75" customHeight="1" x14ac:dyDescent="0.35">
      <c r="A144" s="113">
        <f>'New Vestas G30 85L'!R24</f>
        <v>6.3024834732892669</v>
      </c>
      <c r="B144" s="113">
        <f>'New Vestas G30 85L'!T24</f>
        <v>120.2080219034444</v>
      </c>
      <c r="C144" s="50">
        <f t="shared" si="27"/>
        <v>0.79951171551965594</v>
      </c>
      <c r="D144" s="50">
        <f t="shared" si="28"/>
        <v>2.079933450629718</v>
      </c>
      <c r="E144" s="51">
        <f t="shared" si="29"/>
        <v>0.63921898325318327</v>
      </c>
      <c r="F144" s="51">
        <f t="shared" si="30"/>
        <v>4.3261231590484455</v>
      </c>
      <c r="G144" s="52">
        <f t="shared" si="31"/>
        <v>1.6629311612796835</v>
      </c>
      <c r="J144" s="51">
        <f t="shared" si="25"/>
        <v>1.3848051008727951</v>
      </c>
      <c r="K144" s="51">
        <f t="shared" si="32"/>
        <v>2.0006621711887664</v>
      </c>
      <c r="L144" s="55">
        <f t="shared" si="33"/>
        <v>5.82152947003752E-3</v>
      </c>
      <c r="M144" s="51">
        <f t="shared" si="26"/>
        <v>2.0064837006588041</v>
      </c>
      <c r="N144" s="94">
        <f t="shared" si="22"/>
        <v>24.255213451600461</v>
      </c>
      <c r="O144" s="56">
        <f t="shared" si="23"/>
        <v>100.15258684626872</v>
      </c>
      <c r="P144" s="57">
        <f t="shared" si="24"/>
        <v>101.50412707295357</v>
      </c>
    </row>
    <row r="145" spans="1:16" ht="12.75" customHeight="1" x14ac:dyDescent="0.35">
      <c r="A145" s="113">
        <f>'New Vestas G30 85L'!R25</f>
        <v>7.878104341611583</v>
      </c>
      <c r="B145" s="113">
        <f>'New Vestas G30 85L'!T25</f>
        <v>119.65700580491604</v>
      </c>
      <c r="C145" s="50">
        <f t="shared" si="27"/>
        <v>0.89642172852771229</v>
      </c>
      <c r="D145" s="50">
        <f t="shared" si="28"/>
        <v>2.0779381312264675</v>
      </c>
      <c r="E145" s="51">
        <f t="shared" si="29"/>
        <v>0.80357191537661155</v>
      </c>
      <c r="F145" s="51">
        <f t="shared" si="30"/>
        <v>4.3178268772049444</v>
      </c>
      <c r="G145" s="52">
        <f t="shared" si="31"/>
        <v>1.8627088913676744</v>
      </c>
      <c r="J145" s="51">
        <f t="shared" si="25"/>
        <v>1.3776490243610169</v>
      </c>
      <c r="K145" s="51">
        <f t="shared" si="32"/>
        <v>2.0014096624251367</v>
      </c>
      <c r="L145" s="55">
        <f t="shared" si="33"/>
        <v>5.7791426924870071E-3</v>
      </c>
      <c r="M145" s="51">
        <f t="shared" si="26"/>
        <v>2.0071888051176239</v>
      </c>
      <c r="N145" s="94">
        <f t="shared" si="22"/>
        <v>23.858823497219319</v>
      </c>
      <c r="O145" s="56">
        <f t="shared" si="23"/>
        <v>100.32511412189787</v>
      </c>
      <c r="P145" s="57">
        <f t="shared" si="24"/>
        <v>101.66905927230862</v>
      </c>
    </row>
    <row r="146" spans="1:16" ht="12.75" customHeight="1" x14ac:dyDescent="0.35">
      <c r="A146" s="113">
        <f>'New Vestas G30 85L'!R26</f>
        <v>8.6659147757727411</v>
      </c>
      <c r="B146" s="113">
        <f>'New Vestas G30 85L'!T26</f>
        <v>119.15390415001005</v>
      </c>
      <c r="C146" s="50">
        <f t="shared" si="27"/>
        <v>0.93781441368593732</v>
      </c>
      <c r="D146" s="50">
        <f t="shared" si="28"/>
        <v>2.0761082768379739</v>
      </c>
      <c r="E146" s="51">
        <f t="shared" si="29"/>
        <v>0.87949587451709843</v>
      </c>
      <c r="F146" s="51">
        <f t="shared" si="30"/>
        <v>4.3102255771551414</v>
      </c>
      <c r="G146" s="52">
        <f t="shared" si="31"/>
        <v>1.9470042663913263</v>
      </c>
      <c r="J146" s="51">
        <f t="shared" si="25"/>
        <v>1.3703730554953788</v>
      </c>
      <c r="K146" s="51">
        <f t="shared" si="32"/>
        <v>2.0021696770720201</v>
      </c>
      <c r="L146" s="55">
        <f t="shared" si="33"/>
        <v>5.7361426255268426E-3</v>
      </c>
      <c r="M146" s="51">
        <f t="shared" si="26"/>
        <v>2.0079058196975468</v>
      </c>
      <c r="N146" s="94">
        <f t="shared" si="22"/>
        <v>23.462433542838188</v>
      </c>
      <c r="O146" s="56">
        <f t="shared" si="23"/>
        <v>100.50083662292867</v>
      </c>
      <c r="P146" s="57">
        <f t="shared" si="24"/>
        <v>101.83705221485728</v>
      </c>
    </row>
    <row r="147" spans="1:16" ht="12.75" customHeight="1" x14ac:dyDescent="0.35">
      <c r="A147" s="113">
        <f>'New Vestas G30 85L'!R27</f>
        <v>9.4537252099338982</v>
      </c>
      <c r="B147" s="113">
        <f>'New Vestas G30 85L'!T27</f>
        <v>117.02171141820115</v>
      </c>
      <c r="C147" s="50">
        <f t="shared" si="27"/>
        <v>0.97560297457533707</v>
      </c>
      <c r="D147" s="50">
        <f t="shared" si="28"/>
        <v>2.0682664452876542</v>
      </c>
      <c r="E147" s="51">
        <f t="shared" si="29"/>
        <v>0.95180116400024584</v>
      </c>
      <c r="F147" s="51">
        <f t="shared" si="30"/>
        <v>4.2777260887028294</v>
      </c>
      <c r="G147" s="52">
        <f t="shared" si="31"/>
        <v>2.0178068962369942</v>
      </c>
      <c r="J147" s="51">
        <f t="shared" si="25"/>
        <v>1.3629731083895653</v>
      </c>
      <c r="K147" s="51">
        <f t="shared" si="32"/>
        <v>2.0029426419225351</v>
      </c>
      <c r="L147" s="55">
        <f t="shared" si="33"/>
        <v>5.6925123033226008E-3</v>
      </c>
      <c r="M147" s="51">
        <f t="shared" si="26"/>
        <v>2.0086351542258578</v>
      </c>
      <c r="N147" s="94">
        <f t="shared" si="22"/>
        <v>23.066043588457042</v>
      </c>
      <c r="O147" s="56">
        <f t="shared" si="23"/>
        <v>100.67986903008686</v>
      </c>
      <c r="P147" s="57">
        <f t="shared" si="24"/>
        <v>102.00821644111163</v>
      </c>
    </row>
    <row r="148" spans="1:16" ht="12.75" customHeight="1" x14ac:dyDescent="0.35">
      <c r="A148" s="113">
        <f>'New Vestas G30 85L'!R28</f>
        <v>10.241535644095059</v>
      </c>
      <c r="B148" s="113">
        <f>'New Vestas G30 85L'!T28</f>
        <v>115.46449200568877</v>
      </c>
      <c r="C148" s="50">
        <f t="shared" si="27"/>
        <v>1.010365080834549</v>
      </c>
      <c r="D148" s="50">
        <f t="shared" si="28"/>
        <v>2.0624484491901112</v>
      </c>
      <c r="E148" s="51">
        <f t="shared" si="29"/>
        <v>1.0208375965698047</v>
      </c>
      <c r="F148" s="51">
        <f t="shared" si="30"/>
        <v>4.2536936055666947</v>
      </c>
      <c r="G148" s="52">
        <f t="shared" si="31"/>
        <v>2.083825894083057</v>
      </c>
      <c r="J148" s="51">
        <f t="shared" si="25"/>
        <v>1.3554448846629661</v>
      </c>
      <c r="K148" s="51">
        <f t="shared" si="32"/>
        <v>2.0037290059659889</v>
      </c>
      <c r="L148" s="55">
        <f t="shared" si="33"/>
        <v>5.6482341228965742E-3</v>
      </c>
      <c r="M148" s="51">
        <f t="shared" si="26"/>
        <v>2.0093772400888854</v>
      </c>
      <c r="N148" s="94">
        <f t="shared" si="22"/>
        <v>22.669653634075907</v>
      </c>
      <c r="O148" s="56">
        <f t="shared" si="23"/>
        <v>100.86233220149603</v>
      </c>
      <c r="P148" s="57">
        <f t="shared" si="24"/>
        <v>102.18266849901158</v>
      </c>
    </row>
    <row r="149" spans="1:16" ht="12.75" customHeight="1" x14ac:dyDescent="0.35">
      <c r="A149" s="113">
        <f>'New Vestas G30 85L'!R29</f>
        <v>13.392777380739691</v>
      </c>
      <c r="B149" s="113">
        <f>'New Vestas G30 85L'!T29</f>
        <v>114.19475925699673</v>
      </c>
      <c r="C149" s="50">
        <f t="shared" si="27"/>
        <v>1.1268706499059862</v>
      </c>
      <c r="D149" s="50">
        <f t="shared" si="28"/>
        <v>2.0576461732794136</v>
      </c>
      <c r="E149" s="51">
        <f t="shared" si="29"/>
        <v>1.2698374616195396</v>
      </c>
      <c r="F149" s="51">
        <f t="shared" si="30"/>
        <v>4.2339077744114144</v>
      </c>
      <c r="G149" s="52">
        <f t="shared" si="31"/>
        <v>2.3187010805599382</v>
      </c>
      <c r="J149" s="51">
        <f t="shared" si="25"/>
        <v>1.3477838584454473</v>
      </c>
      <c r="K149" s="51">
        <f t="shared" si="32"/>
        <v>2.0045292419542116</v>
      </c>
      <c r="L149" s="55">
        <f t="shared" si="33"/>
        <v>5.603289819676417E-3</v>
      </c>
      <c r="M149" s="51">
        <f t="shared" si="26"/>
        <v>2.0101325317738881</v>
      </c>
      <c r="N149" s="94">
        <f t="shared" si="22"/>
        <v>22.273263679694775</v>
      </c>
      <c r="O149" s="56">
        <f t="shared" si="23"/>
        <v>101.04835362039346</v>
      </c>
      <c r="P149" s="57">
        <f t="shared" si="24"/>
        <v>102.36053138421344</v>
      </c>
    </row>
    <row r="150" spans="1:16" ht="12.75" customHeight="1" x14ac:dyDescent="0.35">
      <c r="A150" s="113">
        <f>'New Vestas G30 85L'!R30</f>
        <v>14.968398249062007</v>
      </c>
      <c r="B150" s="113">
        <f>'New Vestas G30 85L'!T30</f>
        <v>113.21251317212499</v>
      </c>
      <c r="C150" s="50">
        <f t="shared" si="27"/>
        <v>1.1751753294805412</v>
      </c>
      <c r="D150" s="50">
        <f t="shared" si="28"/>
        <v>2.0538944312804035</v>
      </c>
      <c r="E150" s="51">
        <f t="shared" si="29"/>
        <v>1.3810370550196984</v>
      </c>
      <c r="F150" s="51">
        <f t="shared" si="30"/>
        <v>4.2184823348446523</v>
      </c>
      <c r="G150" s="52">
        <f t="shared" si="31"/>
        <v>2.4136860649981968</v>
      </c>
      <c r="J150" s="51">
        <f t="shared" si="25"/>
        <v>1.339985260035611</v>
      </c>
      <c r="K150" s="51">
        <f t="shared" si="32"/>
        <v>2.0053438481085379</v>
      </c>
      <c r="L150" s="55">
        <f t="shared" si="33"/>
        <v>5.5576604430008312E-3</v>
      </c>
      <c r="M150" s="51">
        <f t="shared" si="26"/>
        <v>2.0109015085515387</v>
      </c>
      <c r="N150" s="94">
        <f t="shared" si="22"/>
        <v>21.876873725313622</v>
      </c>
      <c r="O150" s="56">
        <f t="shared" si="23"/>
        <v>101.23806788392655</v>
      </c>
      <c r="P150" s="57">
        <f t="shared" si="24"/>
        <v>102.54193502131803</v>
      </c>
    </row>
    <row r="151" spans="1:16" ht="12.75" customHeight="1" x14ac:dyDescent="0.35">
      <c r="A151" s="113">
        <f>'New Vestas G30 85L'!R31</f>
        <v>0.94363237746411799</v>
      </c>
      <c r="B151" s="113">
        <f>'New Vestas G30 85L'!T31</f>
        <v>142.93996264007947</v>
      </c>
      <c r="C151" s="50">
        <f t="shared" si="27"/>
        <v>-2.5197166225644708E-2</v>
      </c>
      <c r="D151" s="50">
        <f t="shared" si="28"/>
        <v>2.1551536642545184</v>
      </c>
      <c r="E151" s="51">
        <f t="shared" si="29"/>
        <v>6.3489718580277035E-4</v>
      </c>
      <c r="F151" s="51">
        <f t="shared" si="30"/>
        <v>4.6446873165496774</v>
      </c>
      <c r="G151" s="52">
        <f t="shared" si="31"/>
        <v>-5.4303765120028387E-2</v>
      </c>
      <c r="J151" s="51">
        <f t="shared" si="25"/>
        <v>1.3320440580647899</v>
      </c>
      <c r="K151" s="51">
        <f t="shared" si="32"/>
        <v>2.0061733499828773</v>
      </c>
      <c r="L151" s="55">
        <f t="shared" si="33"/>
        <v>5.5113263318495595E-3</v>
      </c>
      <c r="M151" s="51">
        <f t="shared" si="26"/>
        <v>2.0116846763147267</v>
      </c>
      <c r="N151" s="94">
        <f t="shared" si="22"/>
        <v>21.480483770932484</v>
      </c>
      <c r="O151" s="56">
        <f t="shared" si="23"/>
        <v>101.43161723762218</v>
      </c>
      <c r="P151" s="57">
        <f t="shared" si="24"/>
        <v>102.72701679068913</v>
      </c>
    </row>
    <row r="152" spans="1:16" ht="12.75" customHeight="1" x14ac:dyDescent="0.35">
      <c r="A152" s="113">
        <f>'New Vestas G30 85L'!R32</f>
        <v>1.4154485661961771</v>
      </c>
      <c r="B152" s="113">
        <f>'New Vestas G30 85L'!T32</f>
        <v>134.83928095904344</v>
      </c>
      <c r="C152" s="50">
        <f t="shared" si="27"/>
        <v>0.15089409283003657</v>
      </c>
      <c r="D152" s="50">
        <f t="shared" si="28"/>
        <v>2.129816427945995</v>
      </c>
      <c r="E152" s="51">
        <f t="shared" si="29"/>
        <v>2.2769027250999694E-2</v>
      </c>
      <c r="F152" s="51">
        <f t="shared" si="30"/>
        <v>4.5361180167486381</v>
      </c>
      <c r="G152" s="52">
        <f t="shared" si="31"/>
        <v>0.3213767177894199</v>
      </c>
      <c r="J152" s="51">
        <f t="shared" si="25"/>
        <v>1.3239549399997548</v>
      </c>
      <c r="K152" s="51">
        <f t="shared" si="32"/>
        <v>2.0070183025003114</v>
      </c>
      <c r="L152" s="55">
        <f t="shared" si="33"/>
        <v>5.464267091139857E-3</v>
      </c>
      <c r="M152" s="51">
        <f t="shared" si="26"/>
        <v>2.0124825695914512</v>
      </c>
      <c r="N152" s="94">
        <f t="shared" si="22"/>
        <v>21.084093816551341</v>
      </c>
      <c r="O152" s="56">
        <f t="shared" si="23"/>
        <v>101.62915216072484</v>
      </c>
      <c r="P152" s="57">
        <f t="shared" si="24"/>
        <v>102.91592210613295</v>
      </c>
    </row>
    <row r="153" spans="1:16" ht="14.5" x14ac:dyDescent="0.35">
      <c r="A153" s="113">
        <f>'New Vestas G30 85L'!R33</f>
        <v>1.887264754928236</v>
      </c>
      <c r="B153" s="113">
        <f>'New Vestas G30 85L'!T33</f>
        <v>129.61118143440314</v>
      </c>
      <c r="C153" s="50">
        <f t="shared" si="27"/>
        <v>0.27583282943833648</v>
      </c>
      <c r="D153" s="50">
        <f t="shared" si="28"/>
        <v>2.1126424693261812</v>
      </c>
      <c r="E153" s="51">
        <f t="shared" si="29"/>
        <v>7.608374979595843E-2</v>
      </c>
      <c r="F153" s="51">
        <f t="shared" si="30"/>
        <v>4.4632582032006241</v>
      </c>
      <c r="G153" s="52">
        <f t="shared" si="31"/>
        <v>0.58273614990583456</v>
      </c>
      <c r="J153" s="51">
        <f t="shared" si="25"/>
        <v>1.315712290794929</v>
      </c>
      <c r="K153" s="51">
        <f t="shared" si="32"/>
        <v>2.007879292182988</v>
      </c>
      <c r="L153" s="55">
        <f t="shared" si="33"/>
        <v>5.4164615690249773E-3</v>
      </c>
      <c r="M153" s="51">
        <f t="shared" si="26"/>
        <v>2.0132957537520131</v>
      </c>
      <c r="N153" s="94">
        <f t="shared" si="22"/>
        <v>20.687703862170203</v>
      </c>
      <c r="O153" s="56">
        <f t="shared" si="23"/>
        <v>101.83083200830703</v>
      </c>
      <c r="P153" s="57">
        <f t="shared" si="24"/>
        <v>103.10880504943515</v>
      </c>
    </row>
    <row r="154" spans="1:16" ht="14.5" x14ac:dyDescent="0.35">
      <c r="A154" s="113">
        <f>'New Vestas G30 85L'!R34</f>
        <v>2.8308971323923542</v>
      </c>
      <c r="B154" s="113">
        <f>'New Vestas G30 85L'!T34</f>
        <v>123.86601712161163</v>
      </c>
      <c r="C154" s="50">
        <f t="shared" si="27"/>
        <v>0.45192408849401777</v>
      </c>
      <c r="D154" s="50">
        <f t="shared" si="28"/>
        <v>2.092952173196887</v>
      </c>
      <c r="E154" s="51">
        <f t="shared" si="29"/>
        <v>0.2042353817611488</v>
      </c>
      <c r="F154" s="51">
        <f t="shared" si="30"/>
        <v>4.3804487992895718</v>
      </c>
      <c r="G154" s="52">
        <f t="shared" si="31"/>
        <v>0.9458555031335768</v>
      </c>
      <c r="J154" s="51">
        <f t="shared" si="25"/>
        <v>1.3073101694792586</v>
      </c>
      <c r="K154" s="51">
        <f t="shared" si="32"/>
        <v>2.0087569395977476</v>
      </c>
      <c r="L154" s="55">
        <f t="shared" si="33"/>
        <v>5.3678878357458892E-3</v>
      </c>
      <c r="M154" s="51">
        <f t="shared" si="26"/>
        <v>2.0141248274334935</v>
      </c>
      <c r="N154" s="94">
        <f t="shared" si="22"/>
        <v>20.291313907789068</v>
      </c>
      <c r="O154" s="56">
        <f t="shared" si="23"/>
        <v>102.03682571686129</v>
      </c>
      <c r="P154" s="57">
        <f t="shared" si="24"/>
        <v>103.30582906859573</v>
      </c>
    </row>
    <row r="155" spans="1:16" ht="14.5" x14ac:dyDescent="0.35">
      <c r="A155" s="113">
        <f>'New Vestas G30 85L'!R35</f>
        <v>3.774529509856472</v>
      </c>
      <c r="B155" s="113">
        <f>'New Vestas G30 85L'!T35</f>
        <v>116.62711008749434</v>
      </c>
      <c r="C155" s="50">
        <f t="shared" si="27"/>
        <v>0.57686282510231768</v>
      </c>
      <c r="D155" s="50">
        <f t="shared" si="28"/>
        <v>2.0667995143413949</v>
      </c>
      <c r="E155" s="51">
        <f t="shared" si="29"/>
        <v>0.33277071898502714</v>
      </c>
      <c r="F155" s="51">
        <f t="shared" si="30"/>
        <v>4.2716602324818256</v>
      </c>
      <c r="G155" s="52">
        <f t="shared" si="31"/>
        <v>1.1922598067630752</v>
      </c>
      <c r="J155" s="51">
        <f t="shared" si="25"/>
        <v>1.2987422834332276</v>
      </c>
      <c r="K155" s="51">
        <f t="shared" si="32"/>
        <v>2.0096519020430326</v>
      </c>
      <c r="L155" s="55">
        <f t="shared" si="33"/>
        <v>5.3185231647317234E-3</v>
      </c>
      <c r="M155" s="51">
        <f t="shared" si="26"/>
        <v>2.0149704252077645</v>
      </c>
      <c r="N155" s="94">
        <f t="shared" si="22"/>
        <v>19.894923953407933</v>
      </c>
      <c r="O155" s="56">
        <f t="shared" si="23"/>
        <v>102.24731258103184</v>
      </c>
      <c r="P155" s="57">
        <f t="shared" si="24"/>
        <v>103.50716774757608</v>
      </c>
    </row>
    <row r="156" spans="1:16" ht="14.5" x14ac:dyDescent="0.35">
      <c r="A156" s="113">
        <f>'New Vestas G30 85L'!R36</f>
        <v>0.94363237746411799</v>
      </c>
      <c r="B156" s="113">
        <f>'New Vestas G30 85L'!T36</f>
        <v>146.77930375930265</v>
      </c>
      <c r="C156" s="50">
        <f t="shared" si="27"/>
        <v>-2.5197166225644708E-2</v>
      </c>
      <c r="D156" s="50">
        <f t="shared" si="28"/>
        <v>2.1666648233131256</v>
      </c>
      <c r="E156" s="51">
        <f t="shared" si="29"/>
        <v>6.3489718580277035E-4</v>
      </c>
      <c r="F156" s="51">
        <f t="shared" si="30"/>
        <v>4.6944364565824976</v>
      </c>
      <c r="G156" s="52">
        <f t="shared" si="31"/>
        <v>-5.4593813708277948E-2</v>
      </c>
      <c r="J156" s="51">
        <f t="shared" si="25"/>
        <v>1.2900019600770389</v>
      </c>
      <c r="K156" s="51">
        <f t="shared" si="32"/>
        <v>2.0105648765062094</v>
      </c>
      <c r="L156" s="55">
        <f t="shared" si="33"/>
        <v>5.2683440168237233E-3</v>
      </c>
      <c r="M156" s="51">
        <f t="shared" si="26"/>
        <v>2.0158332205230329</v>
      </c>
      <c r="N156" s="94">
        <f t="shared" si="22"/>
        <v>19.49853399902679</v>
      </c>
      <c r="O156" s="56">
        <f t="shared" si="23"/>
        <v>102.46248311023288</v>
      </c>
      <c r="P156" s="57">
        <f t="shared" si="24"/>
        <v>103.71300565651612</v>
      </c>
    </row>
    <row r="157" spans="1:16" ht="14.5" x14ac:dyDescent="0.35">
      <c r="A157" s="113">
        <f>'New Vestas G30 85L'!R37</f>
        <v>1.4154485661961771</v>
      </c>
      <c r="B157" s="113">
        <f>'New Vestas G30 85L'!T37</f>
        <v>138.46534309984125</v>
      </c>
      <c r="C157" s="50">
        <f t="shared" si="27"/>
        <v>0.15089409283003657</v>
      </c>
      <c r="D157" s="50">
        <f t="shared" si="28"/>
        <v>2.1413410861516664</v>
      </c>
      <c r="E157" s="51">
        <f t="shared" si="29"/>
        <v>2.2769027250999694E-2</v>
      </c>
      <c r="F157" s="51">
        <f t="shared" si="30"/>
        <v>4.5853416472411981</v>
      </c>
      <c r="G157" s="52">
        <f t="shared" si="31"/>
        <v>0.32311572063454091</v>
      </c>
      <c r="J157" s="51">
        <f t="shared" si="25"/>
        <v>1.2810821156508772</v>
      </c>
      <c r="K157" s="51">
        <f t="shared" si="32"/>
        <v>2.0114966029246415</v>
      </c>
      <c r="L157" s="55">
        <f t="shared" si="33"/>
        <v>5.2173260287214068E-3</v>
      </c>
      <c r="M157" s="51">
        <f t="shared" si="26"/>
        <v>2.0167139289533629</v>
      </c>
      <c r="N157" s="94">
        <f t="shared" si="22"/>
        <v>19.102144044645645</v>
      </c>
      <c r="O157" s="56">
        <f t="shared" si="23"/>
        <v>102.68253997518396</v>
      </c>
      <c r="P157" s="57">
        <f t="shared" si="24"/>
        <v>103.92353929271546</v>
      </c>
    </row>
    <row r="158" spans="1:16" ht="14.5" x14ac:dyDescent="0.35">
      <c r="A158" s="113">
        <f>'New Vestas G30 85L'!R38</f>
        <v>1.887264754928236</v>
      </c>
      <c r="B158" s="113">
        <f>'New Vestas G30 85L'!T38</f>
        <v>136.13513267246216</v>
      </c>
      <c r="C158" s="50">
        <f t="shared" si="27"/>
        <v>0.27583282943833648</v>
      </c>
      <c r="D158" s="50">
        <f t="shared" si="28"/>
        <v>2.1339702189343659</v>
      </c>
      <c r="E158" s="51">
        <f t="shared" si="29"/>
        <v>7.608374979595843E-2</v>
      </c>
      <c r="F158" s="51">
        <f t="shared" si="30"/>
        <v>4.5538288952987855</v>
      </c>
      <c r="G158" s="52">
        <f t="shared" si="31"/>
        <v>0.5886190434258125</v>
      </c>
      <c r="J158" s="51">
        <f t="shared" si="25"/>
        <v>1.2719752207213073</v>
      </c>
      <c r="K158" s="51">
        <f t="shared" si="32"/>
        <v>2.0124478677887319</v>
      </c>
      <c r="L158" s="55">
        <f t="shared" si="33"/>
        <v>5.1654440070289338E-3</v>
      </c>
      <c r="M158" s="51">
        <f t="shared" si="26"/>
        <v>2.0176133117957606</v>
      </c>
      <c r="N158" s="94">
        <f t="shared" si="22"/>
        <v>18.705754090264502</v>
      </c>
      <c r="O158" s="56">
        <f t="shared" si="23"/>
        <v>102.90769905588662</v>
      </c>
      <c r="P158" s="57">
        <f t="shared" si="24"/>
        <v>104.13897812423554</v>
      </c>
    </row>
    <row r="159" spans="1:16" ht="14.5" x14ac:dyDescent="0.35">
      <c r="A159" s="113">
        <f>'New Vestas G30 85L'!R39</f>
        <v>2.3590809436602953</v>
      </c>
      <c r="B159" s="113">
        <f>'New Vestas G30 85L'!T39</f>
        <v>127.64856384573423</v>
      </c>
      <c r="C159" s="50">
        <f t="shared" si="27"/>
        <v>0.37274284244639294</v>
      </c>
      <c r="D159" s="50">
        <f t="shared" si="28"/>
        <v>2.1060159329876531</v>
      </c>
      <c r="E159" s="51">
        <f t="shared" si="29"/>
        <v>0.13893722659501651</v>
      </c>
      <c r="F159" s="51">
        <f t="shared" si="30"/>
        <v>4.4353031099978546</v>
      </c>
      <c r="G159" s="52">
        <f t="shared" si="31"/>
        <v>0.78500236509921006</v>
      </c>
      <c r="J159" s="51">
        <f t="shared" si="25"/>
        <v>1.2626732619929977</v>
      </c>
      <c r="K159" s="51">
        <f t="shared" si="32"/>
        <v>2.0134195081309008</v>
      </c>
      <c r="L159" s="55">
        <f t="shared" si="33"/>
        <v>5.1126719296294316E-3</v>
      </c>
      <c r="M159" s="51">
        <f t="shared" si="26"/>
        <v>2.01853218006053</v>
      </c>
      <c r="N159" s="94">
        <f t="shared" si="22"/>
        <v>18.309364135883364</v>
      </c>
      <c r="O159" s="56">
        <f t="shared" si="23"/>
        <v>103.13819060432414</v>
      </c>
      <c r="P159" s="57">
        <f t="shared" si="24"/>
        <v>104.35954574983764</v>
      </c>
    </row>
    <row r="160" spans="1:16" ht="14.5" x14ac:dyDescent="0.35">
      <c r="A160" s="113">
        <f>'New Vestas G30 85L'!R40</f>
        <v>3.3027133211244135</v>
      </c>
      <c r="B160" s="113">
        <f>'New Vestas G30 85L'!T40</f>
        <v>125.692337807626</v>
      </c>
      <c r="C160" s="50">
        <f t="shared" si="27"/>
        <v>0.51887087812463095</v>
      </c>
      <c r="D160" s="50">
        <f t="shared" si="28"/>
        <v>2.0993088039445751</v>
      </c>
      <c r="E160" s="51">
        <f t="shared" si="29"/>
        <v>0.26922698816582563</v>
      </c>
      <c r="F160" s="51">
        <f t="shared" si="30"/>
        <v>4.4070974543192021</v>
      </c>
      <c r="G160" s="52">
        <f t="shared" si="31"/>
        <v>1.0892702025574903</v>
      </c>
      <c r="J160" s="51">
        <f t="shared" si="25"/>
        <v>1.2531676999404533</v>
      </c>
      <c r="K160" s="51">
        <f t="shared" si="32"/>
        <v>2.0144124159511789</v>
      </c>
      <c r="L160" s="55">
        <f t="shared" si="33"/>
        <v>5.0589829565532906E-3</v>
      </c>
      <c r="M160" s="51">
        <f t="shared" si="26"/>
        <v>2.0194713989077324</v>
      </c>
      <c r="N160" s="94">
        <f t="shared" si="22"/>
        <v>17.912974181502225</v>
      </c>
      <c r="O160" s="56">
        <f t="shared" si="23"/>
        <v>103.37426053722994</v>
      </c>
      <c r="P160" s="57">
        <f t="shared" si="24"/>
        <v>104.58548119113787</v>
      </c>
    </row>
    <row r="161" spans="1:16" ht="14.5" x14ac:dyDescent="0.35">
      <c r="A161" s="113">
        <f>'New Vestas G30 85L'!R41</f>
        <v>3.774529509856472</v>
      </c>
      <c r="B161" s="113">
        <f>'New Vestas G30 85L'!T41</f>
        <v>124.16763221579347</v>
      </c>
      <c r="C161" s="50">
        <f t="shared" si="27"/>
        <v>0.57686282510231768</v>
      </c>
      <c r="D161" s="50">
        <f t="shared" si="28"/>
        <v>2.0940083995272856</v>
      </c>
      <c r="E161" s="51">
        <f t="shared" si="29"/>
        <v>0.33277071898502714</v>
      </c>
      <c r="F161" s="51">
        <f t="shared" si="30"/>
        <v>4.3848711772908242</v>
      </c>
      <c r="G161" s="52">
        <f t="shared" si="31"/>
        <v>1.2079556011392927</v>
      </c>
      <c r="J161" s="51">
        <f t="shared" si="25"/>
        <v>1.2434494216984147</v>
      </c>
      <c r="K161" s="51">
        <f t="shared" si="32"/>
        <v>2.0154275431380633</v>
      </c>
      <c r="L161" s="55">
        <f t="shared" si="33"/>
        <v>5.0043494530573702E-3</v>
      </c>
      <c r="M161" s="51">
        <f t="shared" si="26"/>
        <v>2.0204318925911204</v>
      </c>
      <c r="N161" s="94">
        <f t="shared" si="22"/>
        <v>17.51658422712109</v>
      </c>
      <c r="O161" s="56">
        <f t="shared" si="23"/>
        <v>103.61617187672097</v>
      </c>
      <c r="P161" s="57">
        <f t="shared" si="24"/>
        <v>104.81704033546424</v>
      </c>
    </row>
    <row r="162" spans="1:16" ht="14.5" x14ac:dyDescent="0.35">
      <c r="A162" s="113">
        <f>'New Vestas G30 85L'!R42</f>
        <v>0.47181618873205899</v>
      </c>
      <c r="B162" s="113">
        <f>'New Vestas G30 85L'!T42</f>
        <v>149.57811851645184</v>
      </c>
      <c r="C162" s="50">
        <f t="shared" si="27"/>
        <v>-0.32622716188962592</v>
      </c>
      <c r="D162" s="50">
        <f t="shared" si="28"/>
        <v>2.1748680661045463</v>
      </c>
      <c r="E162" s="51">
        <f t="shared" si="29"/>
        <v>0.1064241611545602</v>
      </c>
      <c r="F162" s="51">
        <f t="shared" si="30"/>
        <v>4.730051104961329</v>
      </c>
      <c r="G162" s="52">
        <f t="shared" si="31"/>
        <v>-0.70950103668966547</v>
      </c>
      <c r="J162" s="51">
        <f t="shared" si="25"/>
        <v>1.2335086885596058</v>
      </c>
      <c r="K162" s="51">
        <f t="shared" si="32"/>
        <v>2.016465906952666</v>
      </c>
      <c r="L162" s="55">
        <f t="shared" si="33"/>
        <v>4.9487430283259373E-3</v>
      </c>
      <c r="M162" s="51">
        <f t="shared" si="26"/>
        <v>2.0214146499809922</v>
      </c>
      <c r="N162" s="94">
        <f t="shared" si="22"/>
        <v>17.120194272739941</v>
      </c>
      <c r="O162" s="56">
        <f t="shared" si="23"/>
        <v>103.86420635948264</v>
      </c>
      <c r="P162" s="57">
        <f t="shared" si="24"/>
        <v>105.05449755097585</v>
      </c>
    </row>
    <row r="163" spans="1:16" ht="14.5" x14ac:dyDescent="0.35">
      <c r="A163" s="113">
        <f>'New Vestas G30 85L'!R43</f>
        <v>0.94363237746411799</v>
      </c>
      <c r="B163" s="113">
        <f>'New Vestas G30 85L'!T43</f>
        <v>146.47767934153356</v>
      </c>
      <c r="C163" s="50">
        <f t="shared" si="27"/>
        <v>-2.5197166225644708E-2</v>
      </c>
      <c r="D163" s="50">
        <f t="shared" si="28"/>
        <v>2.1657714507833314</v>
      </c>
      <c r="E163" s="51">
        <f t="shared" si="29"/>
        <v>6.3489718580277035E-4</v>
      </c>
      <c r="F163" s="51">
        <f t="shared" si="30"/>
        <v>4.690565977028136</v>
      </c>
      <c r="G163" s="52">
        <f t="shared" si="31"/>
        <v>-5.4571303252143301E-2</v>
      </c>
      <c r="J163" s="51">
        <f t="shared" si="25"/>
        <v>1.2233350773216822</v>
      </c>
      <c r="K163" s="51">
        <f t="shared" si="32"/>
        <v>2.0175285961553415</v>
      </c>
      <c r="L163" s="55">
        <f t="shared" si="33"/>
        <v>4.8921345940807978E-3</v>
      </c>
      <c r="M163" s="51">
        <f t="shared" si="26"/>
        <v>2.0224207307494222</v>
      </c>
      <c r="N163" s="94">
        <f t="shared" si="22"/>
        <v>16.723804318358809</v>
      </c>
      <c r="O163" s="56">
        <f t="shared" si="23"/>
        <v>104.11866623864455</v>
      </c>
      <c r="P163" s="57">
        <f t="shared" si="24"/>
        <v>105.29814749927964</v>
      </c>
    </row>
    <row r="164" spans="1:16" ht="14.5" x14ac:dyDescent="0.35">
      <c r="A164" s="113">
        <f>'New Vestas G30 85L'!R44</f>
        <v>1.4154485661961771</v>
      </c>
      <c r="B164" s="113">
        <f>'New Vestas G30 85L'!T44</f>
        <v>140.53517091794299</v>
      </c>
      <c r="C164" s="50">
        <f t="shared" si="27"/>
        <v>0.15089409283003657</v>
      </c>
      <c r="D164" s="50">
        <f t="shared" si="28"/>
        <v>2.1477850261919325</v>
      </c>
      <c r="E164" s="51">
        <f t="shared" si="29"/>
        <v>2.2769027250999694E-2</v>
      </c>
      <c r="F164" s="51">
        <f t="shared" si="30"/>
        <v>4.6129805187342798</v>
      </c>
      <c r="G164" s="52">
        <f t="shared" si="31"/>
        <v>0.324088073121168</v>
      </c>
      <c r="J164" s="51">
        <f t="shared" si="25"/>
        <v>1.2129174145978847</v>
      </c>
      <c r="K164" s="51">
        <f t="shared" si="32"/>
        <v>2.018616777867301</v>
      </c>
      <c r="L164" s="55">
        <f t="shared" si="33"/>
        <v>4.8344944484984961E-3</v>
      </c>
      <c r="M164" s="51">
        <f t="shared" si="26"/>
        <v>2.0234512723157994</v>
      </c>
      <c r="N164" s="94">
        <f t="shared" si="22"/>
        <v>16.32741436397766</v>
      </c>
      <c r="O164" s="56">
        <f t="shared" si="23"/>
        <v>104.37987630660572</v>
      </c>
      <c r="P164" s="57">
        <f t="shared" si="24"/>
        <v>105.54830717521787</v>
      </c>
    </row>
    <row r="165" spans="1:16" ht="14.5" x14ac:dyDescent="0.35">
      <c r="A165" s="113">
        <f>'New Vestas G30 85L'!R45</f>
        <v>1.887264754928236</v>
      </c>
      <c r="B165" s="113">
        <f>'New Vestas G30 85L'!T45</f>
        <v>133.81755271061729</v>
      </c>
      <c r="C165" s="50">
        <f t="shared" si="27"/>
        <v>0.27583282943833648</v>
      </c>
      <c r="D165" s="50">
        <f t="shared" si="28"/>
        <v>2.1265130831282777</v>
      </c>
      <c r="E165" s="51">
        <f t="shared" si="29"/>
        <v>7.608374979595843E-2</v>
      </c>
      <c r="F165" s="51">
        <f t="shared" si="30"/>
        <v>4.5220578927157336</v>
      </c>
      <c r="G165" s="52">
        <f t="shared" si="31"/>
        <v>0.58656212055691326</v>
      </c>
      <c r="J165" s="51">
        <f t="shared" si="25"/>
        <v>1.2022437030535269</v>
      </c>
      <c r="K165" s="51">
        <f t="shared" si="32"/>
        <v>2.0197317052756123</v>
      </c>
      <c r="L165" s="55">
        <f t="shared" si="33"/>
        <v>4.7757923922437445E-3</v>
      </c>
      <c r="M165" s="51">
        <f t="shared" si="26"/>
        <v>2.0245074976678561</v>
      </c>
      <c r="N165" s="94">
        <f t="shared" si="22"/>
        <v>15.931024409596523</v>
      </c>
      <c r="O165" s="56">
        <f t="shared" si="23"/>
        <v>104.64818617200729</v>
      </c>
      <c r="P165" s="57">
        <f t="shared" si="24"/>
        <v>105.80531820879898</v>
      </c>
    </row>
    <row r="166" spans="1:16" ht="14.5" x14ac:dyDescent="0.35">
      <c r="A166" s="113">
        <f>'New Vestas G30 85L'!R46</f>
        <v>2.8308971323923542</v>
      </c>
      <c r="B166" s="113">
        <f>'New Vestas G30 85L'!T46</f>
        <v>130.7171135332004</v>
      </c>
      <c r="C166" s="50">
        <f t="shared" si="27"/>
        <v>0.45192408849401777</v>
      </c>
      <c r="D166" s="50">
        <f t="shared" si="28"/>
        <v>2.1163324492981648</v>
      </c>
      <c r="E166" s="51">
        <f t="shared" si="29"/>
        <v>0.2042353817611488</v>
      </c>
      <c r="F166" s="51">
        <f t="shared" si="30"/>
        <v>4.4788630359523696</v>
      </c>
      <c r="G166" s="52">
        <f t="shared" si="31"/>
        <v>0.95642161309938523</v>
      </c>
      <c r="J166" s="51">
        <f t="shared" si="25"/>
        <v>1.1913010383473079</v>
      </c>
      <c r="K166" s="51">
        <f t="shared" si="32"/>
        <v>2.020874726309132</v>
      </c>
      <c r="L166" s="55">
        <f t="shared" si="33"/>
        <v>4.7159978852273458E-3</v>
      </c>
      <c r="M166" s="51">
        <f t="shared" si="26"/>
        <v>2.0255907241943594</v>
      </c>
      <c r="N166" s="94">
        <f t="shared" si="22"/>
        <v>15.534634455215388</v>
      </c>
      <c r="O166" s="56">
        <f t="shared" si="23"/>
        <v>104.92397283000709</v>
      </c>
      <c r="P166" s="57">
        <f t="shared" si="24"/>
        <v>106.06954947070726</v>
      </c>
    </row>
    <row r="167" spans="1:16" ht="14.5" x14ac:dyDescent="0.35">
      <c r="A167" s="113">
        <f>'New Vestas G30 85L'!R47</f>
        <v>3.774529509856472</v>
      </c>
      <c r="B167" s="113">
        <f>'New Vestas G30 85L'!T47</f>
        <v>122.36315241384239</v>
      </c>
      <c r="C167" s="50">
        <f t="shared" si="27"/>
        <v>0.57686282510231768</v>
      </c>
      <c r="D167" s="50">
        <f t="shared" si="28"/>
        <v>2.0876506570859386</v>
      </c>
      <c r="E167" s="51">
        <f t="shared" si="29"/>
        <v>0.33277071898502714</v>
      </c>
      <c r="F167" s="51">
        <f t="shared" si="30"/>
        <v>4.3582852660313511</v>
      </c>
      <c r="G167" s="52">
        <f t="shared" si="31"/>
        <v>1.2042880558733045</v>
      </c>
      <c r="J167" s="51">
        <f t="shared" si="25"/>
        <v>1.1800755153354641</v>
      </c>
      <c r="K167" s="51">
        <f t="shared" si="32"/>
        <v>2.0220472934359948</v>
      </c>
      <c r="L167" s="55">
        <f t="shared" si="33"/>
        <v>4.6550802549987867E-3</v>
      </c>
      <c r="M167" s="51">
        <f t="shared" si="26"/>
        <v>2.0267023736909935</v>
      </c>
      <c r="N167" s="94">
        <f t="shared" si="22"/>
        <v>15.138244500834238</v>
      </c>
      <c r="O167" s="56">
        <f t="shared" si="23"/>
        <v>105.20764357220854</v>
      </c>
      <c r="P167" s="57">
        <f t="shared" si="24"/>
        <v>106.34140003064874</v>
      </c>
    </row>
    <row r="168" spans="1:16" ht="14.5" x14ac:dyDescent="0.35">
      <c r="A168" s="49"/>
      <c r="B168" s="49"/>
      <c r="C168" s="50"/>
      <c r="D168" s="50"/>
      <c r="E168" s="51"/>
      <c r="F168" s="51"/>
      <c r="G168" s="52"/>
      <c r="J168" s="51">
        <f t="shared" si="25"/>
        <v>1.1685521218288291</v>
      </c>
      <c r="K168" s="51">
        <f t="shared" si="32"/>
        <v>2.0232509747612686</v>
      </c>
      <c r="L168" s="55">
        <f t="shared" si="33"/>
        <v>4.5930089706392738E-3</v>
      </c>
      <c r="M168" s="51">
        <f t="shared" si="26"/>
        <v>2.0278439837319078</v>
      </c>
      <c r="N168" s="94">
        <f t="shared" ref="N168:N204" si="34">10^$J168</f>
        <v>14.741854546453107</v>
      </c>
      <c r="O168" s="56">
        <f t="shared" ref="O168:O204" si="35">10^K168</f>
        <v>105.49963929135312</v>
      </c>
      <c r="P168" s="57">
        <f t="shared" ref="P168:P204" si="36">10^M168</f>
        <v>106.62130252736239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37">LOG($I$24+($I$25-$I$24)*(ROW()-104)/100)</f>
        <v>1.1567146178664993</v>
      </c>
      <c r="K169" s="51">
        <f t="shared" si="32"/>
        <v>2.0244874666374773</v>
      </c>
      <c r="L169" s="55">
        <f t="shared" si="33"/>
        <v>4.5297539998304676E-3</v>
      </c>
      <c r="M169" s="51">
        <f t="shared" ref="M169:M204" si="38">+$I$14+$I$13*J169+L169</f>
        <v>2.0290172206373076</v>
      </c>
      <c r="N169" s="94">
        <f t="shared" si="34"/>
        <v>14.345464592071965</v>
      </c>
      <c r="O169" s="56">
        <f t="shared" si="35"/>
        <v>105.80043824657086</v>
      </c>
      <c r="P169" s="57">
        <f t="shared" si="36"/>
        <v>106.90972702087331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37"/>
        <v>1.1445453980702316</v>
      </c>
      <c r="K170" s="51">
        <f t="shared" si="32"/>
        <v>2.0257586080424361</v>
      </c>
      <c r="L170" s="55">
        <f t="shared" si="33"/>
        <v>4.4652862717036784E-3</v>
      </c>
      <c r="M170" s="51">
        <f t="shared" si="38"/>
        <v>2.03022389431414</v>
      </c>
      <c r="N170" s="94">
        <f t="shared" si="34"/>
        <v>13.949074637690821</v>
      </c>
      <c r="O170" s="56">
        <f t="shared" si="35"/>
        <v>106.11056036811196</v>
      </c>
      <c r="P170" s="57">
        <f t="shared" si="36"/>
        <v>107.20718541206685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37"/>
        <v>1.132025334151916</v>
      </c>
      <c r="K171" s="51">
        <f t="shared" si="32"/>
        <v>2.0270663970302052</v>
      </c>
      <c r="L171" s="55">
        <f t="shared" si="33"/>
        <v>4.399578274478848E-3</v>
      </c>
      <c r="M171" s="51">
        <f t="shared" si="38"/>
        <v>2.031465975304684</v>
      </c>
      <c r="N171" s="94">
        <f t="shared" si="34"/>
        <v>13.552684683309678</v>
      </c>
      <c r="O171" s="56">
        <f t="shared" si="35"/>
        <v>106.43057219667152</v>
      </c>
      <c r="P171" s="57">
        <f t="shared" si="36"/>
        <v>107.51423653265594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37"/>
        <v>1.1191335940378582</v>
      </c>
      <c r="K172" s="51">
        <f t="shared" si="32"/>
        <v>2.0284130096245456</v>
      </c>
      <c r="L172" s="55">
        <f t="shared" si="33"/>
        <v>4.3326048252588971E-3</v>
      </c>
      <c r="M172" s="51">
        <f t="shared" si="38"/>
        <v>2.0327456144498046</v>
      </c>
      <c r="N172" s="94">
        <f t="shared" si="34"/>
        <v>13.156294728928538</v>
      </c>
      <c r="O172" s="56">
        <f t="shared" si="35"/>
        <v>106.76109257252088</v>
      </c>
      <c r="P172" s="57">
        <f t="shared" si="36"/>
        <v>107.83149203108204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37"/>
        <v>1.1058474333159494</v>
      </c>
      <c r="K173" s="51">
        <f t="shared" si="32"/>
        <v>2.0298008216033985</v>
      </c>
      <c r="L173" s="55">
        <f t="shared" si="33"/>
        <v>4.2643440602937307E-3</v>
      </c>
      <c r="M173" s="51">
        <f t="shared" si="38"/>
        <v>2.0340651656636921</v>
      </c>
      <c r="N173" s="94">
        <f t="shared" si="34"/>
        <v>12.759904774547405</v>
      </c>
      <c r="O173" s="56">
        <f t="shared" si="35"/>
        <v>107.10279921474825</v>
      </c>
      <c r="P173" s="57">
        <f t="shared" si="36"/>
        <v>108.15962320810191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37"/>
        <v>1.0921419537627555</v>
      </c>
      <c r="K174" s="51">
        <f t="shared" si="32"/>
        <v>2.0312324337220513</v>
      </c>
      <c r="L174" s="55">
        <f t="shared" si="33"/>
        <v>4.1947787084358817E-3</v>
      </c>
      <c r="M174" s="51">
        <f t="shared" si="38"/>
        <v>2.0354272124304873</v>
      </c>
      <c r="N174" s="94">
        <f t="shared" si="34"/>
        <v>12.363514820166262</v>
      </c>
      <c r="O174" s="56">
        <f t="shared" si="35"/>
        <v>107.45643636243774</v>
      </c>
      <c r="P174" s="57">
        <f t="shared" si="36"/>
        <v>108.49936899147896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37"/>
        <v>1.0779898225109545</v>
      </c>
      <c r="K175" s="51">
        <f t="shared" si="32"/>
        <v>2.0327107010476273</v>
      </c>
      <c r="L175" s="55">
        <f t="shared" si="33"/>
        <v>4.1238977295503243E-3</v>
      </c>
      <c r="M175" s="51">
        <f t="shared" si="38"/>
        <v>2.0368345987771774</v>
      </c>
      <c r="N175" s="94">
        <f t="shared" si="34"/>
        <v>11.967124865785124</v>
      </c>
      <c r="O175" s="56">
        <f t="shared" si="35"/>
        <v>107.82282368947781</v>
      </c>
      <c r="P175" s="57">
        <f t="shared" si="36"/>
        <v>108.85154528456752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37"/>
        <v>1.0633609438982747</v>
      </c>
      <c r="K176" s="51">
        <f t="shared" si="32"/>
        <v>2.0342387672362583</v>
      </c>
      <c r="L176" s="55">
        <f t="shared" si="33"/>
        <v>4.051698424910241E-3</v>
      </c>
      <c r="M176" s="51">
        <f t="shared" si="38"/>
        <v>2.0382904656611687</v>
      </c>
      <c r="N176" s="94">
        <f t="shared" si="34"/>
        <v>11.570734911403981</v>
      </c>
      <c r="O176" s="56">
        <f t="shared" si="35"/>
        <v>108.20286675547243</v>
      </c>
      <c r="P176" s="57">
        <f t="shared" si="36"/>
        <v>109.2170559817352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37"/>
        <v>1.0482220740958381</v>
      </c>
      <c r="K177" s="51">
        <f t="shared" si="32"/>
        <v>2.0358201047872537</v>
      </c>
      <c r="L177" s="55">
        <f t="shared" si="33"/>
        <v>3.9781891602815936E-3</v>
      </c>
      <c r="M177" s="51">
        <f t="shared" si="38"/>
        <v>2.0397982939475354</v>
      </c>
      <c r="N177" s="94">
        <f t="shared" si="34"/>
        <v>11.174344957022839</v>
      </c>
      <c r="O177" s="56">
        <f t="shared" si="35"/>
        <v>108.59756932037675</v>
      </c>
      <c r="P177" s="57">
        <f t="shared" si="36"/>
        <v>109.59690601861458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37"/>
        <v>1.0325363661086611</v>
      </c>
      <c r="K178" s="51">
        <f t="shared" si="32"/>
        <v>2.0374585625702837</v>
      </c>
      <c r="L178" s="55">
        <f t="shared" si="33"/>
        <v>3.9033928874333307E-3</v>
      </c>
      <c r="M178" s="51">
        <f t="shared" si="38"/>
        <v>2.0413619554577171</v>
      </c>
      <c r="N178" s="94">
        <f t="shared" si="34"/>
        <v>10.777955002641708</v>
      </c>
      <c r="O178" s="56">
        <f t="shared" si="35"/>
        <v>109.00804793476323</v>
      </c>
      <c r="P178" s="57">
        <f t="shared" si="36"/>
        <v>109.99221692282661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37"/>
        <v>1.0162628294843303</v>
      </c>
      <c r="K179" s="51">
        <f t="shared" si="32"/>
        <v>2.0391584222617527</v>
      </c>
      <c r="L179" s="55">
        <f t="shared" si="33"/>
        <v>3.8273517102386341E-3</v>
      </c>
      <c r="M179" s="51">
        <f t="shared" si="38"/>
        <v>2.0429857739719912</v>
      </c>
      <c r="N179" s="94">
        <f t="shared" si="34"/>
        <v>10.381565048260557</v>
      </c>
      <c r="O179" s="56">
        <f t="shared" si="35"/>
        <v>109.43554932755582</v>
      </c>
      <c r="P179" s="57">
        <f t="shared" si="36"/>
        <v>110.4042454588492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37"/>
        <v>0.99935568479399506</v>
      </c>
      <c r="K180" s="51">
        <f t="shared" si="32"/>
        <v>2.0409244657727843</v>
      </c>
      <c r="L180" s="55">
        <f t="shared" si="33"/>
        <v>3.750132822826221E-3</v>
      </c>
      <c r="M180" s="51">
        <f t="shared" si="38"/>
        <v>2.0446745985956105</v>
      </c>
      <c r="N180" s="94">
        <f t="shared" si="34"/>
        <v>9.9851750938794233</v>
      </c>
      <c r="O180" s="56">
        <f t="shared" si="35"/>
        <v>109.88147125779867</v>
      </c>
      <c r="P180" s="57">
        <f t="shared" si="36"/>
        <v>110.83440613005115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37"/>
        <v>0.98176358729228785</v>
      </c>
      <c r="K181" s="51">
        <f t="shared" si="32"/>
        <v>2.0427620563421773</v>
      </c>
      <c r="L181" s="55">
        <f t="shared" si="33"/>
        <v>3.6718362567724917E-3</v>
      </c>
      <c r="M181" s="51">
        <f t="shared" si="38"/>
        <v>2.0464338925989498</v>
      </c>
      <c r="N181" s="94">
        <f t="shared" si="34"/>
        <v>9.588785139498281</v>
      </c>
      <c r="O181" s="56">
        <f t="shared" si="35"/>
        <v>110.34738768939637</v>
      </c>
      <c r="P181" s="57">
        <f t="shared" si="36"/>
        <v>111.28429852684188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37"/>
        <v>0.96342868659259784</v>
      </c>
      <c r="K182" s="51">
        <f t="shared" si="32"/>
        <v>2.0446772367584547</v>
      </c>
      <c r="L182" s="55">
        <f t="shared" si="33"/>
        <v>3.5926050219141975E-3</v>
      </c>
      <c r="M182" s="51">
        <f t="shared" si="38"/>
        <v>2.0482698417803689</v>
      </c>
      <c r="N182" s="94">
        <f t="shared" si="34"/>
        <v>9.1923951851171388</v>
      </c>
      <c r="O182" s="56">
        <f t="shared" si="35"/>
        <v>110.83507940616312</v>
      </c>
      <c r="P182" s="57">
        <f t="shared" si="36"/>
        <v>111.75574081413468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37"/>
        <v>0.94428547895149784</v>
      </c>
      <c r="K183" s="51">
        <f t="shared" si="32"/>
        <v>2.0466768492450162</v>
      </c>
      <c r="L183" s="55">
        <f t="shared" si="33"/>
        <v>3.512638423823395E-3</v>
      </c>
      <c r="M183" s="51">
        <f t="shared" si="38"/>
        <v>2.0501894876688396</v>
      </c>
      <c r="N183" s="94">
        <f t="shared" si="34"/>
        <v>8.7960052307360002</v>
      </c>
      <c r="O183" s="56">
        <f t="shared" si="35"/>
        <v>111.34657153553113</v>
      </c>
      <c r="P183" s="57">
        <f t="shared" si="36"/>
        <v>112.25081106496921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37"/>
        <v>0.9242593947306309</v>
      </c>
      <c r="K184" s="51">
        <f t="shared" si="32"/>
        <v>2.0487686830074523</v>
      </c>
      <c r="L184" s="55">
        <f t="shared" si="33"/>
        <v>3.4322096064982356E-3</v>
      </c>
      <c r="M184" s="51">
        <f t="shared" si="38"/>
        <v>2.0522008926139503</v>
      </c>
      <c r="N184" s="94">
        <f t="shared" si="34"/>
        <v>8.3996152763548562</v>
      </c>
      <c r="O184" s="56">
        <f t="shared" si="35"/>
        <v>111.88417993191403</v>
      </c>
      <c r="P184" s="57">
        <f t="shared" si="36"/>
        <v>112.77189871520008</v>
      </c>
    </row>
    <row r="185" spans="1:16" ht="14.5" x14ac:dyDescent="0.35">
      <c r="A185" s="49" t="s">
        <v>131</v>
      </c>
      <c r="B185" s="48"/>
      <c r="C185" s="50"/>
      <c r="D185" s="50"/>
      <c r="E185" s="51"/>
      <c r="F185" s="51"/>
      <c r="G185" s="52"/>
      <c r="J185" s="51">
        <f t="shared" si="37"/>
        <v>0.90326504414777686</v>
      </c>
      <c r="K185" s="51">
        <f t="shared" si="32"/>
        <v>2.0509616574744163</v>
      </c>
      <c r="L185" s="55">
        <f t="shared" si="33"/>
        <v>3.3516887206456957E-3</v>
      </c>
      <c r="M185" s="51">
        <f t="shared" si="38"/>
        <v>2.054313346195062</v>
      </c>
      <c r="N185" s="94">
        <f t="shared" si="34"/>
        <v>8.0032253219737175</v>
      </c>
      <c r="O185" s="56">
        <f t="shared" si="35"/>
        <v>112.45056904315292</v>
      </c>
      <c r="P185" s="57">
        <f t="shared" si="36"/>
        <v>113.32176920249672</v>
      </c>
    </row>
    <row r="186" spans="1:16" ht="14.5" x14ac:dyDescent="0.35">
      <c r="A186" s="49">
        <v>0.1</v>
      </c>
      <c r="B186" s="48">
        <f>$I$31*POWER(A186,-$I$28)</f>
        <v>177.73300177738918</v>
      </c>
      <c r="C186" s="50"/>
      <c r="D186" s="50"/>
      <c r="E186" s="51"/>
      <c r="F186" s="51"/>
      <c r="G186" s="52"/>
      <c r="J186" s="51">
        <f t="shared" si="37"/>
        <v>0.88120401705431017</v>
      </c>
      <c r="K186" s="51">
        <f t="shared" si="32"/>
        <v>2.0532660521228743</v>
      </c>
      <c r="L186" s="55">
        <f t="shared" si="33"/>
        <v>3.2715735765713513E-3</v>
      </c>
      <c r="M186" s="51">
        <f t="shared" si="38"/>
        <v>2.0565376256994456</v>
      </c>
      <c r="N186" s="94">
        <f t="shared" si="34"/>
        <v>7.6068353675925833</v>
      </c>
      <c r="O186" s="56">
        <f t="shared" si="35"/>
        <v>113.04882483382251</v>
      </c>
      <c r="P186" s="57">
        <f t="shared" si="36"/>
        <v>113.90364595905673</v>
      </c>
    </row>
    <row r="187" spans="1:16" ht="14.5" x14ac:dyDescent="0.35">
      <c r="A187" s="49">
        <f>A186+0.1</f>
        <v>0.2</v>
      </c>
      <c r="B187" s="48">
        <f t="shared" ref="B187:B231" si="39">$I$31*POWER(A187,-$I$28)</f>
        <v>165.31941139399916</v>
      </c>
      <c r="C187" s="50"/>
      <c r="D187" s="50"/>
      <c r="E187" s="51"/>
      <c r="F187" s="51"/>
      <c r="G187" s="52"/>
      <c r="J187" s="51">
        <f t="shared" si="37"/>
        <v>0.85796209336367868</v>
      </c>
      <c r="K187" s="51">
        <f t="shared" si="32"/>
        <v>2.0556937978640692</v>
      </c>
      <c r="L187" s="55">
        <f t="shared" si="33"/>
        <v>3.192530222737547E-3</v>
      </c>
      <c r="M187" s="51">
        <f t="shared" si="38"/>
        <v>2.0588863280868068</v>
      </c>
      <c r="N187" s="94">
        <f t="shared" si="34"/>
        <v>7.2104454132114402</v>
      </c>
      <c r="O187" s="56">
        <f t="shared" si="35"/>
        <v>113.68254770344292</v>
      </c>
      <c r="P187" s="57">
        <f t="shared" si="36"/>
        <v>114.52131549788118</v>
      </c>
    </row>
    <row r="188" spans="1:16" ht="14.5" x14ac:dyDescent="0.35">
      <c r="A188" s="49">
        <f t="shared" ref="A188:A195" si="40">A187+0.1</f>
        <v>0.30000000000000004</v>
      </c>
      <c r="B188" s="48">
        <f t="shared" si="39"/>
        <v>158.46383333173321</v>
      </c>
      <c r="C188" s="50"/>
      <c r="D188" s="50"/>
      <c r="E188" s="51"/>
      <c r="F188" s="51"/>
      <c r="G188" s="52"/>
      <c r="J188" s="51">
        <f t="shared" si="37"/>
        <v>0.83340566392014093</v>
      </c>
      <c r="K188" s="51">
        <f t="shared" si="32"/>
        <v>2.0582588509033122</v>
      </c>
      <c r="L188" s="55">
        <f t="shared" si="33"/>
        <v>3.1154465977045577E-3</v>
      </c>
      <c r="M188" s="51">
        <f t="shared" si="38"/>
        <v>2.0613742975010165</v>
      </c>
      <c r="N188" s="94">
        <f t="shared" si="34"/>
        <v>6.8140554588302971</v>
      </c>
      <c r="O188" s="56">
        <f t="shared" si="35"/>
        <v>114.35597232990031</v>
      </c>
      <c r="P188" s="57">
        <f t="shared" si="36"/>
        <v>115.17926359077582</v>
      </c>
    </row>
    <row r="189" spans="1:16" ht="14.5" x14ac:dyDescent="0.35">
      <c r="A189" s="49">
        <f t="shared" si="40"/>
        <v>0.4</v>
      </c>
      <c r="B189" s="48">
        <f t="shared" si="39"/>
        <v>153.77283627882366</v>
      </c>
      <c r="C189" s="50"/>
      <c r="D189" s="50"/>
      <c r="E189" s="51"/>
      <c r="F189" s="51"/>
      <c r="G189" s="52"/>
      <c r="J189" s="51">
        <f t="shared" si="37"/>
        <v>0.8073770774591289</v>
      </c>
      <c r="K189" s="51">
        <f t="shared" si="32"/>
        <v>2.060977678775358</v>
      </c>
      <c r="L189" s="55">
        <f t="shared" si="33"/>
        <v>3.0415031981096208E-3</v>
      </c>
      <c r="M189" s="51">
        <f t="shared" si="38"/>
        <v>2.0640191819734675</v>
      </c>
      <c r="N189" s="94">
        <f t="shared" si="34"/>
        <v>6.417665504449162</v>
      </c>
      <c r="O189" s="56">
        <f t="shared" si="35"/>
        <v>115.07412433301974</v>
      </c>
      <c r="P189" s="57">
        <f t="shared" si="36"/>
        <v>115.88285383098868</v>
      </c>
    </row>
    <row r="190" spans="1:16" ht="14.5" x14ac:dyDescent="0.35">
      <c r="A190" s="49">
        <f t="shared" si="40"/>
        <v>0.5</v>
      </c>
      <c r="B190" s="48">
        <f t="shared" si="39"/>
        <v>150.23006156179588</v>
      </c>
      <c r="C190" s="50"/>
      <c r="D190" s="50"/>
      <c r="E190" s="51"/>
      <c r="F190" s="51"/>
      <c r="G190" s="52"/>
      <c r="J190" s="51">
        <f t="shared" si="37"/>
        <v>0.77968850216741636</v>
      </c>
      <c r="K190" s="51">
        <f t="shared" si="32"/>
        <v>2.0638699015379394</v>
      </c>
      <c r="L190" s="55">
        <f t="shared" si="33"/>
        <v>2.9722654778739244E-3</v>
      </c>
      <c r="M190" s="51">
        <f t="shared" si="38"/>
        <v>2.0668421670158135</v>
      </c>
      <c r="N190" s="94">
        <f t="shared" si="34"/>
        <v>6.0212755500680188</v>
      </c>
      <c r="O190" s="56">
        <f t="shared" si="35"/>
        <v>115.84302815775627</v>
      </c>
      <c r="P190" s="57">
        <f t="shared" si="36"/>
        <v>116.63856476316842</v>
      </c>
    </row>
    <row r="191" spans="1:16" ht="14.5" x14ac:dyDescent="0.35">
      <c r="A191" s="49">
        <f t="shared" si="40"/>
        <v>0.6</v>
      </c>
      <c r="B191" s="48">
        <f t="shared" si="39"/>
        <v>147.3960794655957</v>
      </c>
      <c r="C191" s="50"/>
      <c r="D191" s="50"/>
      <c r="E191" s="51"/>
      <c r="F191" s="51"/>
      <c r="G191" s="52"/>
      <c r="J191" s="51">
        <f t="shared" si="37"/>
        <v>0.7501136937759042</v>
      </c>
      <c r="K191" s="51">
        <f t="shared" si="32"/>
        <v>2.0669591516393884</v>
      </c>
      <c r="L191" s="55">
        <f t="shared" si="33"/>
        <v>2.9098032106436799E-3</v>
      </c>
      <c r="M191" s="51">
        <f t="shared" si="38"/>
        <v>2.069868954850032</v>
      </c>
      <c r="N191" s="94">
        <f t="shared" si="34"/>
        <v>5.6248855956868775</v>
      </c>
      <c r="O191" s="56">
        <f t="shared" si="35"/>
        <v>116.66998758126199</v>
      </c>
      <c r="P191" s="57">
        <f t="shared" si="36"/>
        <v>117.45430917672108</v>
      </c>
    </row>
    <row r="192" spans="1:16" ht="14.5" x14ac:dyDescent="0.35">
      <c r="A192" s="49">
        <f t="shared" si="40"/>
        <v>0.7</v>
      </c>
      <c r="B192" s="48">
        <f t="shared" si="39"/>
        <v>145.04173112786245</v>
      </c>
      <c r="C192" s="50"/>
      <c r="D192" s="50"/>
      <c r="E192" s="51"/>
      <c r="F192" s="51"/>
      <c r="G192" s="52"/>
      <c r="J192" s="51">
        <f t="shared" si="37"/>
        <v>0.71837675030887482</v>
      </c>
      <c r="K192" s="51">
        <f t="shared" si="32"/>
        <v>2.0702742485464354</v>
      </c>
      <c r="L192" s="55">
        <f t="shared" si="33"/>
        <v>2.8568419250170579E-3</v>
      </c>
      <c r="M192" s="51">
        <f t="shared" si="38"/>
        <v>2.0731310904714526</v>
      </c>
      <c r="N192" s="94">
        <f t="shared" si="34"/>
        <v>5.2284956413057415</v>
      </c>
      <c r="O192" s="56">
        <f t="shared" si="35"/>
        <v>117.56397142748014</v>
      </c>
      <c r="P192" s="57">
        <f t="shared" si="36"/>
        <v>118.3398707128525</v>
      </c>
    </row>
    <row r="193" spans="1:16" ht="14.5" x14ac:dyDescent="0.35">
      <c r="A193" s="49">
        <f t="shared" si="40"/>
        <v>0.79999999999999993</v>
      </c>
      <c r="B193" s="48">
        <f t="shared" si="39"/>
        <v>143.03272058523805</v>
      </c>
      <c r="C193" s="50"/>
      <c r="D193" s="50"/>
      <c r="E193" s="51"/>
      <c r="F193" s="51"/>
      <c r="G193" s="52"/>
      <c r="J193" s="51">
        <f t="shared" si="37"/>
        <v>0.6841364245257836</v>
      </c>
      <c r="K193" s="51">
        <f t="shared" si="32"/>
        <v>2.0738508373952551</v>
      </c>
      <c r="L193" s="55">
        <f t="shared" si="33"/>
        <v>2.8169503303888087E-3</v>
      </c>
      <c r="M193" s="51">
        <f t="shared" si="38"/>
        <v>2.0766677877256439</v>
      </c>
      <c r="N193" s="94">
        <f t="shared" si="34"/>
        <v>4.8321056869245931</v>
      </c>
      <c r="O193" s="56">
        <f t="shared" si="35"/>
        <v>118.53615544502372</v>
      </c>
      <c r="P193" s="57">
        <f t="shared" si="36"/>
        <v>119.30751160475504</v>
      </c>
    </row>
    <row r="194" spans="1:16" ht="14.5" x14ac:dyDescent="0.35">
      <c r="A194" s="49">
        <f t="shared" si="40"/>
        <v>0.89999999999999991</v>
      </c>
      <c r="B194" s="48">
        <f t="shared" si="39"/>
        <v>141.28375835140969</v>
      </c>
      <c r="C194" s="50"/>
      <c r="D194" s="50"/>
      <c r="E194" s="51"/>
      <c r="F194" s="51"/>
      <c r="G194" s="52"/>
      <c r="J194" s="51">
        <f t="shared" si="37"/>
        <v>0.64696370615530707</v>
      </c>
      <c r="K194" s="51">
        <f t="shared" ref="K194:K204" si="41">+$I$14+$I$13*J194</f>
        <v>2.0777337306494372</v>
      </c>
      <c r="L194" s="55">
        <f t="shared" ref="L194:L204" si="42">SQRT(2*$I$20*$I$17)*SQRT((1/$I$2)+((J194-$I$11)^2/$I$8))</f>
        <v>2.7947654266923133E-3</v>
      </c>
      <c r="M194" s="51">
        <f t="shared" si="38"/>
        <v>2.0805284960761297</v>
      </c>
      <c r="N194" s="94">
        <f t="shared" si="34"/>
        <v>4.435715732543458</v>
      </c>
      <c r="O194" s="56">
        <f t="shared" si="35"/>
        <v>119.60070251904038</v>
      </c>
      <c r="P194" s="57">
        <f t="shared" si="36"/>
        <v>120.3728369403819</v>
      </c>
    </row>
    <row r="195" spans="1:16" ht="14.5" x14ac:dyDescent="0.35">
      <c r="A195" s="49">
        <f t="shared" si="40"/>
        <v>0.99999999999999989</v>
      </c>
      <c r="B195" s="48">
        <f t="shared" si="39"/>
        <v>139.73738755724955</v>
      </c>
      <c r="C195" s="50"/>
      <c r="D195" s="50"/>
      <c r="E195" s="51"/>
      <c r="F195" s="51"/>
      <c r="G195" s="52"/>
      <c r="J195" s="51">
        <f t="shared" si="37"/>
        <v>0.60630888113548009</v>
      </c>
      <c r="K195" s="51">
        <f t="shared" si="41"/>
        <v>2.0819803489420834</v>
      </c>
      <c r="L195" s="55">
        <f t="shared" si="42"/>
        <v>2.796255684697531E-3</v>
      </c>
      <c r="M195" s="51">
        <f t="shared" si="38"/>
        <v>2.0847766046267808</v>
      </c>
      <c r="N195" s="94">
        <f t="shared" si="34"/>
        <v>4.0393257781623157</v>
      </c>
      <c r="O195" s="56">
        <f t="shared" si="35"/>
        <v>120.77591849013467</v>
      </c>
      <c r="P195" s="57">
        <f t="shared" si="36"/>
        <v>121.55605714229961</v>
      </c>
    </row>
    <row r="196" spans="1:16" ht="14.5" x14ac:dyDescent="0.35">
      <c r="A196" s="49">
        <f>A195+1</f>
        <v>2</v>
      </c>
      <c r="B196" s="48">
        <f t="shared" si="39"/>
        <v>129.97756426594341</v>
      </c>
      <c r="C196" s="50"/>
      <c r="D196" s="50"/>
      <c r="E196" s="51"/>
      <c r="F196" s="51"/>
      <c r="G196" s="52"/>
      <c r="J196" s="51">
        <f t="shared" si="37"/>
        <v>0.56145152050812386</v>
      </c>
      <c r="K196" s="51">
        <f t="shared" si="41"/>
        <v>2.0866659450086527</v>
      </c>
      <c r="L196" s="55">
        <f t="shared" si="42"/>
        <v>2.829029195908184E-3</v>
      </c>
      <c r="M196" s="51">
        <f t="shared" si="38"/>
        <v>2.0894949742045608</v>
      </c>
      <c r="N196" s="94">
        <f t="shared" si="34"/>
        <v>3.6429358237811731</v>
      </c>
      <c r="O196" s="56">
        <f t="shared" si="35"/>
        <v>122.08602253796059</v>
      </c>
      <c r="P196" s="57">
        <f t="shared" si="36"/>
        <v>122.88389659764431</v>
      </c>
    </row>
    <row r="197" spans="1:16" ht="14.5" x14ac:dyDescent="0.35">
      <c r="A197" s="49">
        <f t="shared" ref="A197:A204" si="43">A196+1</f>
        <v>3</v>
      </c>
      <c r="B197" s="48">
        <f t="shared" si="39"/>
        <v>124.58756601555821</v>
      </c>
      <c r="C197" s="50"/>
      <c r="D197" s="50"/>
      <c r="E197" s="51"/>
      <c r="F197" s="51"/>
      <c r="G197" s="52"/>
      <c r="J197" s="51">
        <f t="shared" si="37"/>
        <v>0.51142154325885836</v>
      </c>
      <c r="K197" s="51">
        <f t="shared" si="41"/>
        <v>2.0918918491040159</v>
      </c>
      <c r="L197" s="55">
        <f t="shared" si="42"/>
        <v>2.9027246710381528E-3</v>
      </c>
      <c r="M197" s="51">
        <f t="shared" si="38"/>
        <v>2.094794573775054</v>
      </c>
      <c r="N197" s="94">
        <f t="shared" si="34"/>
        <v>3.246545869400038</v>
      </c>
      <c r="O197" s="56">
        <f t="shared" si="35"/>
        <v>123.56396879268547</v>
      </c>
      <c r="P197" s="57">
        <f t="shared" si="36"/>
        <v>124.39260814200064</v>
      </c>
    </row>
    <row r="198" spans="1:16" ht="14.5" x14ac:dyDescent="0.35">
      <c r="A198" s="49">
        <f t="shared" si="43"/>
        <v>4</v>
      </c>
      <c r="B198" s="48">
        <f t="shared" si="39"/>
        <v>120.8994064354181</v>
      </c>
      <c r="C198" s="50"/>
      <c r="D198" s="50"/>
      <c r="E198" s="51"/>
      <c r="F198" s="51"/>
      <c r="G198" s="52"/>
      <c r="J198" s="51">
        <f t="shared" si="37"/>
        <v>0.45486861831736297</v>
      </c>
      <c r="K198" s="51">
        <f t="shared" si="41"/>
        <v>2.0977991106760943</v>
      </c>
      <c r="L198" s="55">
        <f t="shared" si="42"/>
        <v>3.0296108535454967E-3</v>
      </c>
      <c r="M198" s="51">
        <f t="shared" si="38"/>
        <v>2.10082872152964</v>
      </c>
      <c r="N198" s="94">
        <f t="shared" si="34"/>
        <v>2.8501559150188958</v>
      </c>
      <c r="O198" s="56">
        <f t="shared" si="35"/>
        <v>125.25616500356004</v>
      </c>
      <c r="P198" s="57">
        <f t="shared" si="36"/>
        <v>126.13299890616182</v>
      </c>
    </row>
    <row r="199" spans="1:16" ht="14.5" x14ac:dyDescent="0.35">
      <c r="A199" s="49">
        <f t="shared" si="43"/>
        <v>5</v>
      </c>
      <c r="B199" s="48">
        <f t="shared" si="39"/>
        <v>118.11400316922338</v>
      </c>
      <c r="C199" s="50"/>
      <c r="D199" s="50"/>
      <c r="E199" s="51"/>
      <c r="F199" s="51"/>
      <c r="G199" s="52"/>
      <c r="J199" s="51">
        <f t="shared" si="37"/>
        <v>0.38983313750642645</v>
      </c>
      <c r="K199" s="51">
        <f t="shared" si="41"/>
        <v>2.1045924214909375</v>
      </c>
      <c r="L199" s="55">
        <f t="shared" si="42"/>
        <v>3.2257220212109821E-3</v>
      </c>
      <c r="M199" s="51">
        <f t="shared" si="38"/>
        <v>2.1078181435121484</v>
      </c>
      <c r="N199" s="94">
        <f t="shared" si="34"/>
        <v>2.4537659606377535</v>
      </c>
      <c r="O199" s="56">
        <f t="shared" si="35"/>
        <v>127.23084791426768</v>
      </c>
      <c r="P199" s="57">
        <f t="shared" si="36"/>
        <v>128.1793731907419</v>
      </c>
    </row>
    <row r="200" spans="1:16" ht="14.5" x14ac:dyDescent="0.35">
      <c r="A200" s="49">
        <f t="shared" si="43"/>
        <v>6</v>
      </c>
      <c r="B200" s="48">
        <f t="shared" si="39"/>
        <v>115.88586742320678</v>
      </c>
      <c r="C200" s="50"/>
      <c r="D200" s="50"/>
      <c r="E200" s="51"/>
      <c r="F200" s="51"/>
      <c r="G200" s="52"/>
      <c r="J200" s="51">
        <f t="shared" si="37"/>
        <v>0.31331367065406879</v>
      </c>
      <c r="K200" s="51">
        <f t="shared" si="41"/>
        <v>2.1125852973062993</v>
      </c>
      <c r="L200" s="55">
        <f t="shared" si="42"/>
        <v>3.5133003680776049E-3</v>
      </c>
      <c r="M200" s="51">
        <f t="shared" si="38"/>
        <v>2.1160985976743767</v>
      </c>
      <c r="N200" s="94">
        <f t="shared" si="34"/>
        <v>2.057376006256618</v>
      </c>
      <c r="O200" s="56">
        <f t="shared" si="35"/>
        <v>129.59412009555516</v>
      </c>
      <c r="P200" s="57">
        <f t="shared" si="36"/>
        <v>130.6467461165642</v>
      </c>
    </row>
    <row r="201" spans="1:16" ht="14.5" x14ac:dyDescent="0.35">
      <c r="A201" s="49">
        <f t="shared" si="43"/>
        <v>7</v>
      </c>
      <c r="B201" s="48">
        <f t="shared" si="39"/>
        <v>114.03482972719883</v>
      </c>
      <c r="C201" s="50"/>
      <c r="D201" s="50"/>
      <c r="E201" s="51"/>
      <c r="F201" s="51"/>
      <c r="G201" s="52"/>
      <c r="J201" s="51">
        <f t="shared" si="37"/>
        <v>0.22036598548032402</v>
      </c>
      <c r="K201" s="51">
        <f t="shared" si="41"/>
        <v>2.1222941901603565</v>
      </c>
      <c r="L201" s="55">
        <f t="shared" si="42"/>
        <v>3.9264053463738697E-3</v>
      </c>
      <c r="M201" s="51">
        <f t="shared" si="38"/>
        <v>2.1262205955067301</v>
      </c>
      <c r="N201" s="94">
        <f t="shared" si="34"/>
        <v>1.6609860518754758</v>
      </c>
      <c r="O201" s="56">
        <f t="shared" si="35"/>
        <v>132.52389452575318</v>
      </c>
      <c r="P201" s="57">
        <f t="shared" si="36"/>
        <v>133.72745992253809</v>
      </c>
    </row>
    <row r="202" spans="1:16" ht="14.5" x14ac:dyDescent="0.35">
      <c r="A202" s="49">
        <f t="shared" si="43"/>
        <v>8</v>
      </c>
      <c r="B202" s="48">
        <f t="shared" si="39"/>
        <v>112.45530379788983</v>
      </c>
      <c r="C202" s="50"/>
      <c r="D202" s="50"/>
      <c r="E202" s="51"/>
      <c r="F202" s="51"/>
      <c r="G202" s="52"/>
      <c r="J202" s="51">
        <f t="shared" si="37"/>
        <v>0.10195183725950878</v>
      </c>
      <c r="K202" s="51">
        <f t="shared" si="41"/>
        <v>2.1346631940288363</v>
      </c>
      <c r="L202" s="55">
        <f t="shared" si="42"/>
        <v>4.5249350678581149E-3</v>
      </c>
      <c r="M202" s="51">
        <f t="shared" si="38"/>
        <v>2.1391881290966945</v>
      </c>
      <c r="N202" s="94">
        <f t="shared" si="34"/>
        <v>1.2645960974943335</v>
      </c>
      <c r="O202" s="56">
        <f t="shared" si="35"/>
        <v>136.3525279309255</v>
      </c>
      <c r="P202" s="57">
        <f t="shared" si="36"/>
        <v>137.7806182206358</v>
      </c>
    </row>
    <row r="203" spans="1:16" ht="14.5" x14ac:dyDescent="0.35">
      <c r="A203" s="49">
        <f t="shared" si="43"/>
        <v>9</v>
      </c>
      <c r="B203" s="48">
        <f t="shared" si="39"/>
        <v>111.0802332648575</v>
      </c>
      <c r="C203" s="50"/>
      <c r="D203" s="50"/>
      <c r="E203" s="51"/>
      <c r="F203" s="51"/>
      <c r="G203" s="52"/>
      <c r="J203" s="51">
        <f t="shared" si="37"/>
        <v>-6.137714557549772E-2</v>
      </c>
      <c r="K203" s="51">
        <f t="shared" si="41"/>
        <v>2.1517237974353978</v>
      </c>
      <c r="L203" s="55">
        <f t="shared" si="42"/>
        <v>5.4363099404120489E-3</v>
      </c>
      <c r="M203" s="51">
        <f t="shared" si="38"/>
        <v>2.1571601073758098</v>
      </c>
      <c r="N203" s="94">
        <f t="shared" si="34"/>
        <v>0.86820614311319844</v>
      </c>
      <c r="O203" s="56">
        <f t="shared" si="35"/>
        <v>141.81553165397281</v>
      </c>
      <c r="P203" s="57">
        <f t="shared" si="36"/>
        <v>143.60187396793768</v>
      </c>
    </row>
    <row r="204" spans="1:16" ht="15" thickBot="1" x14ac:dyDescent="0.4">
      <c r="A204" s="49">
        <f t="shared" si="43"/>
        <v>10</v>
      </c>
      <c r="B204" s="48">
        <f t="shared" si="39"/>
        <v>109.86444434096697</v>
      </c>
      <c r="C204" s="50"/>
      <c r="D204" s="50"/>
      <c r="E204" s="51"/>
      <c r="F204" s="51"/>
      <c r="G204" s="52"/>
      <c r="J204" s="51">
        <f t="shared" si="37"/>
        <v>-0.32622716188962847</v>
      </c>
      <c r="K204" s="51">
        <f t="shared" si="41"/>
        <v>2.1793888267040926</v>
      </c>
      <c r="L204" s="55">
        <f t="shared" si="42"/>
        <v>7.0323147153319764E-3</v>
      </c>
      <c r="M204" s="51">
        <f t="shared" si="38"/>
        <v>2.1864211414194248</v>
      </c>
      <c r="N204" s="97">
        <f t="shared" si="34"/>
        <v>0.47181618873205616</v>
      </c>
      <c r="O204" s="91">
        <f t="shared" si="35"/>
        <v>151.14327442523762</v>
      </c>
      <c r="P204" s="92">
        <f t="shared" si="36"/>
        <v>153.61058440702945</v>
      </c>
    </row>
    <row r="205" spans="1:16" ht="14.5" x14ac:dyDescent="0.35">
      <c r="A205" s="49">
        <f>A204+10</f>
        <v>20</v>
      </c>
      <c r="B205" s="48">
        <f t="shared" si="39"/>
        <v>102.19106800618987</v>
      </c>
      <c r="C205" s="50"/>
      <c r="D205" s="50"/>
      <c r="E205" s="51"/>
      <c r="F205" s="51"/>
      <c r="G205" s="52"/>
    </row>
    <row r="206" spans="1:16" ht="14.5" x14ac:dyDescent="0.35">
      <c r="A206" s="49">
        <f t="shared" ref="A206:A213" si="44">A205+10</f>
        <v>30</v>
      </c>
      <c r="B206" s="48">
        <f t="shared" si="39"/>
        <v>97.953339126832191</v>
      </c>
      <c r="C206" s="50"/>
      <c r="D206" s="50"/>
      <c r="E206" s="51"/>
      <c r="F206" s="51"/>
      <c r="G206" s="52"/>
    </row>
    <row r="207" spans="1:16" ht="14.5" x14ac:dyDescent="0.35">
      <c r="A207" s="49">
        <f t="shared" si="44"/>
        <v>40</v>
      </c>
      <c r="B207" s="48">
        <f t="shared" si="39"/>
        <v>95.05363125339781</v>
      </c>
      <c r="C207" s="50"/>
      <c r="D207" s="50"/>
      <c r="E207" s="51"/>
      <c r="F207" s="51"/>
      <c r="G207" s="52"/>
    </row>
    <row r="208" spans="1:16" ht="14.5" x14ac:dyDescent="0.35">
      <c r="A208" s="49">
        <f t="shared" si="44"/>
        <v>50</v>
      </c>
      <c r="B208" s="48">
        <f t="shared" si="39"/>
        <v>92.863689195259468</v>
      </c>
      <c r="C208" s="50"/>
      <c r="D208" s="50"/>
      <c r="E208" s="51"/>
      <c r="F208" s="51"/>
      <c r="G208" s="52"/>
    </row>
    <row r="209" spans="1:7" ht="14.5" x14ac:dyDescent="0.35">
      <c r="A209" s="49">
        <f t="shared" si="44"/>
        <v>60</v>
      </c>
      <c r="B209" s="48">
        <f t="shared" si="39"/>
        <v>91.111882467428174</v>
      </c>
      <c r="C209" s="50"/>
      <c r="D209" s="50"/>
      <c r="E209" s="51"/>
      <c r="F209" s="51"/>
      <c r="G209" s="52"/>
    </row>
    <row r="210" spans="1:7" ht="14.5" x14ac:dyDescent="0.35">
      <c r="A210" s="49">
        <f t="shared" si="44"/>
        <v>70</v>
      </c>
      <c r="B210" s="48">
        <f t="shared" si="39"/>
        <v>89.65655808015363</v>
      </c>
      <c r="C210" s="50"/>
      <c r="D210" s="50"/>
      <c r="E210" s="51"/>
      <c r="F210" s="51"/>
      <c r="G210" s="52"/>
    </row>
    <row r="211" spans="1:7" ht="14.5" x14ac:dyDescent="0.35">
      <c r="A211" s="49">
        <f t="shared" si="44"/>
        <v>80</v>
      </c>
      <c r="B211" s="48">
        <f t="shared" si="39"/>
        <v>88.414701898502983</v>
      </c>
      <c r="C211" s="50"/>
      <c r="D211" s="50"/>
      <c r="E211" s="51"/>
      <c r="F211" s="51"/>
      <c r="G211" s="52"/>
    </row>
    <row r="212" spans="1:7" ht="14.5" x14ac:dyDescent="0.35">
      <c r="A212" s="49">
        <f t="shared" si="44"/>
        <v>90</v>
      </c>
      <c r="B212" s="48">
        <f t="shared" si="39"/>
        <v>87.333592807499414</v>
      </c>
      <c r="C212" s="50"/>
      <c r="D212" s="50"/>
      <c r="E212" s="51"/>
      <c r="F212" s="51"/>
      <c r="G212" s="52"/>
    </row>
    <row r="213" spans="1:7" ht="14.5" x14ac:dyDescent="0.35">
      <c r="A213" s="49">
        <f t="shared" si="44"/>
        <v>100</v>
      </c>
      <c r="B213" s="48">
        <f t="shared" si="39"/>
        <v>86.377714234884664</v>
      </c>
      <c r="C213" s="50"/>
      <c r="D213" s="50"/>
      <c r="E213" s="51"/>
      <c r="F213" s="51"/>
      <c r="G213" s="52"/>
    </row>
    <row r="214" spans="1:7" ht="14.5" x14ac:dyDescent="0.35">
      <c r="A214" s="49">
        <f>A213+100</f>
        <v>200</v>
      </c>
      <c r="B214" s="48">
        <f t="shared" si="39"/>
        <v>80.344745950759361</v>
      </c>
      <c r="C214" s="50"/>
      <c r="D214" s="50"/>
      <c r="E214" s="51"/>
      <c r="F214" s="51"/>
      <c r="G214" s="52"/>
    </row>
    <row r="215" spans="1:7" ht="14.5" x14ac:dyDescent="0.35">
      <c r="A215" s="49">
        <f t="shared" ref="A215:A222" si="45">A214+100</f>
        <v>300</v>
      </c>
      <c r="B215" s="48">
        <f t="shared" si="39"/>
        <v>77.012955248664284</v>
      </c>
      <c r="C215" s="50"/>
      <c r="D215" s="50"/>
      <c r="E215" s="51"/>
      <c r="F215" s="51"/>
      <c r="G215" s="52"/>
    </row>
    <row r="216" spans="1:7" ht="14.5" x14ac:dyDescent="0.35">
      <c r="A216" s="49">
        <f t="shared" si="45"/>
        <v>400</v>
      </c>
      <c r="B216" s="48">
        <f t="shared" si="39"/>
        <v>74.733144527746973</v>
      </c>
      <c r="C216" s="50"/>
      <c r="D216" s="50"/>
      <c r="E216" s="51"/>
      <c r="F216" s="51"/>
      <c r="G216" s="52"/>
    </row>
    <row r="217" spans="1:7" ht="14.5" x14ac:dyDescent="0.35">
      <c r="A217" s="49">
        <f t="shared" si="45"/>
        <v>500</v>
      </c>
      <c r="B217" s="48">
        <f t="shared" si="39"/>
        <v>73.011366472767151</v>
      </c>
      <c r="C217" s="50"/>
      <c r="D217" s="50"/>
      <c r="E217" s="51"/>
      <c r="F217" s="51"/>
      <c r="G217" s="52"/>
    </row>
    <row r="218" spans="1:7" ht="14.5" x14ac:dyDescent="0.35">
      <c r="A218" s="49">
        <f t="shared" si="45"/>
        <v>600</v>
      </c>
      <c r="B218" s="48">
        <f t="shared" si="39"/>
        <v>71.634059539308822</v>
      </c>
      <c r="C218" s="50"/>
      <c r="D218" s="50"/>
      <c r="E218" s="51"/>
      <c r="F218" s="51"/>
      <c r="G218" s="52"/>
    </row>
    <row r="219" spans="1:7" ht="14.5" x14ac:dyDescent="0.35">
      <c r="A219" s="49">
        <f t="shared" si="45"/>
        <v>700</v>
      </c>
      <c r="B219" s="48">
        <f t="shared" si="39"/>
        <v>70.489853196691556</v>
      </c>
      <c r="C219" s="50"/>
      <c r="D219" s="50"/>
      <c r="E219" s="51"/>
      <c r="F219" s="51"/>
      <c r="G219" s="52"/>
    </row>
    <row r="220" spans="1:7" ht="14.5" x14ac:dyDescent="0.35">
      <c r="A220" s="49">
        <f t="shared" si="45"/>
        <v>800</v>
      </c>
      <c r="B220" s="48">
        <f t="shared" si="39"/>
        <v>69.513480003135555</v>
      </c>
      <c r="C220" s="50"/>
      <c r="D220" s="50"/>
      <c r="E220" s="51"/>
      <c r="F220" s="51"/>
      <c r="G220" s="52"/>
    </row>
    <row r="221" spans="1:7" ht="14.5" x14ac:dyDescent="0.35">
      <c r="A221" s="49">
        <f t="shared" si="45"/>
        <v>900</v>
      </c>
      <c r="B221" s="48">
        <f t="shared" si="39"/>
        <v>68.663489520048728</v>
      </c>
      <c r="C221" s="50"/>
      <c r="D221" s="50"/>
      <c r="E221" s="51"/>
      <c r="F221" s="51"/>
      <c r="G221" s="52"/>
    </row>
    <row r="222" spans="1:7" ht="14.5" x14ac:dyDescent="0.35">
      <c r="A222" s="49">
        <f t="shared" si="45"/>
        <v>1000</v>
      </c>
      <c r="B222" s="48">
        <f t="shared" si="39"/>
        <v>67.911957878635093</v>
      </c>
      <c r="C222" s="50"/>
      <c r="D222" s="50"/>
      <c r="E222" s="51"/>
      <c r="F222" s="51"/>
      <c r="G222" s="52"/>
    </row>
    <row r="223" spans="1:7" ht="14.5" x14ac:dyDescent="0.35">
      <c r="A223" s="49">
        <f>A222+1000</f>
        <v>2000</v>
      </c>
      <c r="B223" s="48">
        <f t="shared" si="39"/>
        <v>63.168712567922846</v>
      </c>
      <c r="C223" s="50"/>
      <c r="D223" s="50"/>
      <c r="E223" s="51"/>
      <c r="F223" s="51"/>
      <c r="G223" s="52"/>
    </row>
    <row r="224" spans="1:7" ht="14.5" x14ac:dyDescent="0.35">
      <c r="A224" s="49">
        <f t="shared" ref="A224:A231" si="46">A223+1000</f>
        <v>3000</v>
      </c>
      <c r="B224" s="48">
        <f t="shared" si="39"/>
        <v>60.549189328330939</v>
      </c>
      <c r="C224" s="50"/>
      <c r="D224" s="50"/>
      <c r="E224" s="51"/>
      <c r="F224" s="51"/>
      <c r="G224" s="52"/>
    </row>
    <row r="225" spans="1:7" ht="14.5" x14ac:dyDescent="0.35">
      <c r="A225" s="49">
        <f t="shared" si="46"/>
        <v>4000</v>
      </c>
      <c r="B225" s="48">
        <f t="shared" si="39"/>
        <v>58.75675465902281</v>
      </c>
      <c r="C225" s="50"/>
      <c r="D225" s="50"/>
      <c r="E225" s="51"/>
      <c r="F225" s="51"/>
      <c r="G225" s="52"/>
    </row>
    <row r="226" spans="1:7" ht="14.5" x14ac:dyDescent="0.35">
      <c r="A226" s="49">
        <f t="shared" si="46"/>
        <v>5000</v>
      </c>
      <c r="B226" s="48">
        <f t="shared" si="39"/>
        <v>57.403056893553064</v>
      </c>
      <c r="C226" s="50"/>
      <c r="D226" s="50"/>
      <c r="E226" s="51"/>
      <c r="F226" s="51"/>
      <c r="G226" s="52"/>
    </row>
    <row r="227" spans="1:7" ht="14.5" x14ac:dyDescent="0.35">
      <c r="A227" s="49">
        <f t="shared" si="46"/>
        <v>6000</v>
      </c>
      <c r="B227" s="48">
        <f t="shared" si="39"/>
        <v>56.320189497958111</v>
      </c>
      <c r="C227" s="50"/>
      <c r="D227" s="50"/>
      <c r="E227" s="51"/>
      <c r="F227" s="51"/>
      <c r="G227" s="52"/>
    </row>
    <row r="228" spans="1:7" ht="14.5" x14ac:dyDescent="0.35">
      <c r="A228" s="49">
        <f t="shared" si="46"/>
        <v>7000</v>
      </c>
      <c r="B228" s="48">
        <f t="shared" si="39"/>
        <v>55.420590641556451</v>
      </c>
      <c r="C228" s="50"/>
      <c r="D228" s="50"/>
      <c r="E228" s="51"/>
      <c r="F228" s="51"/>
      <c r="G228" s="52"/>
    </row>
    <row r="229" spans="1:7" ht="14.5" x14ac:dyDescent="0.35">
      <c r="A229" s="49">
        <f t="shared" si="46"/>
        <v>8000</v>
      </c>
      <c r="B229" s="48">
        <f t="shared" si="39"/>
        <v>54.652945702327166</v>
      </c>
      <c r="C229" s="50"/>
      <c r="D229" s="50"/>
      <c r="E229" s="51"/>
      <c r="F229" s="51"/>
      <c r="G229" s="52"/>
    </row>
    <row r="230" spans="1:7" ht="14.5" x14ac:dyDescent="0.35">
      <c r="A230" s="49">
        <f t="shared" si="46"/>
        <v>9000</v>
      </c>
      <c r="B230" s="48">
        <f t="shared" si="39"/>
        <v>53.984665482180745</v>
      </c>
      <c r="C230" s="50"/>
      <c r="D230" s="50"/>
      <c r="E230" s="51"/>
      <c r="F230" s="51"/>
      <c r="G230" s="52"/>
    </row>
    <row r="231" spans="1:7" ht="14.5" x14ac:dyDescent="0.35">
      <c r="A231" s="49">
        <f t="shared" si="46"/>
        <v>10000</v>
      </c>
      <c r="B231" s="48">
        <f t="shared" si="39"/>
        <v>53.39379565391279</v>
      </c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 t="s">
        <v>132</v>
      </c>
      <c r="B234" s="48"/>
      <c r="C234" s="50"/>
      <c r="D234" s="50"/>
      <c r="E234" s="51"/>
      <c r="F234" s="51"/>
      <c r="G234" s="52"/>
    </row>
    <row r="235" spans="1:7" ht="14.5" x14ac:dyDescent="0.35">
      <c r="A235" s="49">
        <f>$H$40*B235^(-$H$37)</f>
        <v>18751.784924219097</v>
      </c>
      <c r="B235" s="48">
        <v>50</v>
      </c>
      <c r="C235" s="50"/>
      <c r="D235" s="50"/>
      <c r="E235" s="51"/>
      <c r="F235" s="51"/>
      <c r="G235" s="52"/>
    </row>
    <row r="236" spans="1:7" ht="14.5" x14ac:dyDescent="0.35">
      <c r="A236" s="49">
        <f t="shared" ref="A236:A261" si="47">$H$40*B236^(-$H$37)</f>
        <v>7529.5920953945724</v>
      </c>
      <c r="B236" s="48">
        <f>B235+5</f>
        <v>55</v>
      </c>
      <c r="C236" s="50"/>
      <c r="D236" s="50"/>
      <c r="E236" s="51"/>
      <c r="F236" s="51"/>
      <c r="G236" s="52"/>
    </row>
    <row r="237" spans="1:7" ht="14.5" x14ac:dyDescent="0.35">
      <c r="A237" s="49">
        <f t="shared" si="47"/>
        <v>3273.4387635623116</v>
      </c>
      <c r="B237" s="48">
        <f t="shared" ref="B237:B261" si="48">B236+5</f>
        <v>60</v>
      </c>
      <c r="C237" s="50"/>
      <c r="D237" s="50"/>
      <c r="E237" s="51"/>
      <c r="F237" s="51"/>
      <c r="G237" s="52"/>
    </row>
    <row r="238" spans="1:7" ht="14.5" x14ac:dyDescent="0.35">
      <c r="A238" s="49">
        <f t="shared" si="47"/>
        <v>1521.2851673501302</v>
      </c>
      <c r="B238" s="48">
        <f t="shared" si="48"/>
        <v>65</v>
      </c>
      <c r="C238" s="50"/>
      <c r="D238" s="50"/>
      <c r="E238" s="51"/>
      <c r="F238" s="51"/>
      <c r="G238" s="52"/>
    </row>
    <row r="239" spans="1:7" ht="14.5" x14ac:dyDescent="0.35">
      <c r="A239" s="49">
        <f t="shared" si="47"/>
        <v>748.32782264583238</v>
      </c>
      <c r="B239" s="48">
        <f t="shared" si="48"/>
        <v>70</v>
      </c>
      <c r="C239" s="50"/>
      <c r="D239" s="50"/>
      <c r="E239" s="51"/>
      <c r="F239" s="51"/>
      <c r="G239" s="52"/>
    </row>
    <row r="240" spans="1:7" ht="14.5" x14ac:dyDescent="0.35">
      <c r="A240" s="49">
        <f t="shared" si="47"/>
        <v>386.5807369951325</v>
      </c>
      <c r="B240" s="48">
        <f t="shared" si="48"/>
        <v>75</v>
      </c>
      <c r="C240" s="50"/>
      <c r="D240" s="50"/>
      <c r="E240" s="51"/>
      <c r="F240" s="51"/>
      <c r="G240" s="52"/>
    </row>
    <row r="241" spans="1:7" ht="14.5" x14ac:dyDescent="0.35">
      <c r="A241" s="49">
        <f t="shared" si="47"/>
        <v>208.40511826968674</v>
      </c>
      <c r="B241" s="48">
        <f t="shared" si="48"/>
        <v>80</v>
      </c>
      <c r="C241" s="50"/>
      <c r="D241" s="50"/>
      <c r="E241" s="51"/>
      <c r="F241" s="51"/>
      <c r="G241" s="52"/>
    </row>
    <row r="242" spans="1:7" ht="14.5" x14ac:dyDescent="0.35">
      <c r="A242" s="49">
        <f t="shared" si="47"/>
        <v>116.6404998516231</v>
      </c>
      <c r="B242" s="48">
        <f t="shared" si="48"/>
        <v>85</v>
      </c>
      <c r="C242" s="50"/>
      <c r="D242" s="50"/>
      <c r="E242" s="51"/>
      <c r="F242" s="51"/>
      <c r="G242" s="52"/>
    </row>
    <row r="243" spans="1:7" ht="14.5" x14ac:dyDescent="0.35">
      <c r="A243" s="49">
        <f t="shared" si="47"/>
        <v>67.48415549988249</v>
      </c>
      <c r="B243" s="48">
        <f t="shared" si="48"/>
        <v>90</v>
      </c>
      <c r="C243" s="50"/>
      <c r="D243" s="50"/>
      <c r="E243" s="51"/>
      <c r="F243" s="51"/>
      <c r="G243" s="52"/>
    </row>
    <row r="244" spans="1:7" ht="14.5" x14ac:dyDescent="0.35">
      <c r="A244" s="49">
        <f t="shared" si="47"/>
        <v>40.216707745328534</v>
      </c>
      <c r="B244" s="48">
        <f t="shared" si="48"/>
        <v>95</v>
      </c>
      <c r="C244" s="50"/>
      <c r="D244" s="50"/>
      <c r="E244" s="51"/>
      <c r="F244" s="51"/>
      <c r="G244" s="52"/>
    </row>
    <row r="245" spans="1:7" ht="14.5" x14ac:dyDescent="0.35">
      <c r="A245" s="49">
        <f t="shared" si="47"/>
        <v>24.611856226257004</v>
      </c>
      <c r="B245" s="48">
        <f t="shared" si="48"/>
        <v>100</v>
      </c>
      <c r="C245" s="50"/>
      <c r="D245" s="50"/>
      <c r="E245" s="51"/>
      <c r="F245" s="51"/>
      <c r="G245" s="52"/>
    </row>
    <row r="246" spans="1:7" ht="14.5" x14ac:dyDescent="0.35">
      <c r="A246" s="49">
        <f t="shared" si="47"/>
        <v>15.42728451512666</v>
      </c>
      <c r="B246" s="48">
        <f t="shared" si="48"/>
        <v>105</v>
      </c>
      <c r="C246" s="50"/>
      <c r="D246" s="50"/>
      <c r="E246" s="51"/>
      <c r="F246" s="51"/>
      <c r="G246" s="52"/>
    </row>
    <row r="247" spans="1:7" ht="14.5" x14ac:dyDescent="0.35">
      <c r="A247" s="49">
        <f t="shared" si="47"/>
        <v>9.8826452438063654</v>
      </c>
      <c r="B247" s="48">
        <f t="shared" si="48"/>
        <v>110</v>
      </c>
      <c r="C247" s="50"/>
      <c r="D247" s="50"/>
      <c r="E247" s="51"/>
      <c r="F247" s="51"/>
      <c r="G247" s="52"/>
    </row>
    <row r="248" spans="1:7" ht="14.5" x14ac:dyDescent="0.35">
      <c r="A248" s="49">
        <f t="shared" si="47"/>
        <v>6.4573763540097309</v>
      </c>
      <c r="B248" s="48">
        <f t="shared" si="48"/>
        <v>115</v>
      </c>
      <c r="C248" s="50"/>
      <c r="D248" s="50"/>
      <c r="E248" s="51"/>
      <c r="F248" s="51"/>
      <c r="G248" s="52"/>
    </row>
    <row r="249" spans="1:7" ht="14.5" x14ac:dyDescent="0.35">
      <c r="A249" s="49">
        <f t="shared" si="47"/>
        <v>4.2964125569826406</v>
      </c>
      <c r="B249" s="48">
        <f t="shared" si="48"/>
        <v>120</v>
      </c>
      <c r="C249" s="50"/>
      <c r="D249" s="50"/>
      <c r="E249" s="51"/>
      <c r="F249" s="51"/>
      <c r="G249" s="52"/>
    </row>
    <row r="250" spans="1:7" ht="14.5" x14ac:dyDescent="0.35">
      <c r="A250" s="49">
        <f t="shared" si="47"/>
        <v>2.90656713199379</v>
      </c>
      <c r="B250" s="48">
        <f t="shared" si="48"/>
        <v>125</v>
      </c>
      <c r="C250" s="50"/>
      <c r="D250" s="50"/>
      <c r="E250" s="51"/>
      <c r="F250" s="51"/>
      <c r="G250" s="52"/>
    </row>
    <row r="251" spans="1:7" ht="14.5" x14ac:dyDescent="0.35">
      <c r="A251" s="49">
        <f t="shared" si="47"/>
        <v>1.9966980193763051</v>
      </c>
      <c r="B251" s="48">
        <f t="shared" si="48"/>
        <v>130</v>
      </c>
      <c r="C251" s="50"/>
      <c r="D251" s="50"/>
      <c r="E251" s="51"/>
      <c r="F251" s="51"/>
      <c r="G251" s="52"/>
    </row>
    <row r="252" spans="1:7" ht="14.5" x14ac:dyDescent="0.35">
      <c r="A252" s="49">
        <f t="shared" si="47"/>
        <v>1.3912315373745645</v>
      </c>
      <c r="B252" s="48">
        <f t="shared" si="48"/>
        <v>135</v>
      </c>
      <c r="C252" s="50"/>
      <c r="D252" s="50"/>
      <c r="E252" s="51"/>
      <c r="F252" s="51"/>
      <c r="G252" s="52"/>
    </row>
    <row r="253" spans="1:7" ht="14.5" x14ac:dyDescent="0.35">
      <c r="A253" s="49">
        <f t="shared" si="47"/>
        <v>0.982185794872241</v>
      </c>
      <c r="B253" s="48">
        <f t="shared" si="48"/>
        <v>140</v>
      </c>
      <c r="C253" s="50"/>
      <c r="D253" s="50"/>
      <c r="E253" s="51"/>
      <c r="F253" s="51"/>
      <c r="G253" s="52"/>
    </row>
    <row r="254" spans="1:7" ht="14.5" x14ac:dyDescent="0.35">
      <c r="A254" s="49">
        <f t="shared" si="47"/>
        <v>0.70193105609072903</v>
      </c>
      <c r="B254" s="48">
        <f t="shared" si="48"/>
        <v>145</v>
      </c>
      <c r="C254" s="50"/>
      <c r="D254" s="50"/>
      <c r="E254" s="51"/>
      <c r="F254" s="51"/>
      <c r="G254" s="52"/>
    </row>
    <row r="255" spans="1:7" ht="14.5" x14ac:dyDescent="0.35">
      <c r="A255" s="49">
        <f t="shared" si="47"/>
        <v>0.50739007284987281</v>
      </c>
      <c r="B255" s="48">
        <f t="shared" si="48"/>
        <v>150</v>
      </c>
      <c r="C255" s="50"/>
      <c r="D255" s="50"/>
      <c r="E255" s="51"/>
      <c r="F255" s="51"/>
      <c r="G255" s="52"/>
    </row>
    <row r="256" spans="1:7" ht="14.5" x14ac:dyDescent="0.35">
      <c r="A256" s="49">
        <f t="shared" si="47"/>
        <v>0.37069071634436507</v>
      </c>
      <c r="B256" s="48">
        <f t="shared" si="48"/>
        <v>155</v>
      </c>
      <c r="C256" s="50"/>
      <c r="D256" s="50"/>
      <c r="E256" s="51"/>
      <c r="F256" s="51"/>
      <c r="G256" s="52"/>
    </row>
    <row r="257" spans="1:7" ht="14.5" x14ac:dyDescent="0.35">
      <c r="A257" s="49">
        <f t="shared" si="47"/>
        <v>0.27353325714849086</v>
      </c>
      <c r="B257" s="48">
        <f t="shared" si="48"/>
        <v>160</v>
      </c>
      <c r="C257" s="50"/>
      <c r="D257" s="50"/>
      <c r="E257" s="51"/>
      <c r="F257" s="51"/>
      <c r="G257" s="52"/>
    </row>
    <row r="258" spans="1:7" ht="14.5" x14ac:dyDescent="0.35">
      <c r="A258" s="49">
        <f t="shared" si="47"/>
        <v>0.2037374200510251</v>
      </c>
      <c r="B258" s="48">
        <f t="shared" si="48"/>
        <v>165</v>
      </c>
      <c r="C258" s="50"/>
      <c r="D258" s="50"/>
      <c r="E258" s="51"/>
      <c r="F258" s="51"/>
      <c r="G258" s="52"/>
    </row>
    <row r="259" spans="1:7" ht="14.5" x14ac:dyDescent="0.35">
      <c r="A259" s="49">
        <f t="shared" si="47"/>
        <v>0.15309151763996401</v>
      </c>
      <c r="B259" s="48">
        <f t="shared" si="48"/>
        <v>170</v>
      </c>
      <c r="C259" s="50"/>
      <c r="D259" s="50"/>
      <c r="E259" s="51"/>
      <c r="F259" s="51"/>
      <c r="G259" s="52"/>
    </row>
    <row r="260" spans="1:7" ht="14.5" x14ac:dyDescent="0.35">
      <c r="A260" s="49">
        <f t="shared" si="47"/>
        <v>0.11599242749684263</v>
      </c>
      <c r="B260" s="48">
        <f t="shared" si="48"/>
        <v>175</v>
      </c>
      <c r="C260" s="50"/>
      <c r="D260" s="50"/>
      <c r="E260" s="51"/>
      <c r="F260" s="51"/>
      <c r="G260" s="52"/>
    </row>
    <row r="261" spans="1:7" ht="14.5" x14ac:dyDescent="0.35">
      <c r="A261" s="49">
        <f t="shared" si="47"/>
        <v>8.8573452576682976E-2</v>
      </c>
      <c r="B261" s="48">
        <f t="shared" si="48"/>
        <v>180</v>
      </c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1:Z345"/>
  <sheetViews>
    <sheetView topLeftCell="I1" zoomScale="85" zoomScaleNormal="85" workbookViewId="0">
      <selection activeCell="O5" sqref="O5"/>
    </sheetView>
  </sheetViews>
  <sheetFormatPr defaultColWidth="9.1796875" defaultRowHeight="14.5" x14ac:dyDescent="0.35"/>
  <cols>
    <col min="3" max="3" width="14.1796875" customWidth="1"/>
    <col min="4" max="4" width="25.54296875" bestFit="1" customWidth="1"/>
    <col min="5" max="5" width="9.1796875" style="1"/>
    <col min="10" max="10" width="11" customWidth="1"/>
    <col min="11" max="11" width="9.54296875" bestFit="1" customWidth="1"/>
    <col min="12" max="12" width="9.54296875" customWidth="1"/>
    <col min="13" max="13" width="12.81640625" bestFit="1" customWidth="1"/>
    <col min="14" max="14" width="12" bestFit="1" customWidth="1"/>
    <col min="15" max="15" width="23.81640625" bestFit="1" customWidth="1"/>
    <col min="16" max="16" width="14" customWidth="1"/>
    <col min="17" max="17" width="13.1796875" bestFit="1" customWidth="1"/>
    <col min="18" max="18" width="22.1796875" customWidth="1"/>
    <col min="19" max="20" width="12.54296875" customWidth="1"/>
    <col min="21" max="21" width="10" bestFit="1" customWidth="1"/>
    <col min="22" max="22" width="12.81640625" bestFit="1" customWidth="1"/>
    <col min="23" max="23" width="15.54296875" customWidth="1"/>
    <col min="24" max="24" width="12.7265625" bestFit="1" customWidth="1"/>
    <col min="25" max="25" width="12.7265625" customWidth="1"/>
    <col min="26" max="26" width="28.81640625" customWidth="1"/>
    <col min="27" max="27" width="16.1796875" customWidth="1"/>
    <col min="28" max="30" width="17.54296875" customWidth="1"/>
    <col min="31" max="31" width="38.81640625" bestFit="1" customWidth="1"/>
    <col min="32" max="33" width="38.81640625" customWidth="1"/>
  </cols>
  <sheetData>
    <row r="1" spans="3:26" x14ac:dyDescent="0.35">
      <c r="D1" t="s">
        <v>0</v>
      </c>
      <c r="E1" s="1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3" t="s">
        <v>10</v>
      </c>
      <c r="O1" s="3"/>
      <c r="P1" s="3" t="s">
        <v>11</v>
      </c>
      <c r="Q1" s="3"/>
      <c r="R1" s="3" t="s">
        <v>13</v>
      </c>
      <c r="S1" s="3" t="s">
        <v>14</v>
      </c>
    </row>
    <row r="2" spans="3:26" x14ac:dyDescent="0.35">
      <c r="D2">
        <v>1.1919999999999999</v>
      </c>
      <c r="E2" s="4">
        <v>0.80600000000000005</v>
      </c>
      <c r="F2" s="3"/>
      <c r="G2" s="3"/>
      <c r="H2" s="3">
        <v>1.2290000000000001</v>
      </c>
      <c r="I2" s="3" t="s">
        <v>15</v>
      </c>
      <c r="J2" s="5">
        <f>'Drop size and fallvelocity'!G2</f>
        <v>2.3800000000000002E-3</v>
      </c>
      <c r="K2" s="3">
        <v>0.28000000000000003</v>
      </c>
      <c r="L2" s="3">
        <f>'Drop size and fallvelocity'!G5</f>
        <v>2.0719396890000001</v>
      </c>
      <c r="M2" s="3">
        <v>29</v>
      </c>
      <c r="N2" s="6">
        <v>60</v>
      </c>
      <c r="O2" s="7"/>
      <c r="P2" s="109">
        <f>1000*4/3*PI()*POWER((J2/2),3)</f>
        <v>7.0587775127076315E-6</v>
      </c>
      <c r="Q2" s="8"/>
      <c r="R2">
        <f>(N2/1000)/3600</f>
        <v>1.6666666666666667E-5</v>
      </c>
      <c r="S2" s="9">
        <f>((2*PI())/360)*305</f>
        <v>5.3232542185827052</v>
      </c>
    </row>
    <row r="3" spans="3:26" s="12" customFormat="1" ht="58" x14ac:dyDescent="0.35">
      <c r="D3" s="10" t="s">
        <v>16</v>
      </c>
      <c r="E3" s="11" t="s">
        <v>17</v>
      </c>
      <c r="F3" s="10"/>
      <c r="G3" s="10" t="s">
        <v>18</v>
      </c>
      <c r="H3" s="10" t="s">
        <v>19</v>
      </c>
      <c r="I3" s="10" t="s">
        <v>20</v>
      </c>
      <c r="J3" s="10" t="s">
        <v>21</v>
      </c>
      <c r="K3" s="10" t="s">
        <v>22</v>
      </c>
      <c r="L3" s="10" t="s">
        <v>23</v>
      </c>
      <c r="M3" s="10" t="s">
        <v>24</v>
      </c>
      <c r="N3" s="10" t="s">
        <v>25</v>
      </c>
      <c r="O3" s="10" t="s">
        <v>89</v>
      </c>
      <c r="P3" s="10" t="s">
        <v>26</v>
      </c>
      <c r="Q3" s="10" t="s">
        <v>27</v>
      </c>
      <c r="R3" s="10" t="s">
        <v>28</v>
      </c>
      <c r="S3" s="10" t="s">
        <v>29</v>
      </c>
      <c r="T3" s="10" t="s">
        <v>30</v>
      </c>
      <c r="U3" s="10" t="s">
        <v>31</v>
      </c>
      <c r="V3" s="10" t="s">
        <v>32</v>
      </c>
      <c r="Z3" s="12" t="s">
        <v>123</v>
      </c>
    </row>
    <row r="4" spans="3:26" x14ac:dyDescent="0.35">
      <c r="D4" s="13"/>
      <c r="E4" s="14"/>
      <c r="F4" s="13" t="s">
        <v>33</v>
      </c>
      <c r="G4" s="13" t="s">
        <v>34</v>
      </c>
      <c r="H4" s="13" t="s">
        <v>35</v>
      </c>
      <c r="I4" s="13" t="s">
        <v>36</v>
      </c>
      <c r="J4" s="13" t="s">
        <v>35</v>
      </c>
      <c r="K4" s="13" t="s">
        <v>35</v>
      </c>
      <c r="L4" s="13" t="s">
        <v>36</v>
      </c>
      <c r="M4" s="10" t="s">
        <v>37</v>
      </c>
      <c r="N4" s="10" t="s">
        <v>38</v>
      </c>
      <c r="O4" s="10" t="s">
        <v>158</v>
      </c>
      <c r="P4" s="10" t="s">
        <v>39</v>
      </c>
      <c r="Q4" s="13" t="s">
        <v>40</v>
      </c>
      <c r="R4" s="10" t="s">
        <v>35</v>
      </c>
      <c r="S4" s="13" t="s">
        <v>35</v>
      </c>
      <c r="T4" s="13" t="s">
        <v>36</v>
      </c>
      <c r="U4" s="13" t="s">
        <v>41</v>
      </c>
      <c r="V4" s="13" t="s">
        <v>42</v>
      </c>
      <c r="W4" s="108" t="s">
        <v>154</v>
      </c>
      <c r="X4" s="108" t="s">
        <v>125</v>
      </c>
      <c r="Y4" s="108" t="s">
        <v>156</v>
      </c>
      <c r="Z4" s="108" t="s">
        <v>124</v>
      </c>
    </row>
    <row r="5" spans="3:26" x14ac:dyDescent="0.35">
      <c r="C5">
        <f>C6*2*PI()*C7/60</f>
        <v>62.308254296197561</v>
      </c>
      <c r="D5" s="15"/>
      <c r="E5" s="16"/>
      <c r="F5" s="15"/>
      <c r="G5" s="15"/>
      <c r="H5" s="15"/>
      <c r="I5" s="15"/>
      <c r="J5" s="15"/>
      <c r="K5" s="15"/>
      <c r="L5" s="15"/>
      <c r="M5" s="17"/>
      <c r="N5" s="17"/>
      <c r="O5" s="110">
        <f>PI()/4*J2^2*1000000</f>
        <v>4.448809356748507</v>
      </c>
      <c r="P5" s="17"/>
      <c r="Q5" s="15"/>
      <c r="R5" s="17"/>
      <c r="S5" s="15"/>
      <c r="T5" s="15"/>
      <c r="U5" s="15"/>
      <c r="V5" s="15"/>
      <c r="W5" t="s">
        <v>157</v>
      </c>
      <c r="X5" t="s">
        <v>155</v>
      </c>
      <c r="Y5" t="s">
        <v>157</v>
      </c>
    </row>
    <row r="6" spans="3:26" ht="15" thickBot="1" x14ac:dyDescent="0.4">
      <c r="C6">
        <v>500</v>
      </c>
      <c r="D6" s="15"/>
      <c r="E6" s="16"/>
      <c r="F6" s="15"/>
      <c r="G6" s="15"/>
      <c r="H6" s="15"/>
      <c r="I6" s="15"/>
      <c r="J6" s="15"/>
      <c r="K6" s="15"/>
      <c r="L6" s="15"/>
      <c r="M6" s="17"/>
      <c r="N6" s="17"/>
      <c r="O6" s="17"/>
      <c r="P6" s="17"/>
      <c r="Q6" s="18"/>
      <c r="R6" s="18"/>
      <c r="S6" s="15">
        <f>H2</f>
        <v>1.2290000000000001</v>
      </c>
      <c r="T6" s="15"/>
      <c r="U6" s="15"/>
      <c r="V6" s="15"/>
    </row>
    <row r="7" spans="3:26" ht="15" thickBot="1" x14ac:dyDescent="0.4">
      <c r="C7">
        <v>1.19</v>
      </c>
      <c r="D7" s="19" t="s">
        <v>94</v>
      </c>
      <c r="E7" s="20">
        <v>2</v>
      </c>
      <c r="F7" s="21">
        <v>800</v>
      </c>
      <c r="G7" s="22">
        <f t="shared" ref="G7" si="0">F7/60*2*PI()</f>
        <v>83.775804095727821</v>
      </c>
      <c r="H7" s="21">
        <f t="shared" ref="H7:H53" si="1">$H$2</f>
        <v>1.2290000000000001</v>
      </c>
      <c r="I7" s="22">
        <f>G7*H7</f>
        <v>102.96046323364951</v>
      </c>
      <c r="J7" s="23">
        <f t="shared" ref="J7:J53" si="2">$J$2</f>
        <v>2.3800000000000002E-3</v>
      </c>
      <c r="K7" s="21">
        <f t="shared" ref="K7:K53" si="3">$K$2</f>
        <v>0.28000000000000003</v>
      </c>
      <c r="L7" s="24">
        <f t="shared" ref="L7:L53" si="4">$L$2</f>
        <v>2.0719396890000001</v>
      </c>
      <c r="M7" s="25">
        <f>($R$2*G7)/($S$2*($D$2-$E$2)*$L$2)</f>
        <v>3.2796366677393871E-4</v>
      </c>
      <c r="N7" s="26">
        <f t="shared" ref="N7" si="5">3/(2*$J$2)*M7</f>
        <v>0.2066997899835748</v>
      </c>
      <c r="O7" s="26">
        <f>P7/((((J7)/(2))^2)*PI())</f>
        <v>3542117817.5462627</v>
      </c>
      <c r="P7" s="22">
        <f>(3/(2*$J$2))*R7</f>
        <v>15758.206889405415</v>
      </c>
      <c r="Q7" s="21">
        <f>U7*60</f>
        <v>89984.855602349911</v>
      </c>
      <c r="R7" s="27">
        <f>($R$2*$G7*$Q7)/(2*PI()*($D$2-$E$2)*$L$2)</f>
        <v>25.003021597856595</v>
      </c>
      <c r="S7" s="28">
        <f>$S$6-V7/1000</f>
        <v>1.190649191006514</v>
      </c>
      <c r="T7" s="22">
        <f>G7*S7</f>
        <v>99.747593372498528</v>
      </c>
      <c r="U7">
        <f t="shared" ref="U7" si="6">T7+70*20</f>
        <v>1499.7475933724986</v>
      </c>
      <c r="V7">
        <v>38.350808993486027</v>
      </c>
      <c r="W7" s="109">
        <f t="shared" ref="W7:W49" si="7">O7*X7</f>
        <v>124384811.61346856</v>
      </c>
      <c r="X7" s="109">
        <f t="shared" ref="X7:X49" si="8">0.5*$P$2*T7*T7</f>
        <v>3.5115944195112589E-2</v>
      </c>
      <c r="Y7" s="109">
        <f>0.5*1000*R7*T7^2</f>
        <v>124384811.61346854</v>
      </c>
      <c r="Z7" s="27">
        <f>($R$2*$G7*$Q7)/(2*PI()*($D$2-$E$2))</f>
        <v>51.804752793523285</v>
      </c>
    </row>
    <row r="8" spans="3:26" ht="15" thickBot="1" x14ac:dyDescent="0.4">
      <c r="D8" s="19" t="s">
        <v>94</v>
      </c>
      <c r="E8" s="20">
        <v>3</v>
      </c>
      <c r="F8" s="21">
        <v>800</v>
      </c>
      <c r="G8" s="22">
        <f t="shared" ref="G8" si="9">F8/60*2*PI()</f>
        <v>83.775804095727821</v>
      </c>
      <c r="H8" s="21">
        <f t="shared" si="1"/>
        <v>1.2290000000000001</v>
      </c>
      <c r="I8" s="22">
        <f t="shared" ref="I8" si="10">G8*H8</f>
        <v>102.96046323364951</v>
      </c>
      <c r="J8" s="23">
        <f t="shared" si="2"/>
        <v>2.3800000000000002E-3</v>
      </c>
      <c r="K8" s="21">
        <f t="shared" si="3"/>
        <v>0.28000000000000003</v>
      </c>
      <c r="L8" s="24">
        <f t="shared" si="4"/>
        <v>2.0719396890000001</v>
      </c>
      <c r="M8" s="25">
        <f>($R$2*G8)/($S$2*($D$2-$E$2)*$L$2)</f>
        <v>3.2796366677393871E-4</v>
      </c>
      <c r="N8" s="26">
        <f t="shared" ref="N8" si="11">3/(2*$J$2)*M8</f>
        <v>0.2066997899835748</v>
      </c>
      <c r="O8" s="26">
        <f t="shared" ref="O8:O49" si="12">P8/((((J8)/(2))^2)*PI())</f>
        <v>3060896420.076324</v>
      </c>
      <c r="P8" s="22">
        <f>(3/(2*$J$2))*R8</f>
        <v>13617.34463367356</v>
      </c>
      <c r="Q8" s="21">
        <f>U8*60</f>
        <v>77759.785688077391</v>
      </c>
      <c r="R8" s="27">
        <f>($R$2*$G8*$Q8)/(2*PI()*($D$2-$E$2)*$L$2)</f>
        <v>21.606186818762051</v>
      </c>
      <c r="S8" s="28">
        <f>$S$6-V8/1000</f>
        <v>1.1458729542593371</v>
      </c>
      <c r="T8" s="22">
        <f>G8*S8</f>
        <v>95.996428134623116</v>
      </c>
      <c r="U8">
        <f t="shared" ref="U8" si="13">T8+60*20</f>
        <v>1295.9964281346231</v>
      </c>
      <c r="V8">
        <v>83.127045740663036</v>
      </c>
      <c r="W8" s="109">
        <f t="shared" si="7"/>
        <v>99553900.25718385</v>
      </c>
      <c r="X8">
        <f t="shared" si="8"/>
        <v>3.252442637529742E-2</v>
      </c>
      <c r="Y8" s="109">
        <f>0.5*1000*R8*T8^2</f>
        <v>99553900.257183835</v>
      </c>
      <c r="Z8" s="27">
        <f t="shared" ref="Z8:Z53" si="14">($R$2*$G8*$Q8)/(2*PI()*($D$2-$E$2))</f>
        <v>44.766715997741755</v>
      </c>
    </row>
    <row r="9" spans="3:26" ht="15" thickBot="1" x14ac:dyDescent="0.4">
      <c r="D9" s="19" t="s">
        <v>95</v>
      </c>
      <c r="E9" s="20">
        <v>1</v>
      </c>
      <c r="F9" s="21">
        <v>1193</v>
      </c>
      <c r="G9" s="22">
        <f t="shared" ref="G9" si="15">F9/60*2*PI()</f>
        <v>124.9306678577541</v>
      </c>
      <c r="H9" s="21">
        <f t="shared" si="1"/>
        <v>1.2290000000000001</v>
      </c>
      <c r="I9" s="22">
        <f t="shared" ref="I9" si="16">G9*H9</f>
        <v>153.53979079717979</v>
      </c>
      <c r="J9" s="23">
        <f t="shared" si="2"/>
        <v>2.3800000000000002E-3</v>
      </c>
      <c r="K9" s="21">
        <f t="shared" si="3"/>
        <v>0.28000000000000003</v>
      </c>
      <c r="L9" s="24">
        <f t="shared" si="4"/>
        <v>2.0719396890000001</v>
      </c>
      <c r="M9" s="25">
        <f>($R$2*G9)/($S$2*($D$2-$E$2)*$L$2)</f>
        <v>4.89075818076636E-4</v>
      </c>
      <c r="N9" s="26">
        <f t="shared" ref="N9" si="17">3/(2*$J$2)*M9</f>
        <v>0.30824106181300587</v>
      </c>
      <c r="O9" s="26">
        <f t="shared" si="12"/>
        <v>105661443.67408709</v>
      </c>
      <c r="P9" s="22">
        <f>(3/(2*$J$2))*R9</f>
        <v>470.06761926483398</v>
      </c>
      <c r="Q9" s="21">
        <f>U9*60</f>
        <v>1800</v>
      </c>
      <c r="R9" s="27">
        <f>($R$2*$G9*$Q9)/(2*PI()*($D$2-$E$2)*$L$2)</f>
        <v>0.74584062256687</v>
      </c>
      <c r="S9" s="28">
        <f>$S$6-V9/1000</f>
        <v>1.1780749895046181</v>
      </c>
      <c r="T9" s="22">
        <f>G9*S9</f>
        <v>147.17769522532859</v>
      </c>
      <c r="U9">
        <v>30</v>
      </c>
      <c r="V9">
        <v>50.925010495382026</v>
      </c>
      <c r="W9" s="109">
        <f t="shared" si="7"/>
        <v>8077929.0323742339</v>
      </c>
      <c r="X9">
        <f t="shared" si="8"/>
        <v>7.6451056804510642E-2</v>
      </c>
      <c r="Y9" s="109">
        <f t="shared" ref="Y8:Y49" si="18">0.5*1000*R9*T9^2</f>
        <v>8077929.032374233</v>
      </c>
      <c r="Z9" s="27">
        <f t="shared" si="14"/>
        <v>1.5453367875647672</v>
      </c>
    </row>
    <row r="10" spans="3:26" ht="15" thickBot="1" x14ac:dyDescent="0.4">
      <c r="D10" s="19" t="s">
        <v>95</v>
      </c>
      <c r="E10" s="20">
        <v>1</v>
      </c>
      <c r="F10" s="21">
        <v>1193</v>
      </c>
      <c r="G10" s="22">
        <f t="shared" ref="G10:G17" si="19">F10/60*2*PI()</f>
        <v>124.9306678577541</v>
      </c>
      <c r="H10" s="21">
        <f t="shared" si="1"/>
        <v>1.2290000000000001</v>
      </c>
      <c r="I10" s="22">
        <f t="shared" ref="I10:I17" si="20">G10*H10</f>
        <v>153.53979079717979</v>
      </c>
      <c r="J10" s="23">
        <f t="shared" si="2"/>
        <v>2.3800000000000002E-3</v>
      </c>
      <c r="K10" s="21">
        <f t="shared" si="3"/>
        <v>0.28000000000000003</v>
      </c>
      <c r="L10" s="24">
        <f t="shared" si="4"/>
        <v>2.0719396890000001</v>
      </c>
      <c r="M10" s="25">
        <f t="shared" ref="M10:M17" si="21">($R$2*G10)/($S$2*($D$2-$E$2)*$L$2)</f>
        <v>4.89075818076636E-4</v>
      </c>
      <c r="N10" s="26">
        <f t="shared" ref="N10:N17" si="22">3/(2*$J$2)*M10</f>
        <v>0.30824106181300587</v>
      </c>
      <c r="O10" s="26">
        <f t="shared" si="12"/>
        <v>140881924.89878279</v>
      </c>
      <c r="P10" s="22">
        <f t="shared" ref="P10:P17" si="23">(3/(2*$J$2))*R10</f>
        <v>626.75682568644538</v>
      </c>
      <c r="Q10" s="21">
        <f t="shared" ref="Q10:Q17" si="24">U10*60</f>
        <v>2400</v>
      </c>
      <c r="R10" s="27">
        <f t="shared" ref="R10:R48" si="25">($R$2*$G10*$Q10)/(2*PI()*($D$2-$E$2)*$L$2)</f>
        <v>0.99445416342249338</v>
      </c>
      <c r="S10" s="28">
        <f t="shared" ref="S10:S17" si="26">$S$6-V10/1000</f>
        <v>1.1628909267422336</v>
      </c>
      <c r="T10" s="22">
        <f t="shared" ref="T10:T17" si="27">G10*S10</f>
        <v>145.28074012362984</v>
      </c>
      <c r="U10">
        <v>40</v>
      </c>
      <c r="V10">
        <v>66.109073257766582</v>
      </c>
      <c r="W10" s="109">
        <f t="shared" si="7"/>
        <v>10494720.143733464</v>
      </c>
      <c r="X10">
        <f t="shared" si="8"/>
        <v>7.4493020671554847E-2</v>
      </c>
      <c r="Y10" s="109">
        <f t="shared" si="18"/>
        <v>10494720.143733466</v>
      </c>
      <c r="Z10" s="27">
        <f t="shared" si="14"/>
        <v>2.0604490500863566</v>
      </c>
    </row>
    <row r="11" spans="3:26" ht="15" thickBot="1" x14ac:dyDescent="0.4">
      <c r="D11" s="19" t="s">
        <v>95</v>
      </c>
      <c r="E11" s="20">
        <v>1</v>
      </c>
      <c r="F11" s="21">
        <v>1193</v>
      </c>
      <c r="G11" s="22">
        <f t="shared" si="19"/>
        <v>124.9306678577541</v>
      </c>
      <c r="H11" s="21">
        <f t="shared" si="1"/>
        <v>1.2290000000000001</v>
      </c>
      <c r="I11" s="22">
        <f t="shared" si="20"/>
        <v>153.53979079717979</v>
      </c>
      <c r="J11" s="23">
        <f t="shared" si="2"/>
        <v>2.3800000000000002E-3</v>
      </c>
      <c r="K11" s="21">
        <f t="shared" si="3"/>
        <v>0.28000000000000003</v>
      </c>
      <c r="L11" s="24">
        <f t="shared" si="4"/>
        <v>2.0719396890000001</v>
      </c>
      <c r="M11" s="25">
        <f t="shared" si="21"/>
        <v>4.89075818076636E-4</v>
      </c>
      <c r="N11" s="26">
        <f t="shared" si="22"/>
        <v>0.30824106181300587</v>
      </c>
      <c r="O11" s="26">
        <f t="shared" si="12"/>
        <v>176102406.12347847</v>
      </c>
      <c r="P11" s="22">
        <f t="shared" si="23"/>
        <v>783.44603210805667</v>
      </c>
      <c r="Q11" s="21">
        <f t="shared" si="24"/>
        <v>3000</v>
      </c>
      <c r="R11" s="27">
        <f t="shared" si="25"/>
        <v>1.2430677042781166</v>
      </c>
      <c r="S11" s="28">
        <f t="shared" si="26"/>
        <v>1.0939786418975652</v>
      </c>
      <c r="T11" s="22">
        <f t="shared" si="27"/>
        <v>136.67148235438162</v>
      </c>
      <c r="U11">
        <v>50</v>
      </c>
      <c r="V11">
        <v>135.02135810243493</v>
      </c>
      <c r="W11" s="109">
        <f t="shared" si="7"/>
        <v>11609689.303569306</v>
      </c>
      <c r="X11">
        <f t="shared" si="8"/>
        <v>6.5925784656394135E-2</v>
      </c>
      <c r="Y11" s="109">
        <f t="shared" si="18"/>
        <v>11609689.303569308</v>
      </c>
      <c r="Z11" s="27">
        <f t="shared" si="14"/>
        <v>2.5755613126079453</v>
      </c>
    </row>
    <row r="12" spans="3:26" ht="15" thickBot="1" x14ac:dyDescent="0.4">
      <c r="D12" s="19" t="s">
        <v>95</v>
      </c>
      <c r="E12" s="20">
        <v>1</v>
      </c>
      <c r="F12" s="21">
        <v>1193</v>
      </c>
      <c r="G12" s="22">
        <f t="shared" si="19"/>
        <v>124.9306678577541</v>
      </c>
      <c r="H12" s="21">
        <f t="shared" si="1"/>
        <v>1.2290000000000001</v>
      </c>
      <c r="I12" s="22">
        <f t="shared" si="20"/>
        <v>153.53979079717979</v>
      </c>
      <c r="J12" s="23">
        <f t="shared" si="2"/>
        <v>2.3800000000000002E-3</v>
      </c>
      <c r="K12" s="21">
        <f t="shared" si="3"/>
        <v>0.28000000000000003</v>
      </c>
      <c r="L12" s="24">
        <f t="shared" si="4"/>
        <v>2.0719396890000001</v>
      </c>
      <c r="M12" s="25">
        <f t="shared" si="21"/>
        <v>4.89075818076636E-4</v>
      </c>
      <c r="N12" s="26">
        <f t="shared" si="22"/>
        <v>0.30824106181300587</v>
      </c>
      <c r="O12" s="26">
        <f t="shared" si="12"/>
        <v>211322887.34817418</v>
      </c>
      <c r="P12" s="22">
        <f t="shared" si="23"/>
        <v>940.13523852966796</v>
      </c>
      <c r="Q12" s="21">
        <f t="shared" si="24"/>
        <v>3600</v>
      </c>
      <c r="R12" s="27">
        <f t="shared" si="25"/>
        <v>1.49168124513374</v>
      </c>
      <c r="S12" s="28">
        <f t="shared" si="26"/>
        <v>1.085802608102435</v>
      </c>
      <c r="T12" s="22">
        <f t="shared" si="27"/>
        <v>135.65004499192844</v>
      </c>
      <c r="U12">
        <v>60</v>
      </c>
      <c r="V12">
        <v>143.19739189756507</v>
      </c>
      <c r="W12" s="109">
        <f t="shared" si="7"/>
        <v>13724164.597168224</v>
      </c>
      <c r="X12">
        <f t="shared" si="8"/>
        <v>6.4944052058859017E-2</v>
      </c>
      <c r="Y12" s="109">
        <f t="shared" si="18"/>
        <v>13724164.597168226</v>
      </c>
      <c r="Z12" s="27">
        <f t="shared" si="14"/>
        <v>3.0906735751295344</v>
      </c>
    </row>
    <row r="13" spans="3:26" ht="15" thickBot="1" x14ac:dyDescent="0.4">
      <c r="D13" s="19" t="s">
        <v>95</v>
      </c>
      <c r="E13" s="20">
        <v>1</v>
      </c>
      <c r="F13" s="21">
        <v>1193</v>
      </c>
      <c r="G13" s="22">
        <f t="shared" si="19"/>
        <v>124.9306678577541</v>
      </c>
      <c r="H13" s="21">
        <f t="shared" si="1"/>
        <v>1.2290000000000001</v>
      </c>
      <c r="I13" s="22">
        <f t="shared" si="20"/>
        <v>153.53979079717979</v>
      </c>
      <c r="J13" s="23">
        <f t="shared" si="2"/>
        <v>2.3800000000000002E-3</v>
      </c>
      <c r="K13" s="21">
        <f t="shared" si="3"/>
        <v>0.28000000000000003</v>
      </c>
      <c r="L13" s="24">
        <f t="shared" si="4"/>
        <v>2.0719396890000001</v>
      </c>
      <c r="M13" s="25">
        <f t="shared" si="21"/>
        <v>4.89075818076636E-4</v>
      </c>
      <c r="N13" s="26">
        <f t="shared" si="22"/>
        <v>0.30824106181300587</v>
      </c>
      <c r="O13" s="26">
        <f t="shared" si="12"/>
        <v>246543368.57286987</v>
      </c>
      <c r="P13" s="22">
        <f t="shared" si="23"/>
        <v>1096.8244449512792</v>
      </c>
      <c r="Q13" s="21">
        <f t="shared" si="24"/>
        <v>4200</v>
      </c>
      <c r="R13" s="27">
        <f t="shared" si="25"/>
        <v>1.7402947859893634</v>
      </c>
      <c r="S13" s="28">
        <f t="shared" si="26"/>
        <v>1.0729545549958019</v>
      </c>
      <c r="T13" s="22">
        <f t="shared" si="27"/>
        <v>134.0449291366449</v>
      </c>
      <c r="U13">
        <v>70</v>
      </c>
      <c r="V13">
        <v>156.04544500419814</v>
      </c>
      <c r="W13" s="109">
        <f t="shared" si="7"/>
        <v>15634845.797376247</v>
      </c>
      <c r="X13">
        <f t="shared" si="8"/>
        <v>6.3416209034051207E-2</v>
      </c>
      <c r="Y13" s="109">
        <f t="shared" si="18"/>
        <v>15634845.797376249</v>
      </c>
      <c r="Z13" s="27">
        <f t="shared" si="14"/>
        <v>3.6057858376511236</v>
      </c>
    </row>
    <row r="14" spans="3:26" ht="15" thickBot="1" x14ac:dyDescent="0.4">
      <c r="D14" s="19" t="s">
        <v>95</v>
      </c>
      <c r="E14" s="20">
        <v>1</v>
      </c>
      <c r="F14" s="21">
        <v>1193</v>
      </c>
      <c r="G14" s="22">
        <f t="shared" si="19"/>
        <v>124.9306678577541</v>
      </c>
      <c r="H14" s="21">
        <f t="shared" si="1"/>
        <v>1.2290000000000001</v>
      </c>
      <c r="I14" s="22">
        <f t="shared" si="20"/>
        <v>153.53979079717979</v>
      </c>
      <c r="J14" s="23">
        <f t="shared" si="2"/>
        <v>2.3800000000000002E-3</v>
      </c>
      <c r="K14" s="21">
        <f t="shared" si="3"/>
        <v>0.28000000000000003</v>
      </c>
      <c r="L14" s="24">
        <f t="shared" si="4"/>
        <v>2.0719396890000001</v>
      </c>
      <c r="M14" s="25">
        <f t="shared" si="21"/>
        <v>4.89075818076636E-4</v>
      </c>
      <c r="N14" s="26">
        <f t="shared" si="22"/>
        <v>0.30824106181300587</v>
      </c>
      <c r="O14" s="26">
        <f t="shared" si="12"/>
        <v>281763849.79756558</v>
      </c>
      <c r="P14" s="22">
        <f t="shared" si="23"/>
        <v>1253.5136513728908</v>
      </c>
      <c r="Q14" s="21">
        <f t="shared" si="24"/>
        <v>4800</v>
      </c>
      <c r="R14" s="27">
        <f t="shared" si="25"/>
        <v>1.9889083268449868</v>
      </c>
      <c r="S14" s="28">
        <f t="shared" si="26"/>
        <v>1.0559016845088163</v>
      </c>
      <c r="T14" s="22">
        <f t="shared" si="27"/>
        <v>131.914502637814</v>
      </c>
      <c r="U14">
        <v>80</v>
      </c>
      <c r="V14">
        <v>173.09831549118388</v>
      </c>
      <c r="W14" s="109">
        <f t="shared" si="7"/>
        <v>17304930.485877611</v>
      </c>
      <c r="X14">
        <f t="shared" si="8"/>
        <v>6.1416432584628616E-2</v>
      </c>
      <c r="Y14" s="109">
        <f t="shared" si="18"/>
        <v>17304930.485877614</v>
      </c>
      <c r="Z14" s="27">
        <f t="shared" si="14"/>
        <v>4.1208981001727132</v>
      </c>
    </row>
    <row r="15" spans="3:26" ht="15" thickBot="1" x14ac:dyDescent="0.4">
      <c r="D15" s="19" t="s">
        <v>95</v>
      </c>
      <c r="E15" s="20">
        <v>1</v>
      </c>
      <c r="F15" s="21">
        <v>1193</v>
      </c>
      <c r="G15" s="22">
        <f t="shared" si="19"/>
        <v>124.9306678577541</v>
      </c>
      <c r="H15" s="21">
        <f t="shared" si="1"/>
        <v>1.2290000000000001</v>
      </c>
      <c r="I15" s="22">
        <f t="shared" si="20"/>
        <v>153.53979079717979</v>
      </c>
      <c r="J15" s="23">
        <f t="shared" si="2"/>
        <v>2.3800000000000002E-3</v>
      </c>
      <c r="K15" s="21">
        <f t="shared" si="3"/>
        <v>0.28000000000000003</v>
      </c>
      <c r="L15" s="24">
        <f t="shared" si="4"/>
        <v>2.0719396890000001</v>
      </c>
      <c r="M15" s="25">
        <f t="shared" si="21"/>
        <v>4.89075818076636E-4</v>
      </c>
      <c r="N15" s="26">
        <f t="shared" si="22"/>
        <v>0.30824106181300587</v>
      </c>
      <c r="O15" s="26">
        <f t="shared" si="12"/>
        <v>316984331.02226126</v>
      </c>
      <c r="P15" s="22">
        <f t="shared" si="23"/>
        <v>1410.2028577945018</v>
      </c>
      <c r="Q15" s="21">
        <f t="shared" si="24"/>
        <v>5400</v>
      </c>
      <c r="R15" s="27">
        <f t="shared" si="25"/>
        <v>2.2375218677006097</v>
      </c>
      <c r="S15" s="28">
        <f t="shared" si="26"/>
        <v>1.026935164777498</v>
      </c>
      <c r="T15" s="22">
        <f t="shared" si="27"/>
        <v>128.29569598226558</v>
      </c>
      <c r="U15">
        <v>90</v>
      </c>
      <c r="V15">
        <v>202.06483522250207</v>
      </c>
      <c r="W15" s="109">
        <f t="shared" si="7"/>
        <v>18414565.117305208</v>
      </c>
      <c r="X15">
        <f t="shared" si="8"/>
        <v>5.8092982255365751E-2</v>
      </c>
      <c r="Y15" s="109">
        <f t="shared" si="18"/>
        <v>18414565.117305204</v>
      </c>
      <c r="Z15" s="27">
        <f t="shared" si="14"/>
        <v>4.636010362694301</v>
      </c>
    </row>
    <row r="16" spans="3:26" ht="15" thickBot="1" x14ac:dyDescent="0.4">
      <c r="D16" s="19" t="s">
        <v>95</v>
      </c>
      <c r="E16" s="20">
        <v>1</v>
      </c>
      <c r="F16" s="21">
        <v>1193</v>
      </c>
      <c r="G16" s="22">
        <f t="shared" si="19"/>
        <v>124.9306678577541</v>
      </c>
      <c r="H16" s="21">
        <f t="shared" si="1"/>
        <v>1.2290000000000001</v>
      </c>
      <c r="I16" s="22">
        <f t="shared" si="20"/>
        <v>153.53979079717979</v>
      </c>
      <c r="J16" s="23">
        <f t="shared" si="2"/>
        <v>2.3800000000000002E-3</v>
      </c>
      <c r="K16" s="21">
        <f t="shared" si="3"/>
        <v>0.28000000000000003</v>
      </c>
      <c r="L16" s="24">
        <f t="shared" si="4"/>
        <v>2.0719396890000001</v>
      </c>
      <c r="M16" s="25">
        <f t="shared" si="21"/>
        <v>4.89075818076636E-4</v>
      </c>
      <c r="N16" s="26">
        <f t="shared" si="22"/>
        <v>0.30824106181300587</v>
      </c>
      <c r="O16" s="26">
        <f t="shared" si="12"/>
        <v>352204812.24695694</v>
      </c>
      <c r="P16" s="22">
        <f t="shared" si="23"/>
        <v>1566.8920642161133</v>
      </c>
      <c r="Q16" s="21">
        <f t="shared" si="24"/>
        <v>6000</v>
      </c>
      <c r="R16" s="27">
        <f t="shared" si="25"/>
        <v>2.4861354085562333</v>
      </c>
      <c r="S16" s="28">
        <f t="shared" si="26"/>
        <v>0.9505476490344249</v>
      </c>
      <c r="T16" s="22">
        <f t="shared" si="27"/>
        <v>118.75255262448876</v>
      </c>
      <c r="U16">
        <v>100</v>
      </c>
      <c r="V16">
        <v>278.45235096557514</v>
      </c>
      <c r="W16" s="109">
        <f t="shared" si="7"/>
        <v>17529950.539411567</v>
      </c>
      <c r="X16">
        <f t="shared" si="8"/>
        <v>4.9772035843508054E-2</v>
      </c>
      <c r="Y16" s="109">
        <f t="shared" si="18"/>
        <v>17529950.539411567</v>
      </c>
      <c r="Z16" s="27">
        <f t="shared" si="14"/>
        <v>5.1511226252158906</v>
      </c>
    </row>
    <row r="17" spans="4:26" ht="15" thickBot="1" x14ac:dyDescent="0.4">
      <c r="D17" s="19" t="s">
        <v>95</v>
      </c>
      <c r="E17" s="20">
        <v>1</v>
      </c>
      <c r="F17" s="21">
        <v>1193</v>
      </c>
      <c r="G17" s="22">
        <f t="shared" si="19"/>
        <v>124.9306678577541</v>
      </c>
      <c r="H17" s="21">
        <f t="shared" si="1"/>
        <v>1.2290000000000001</v>
      </c>
      <c r="I17" s="22">
        <f t="shared" si="20"/>
        <v>153.53979079717979</v>
      </c>
      <c r="J17" s="23">
        <f t="shared" si="2"/>
        <v>2.3800000000000002E-3</v>
      </c>
      <c r="K17" s="21">
        <f t="shared" si="3"/>
        <v>0.28000000000000003</v>
      </c>
      <c r="L17" s="24">
        <f t="shared" si="4"/>
        <v>2.0719396890000001</v>
      </c>
      <c r="M17" s="25">
        <f t="shared" si="21"/>
        <v>4.89075818076636E-4</v>
      </c>
      <c r="N17" s="26">
        <f t="shared" si="22"/>
        <v>0.30824106181300587</v>
      </c>
      <c r="O17" s="26">
        <f t="shared" si="12"/>
        <v>387425293.47165269</v>
      </c>
      <c r="P17" s="22">
        <f t="shared" si="23"/>
        <v>1723.5812706377249</v>
      </c>
      <c r="Q17" s="21">
        <f t="shared" si="24"/>
        <v>6600</v>
      </c>
      <c r="R17" s="27">
        <f t="shared" si="25"/>
        <v>2.7347489494118569</v>
      </c>
      <c r="S17" s="28">
        <f t="shared" si="26"/>
        <v>0.94400682199832087</v>
      </c>
      <c r="T17" s="22">
        <f t="shared" si="27"/>
        <v>117.93540273452622</v>
      </c>
      <c r="U17">
        <v>110</v>
      </c>
      <c r="V17">
        <v>284.99317800167921</v>
      </c>
      <c r="W17" s="109">
        <f t="shared" si="7"/>
        <v>19018482.329735789</v>
      </c>
      <c r="X17">
        <f t="shared" si="8"/>
        <v>4.9089418399388379E-2</v>
      </c>
      <c r="Y17" s="109">
        <f t="shared" si="18"/>
        <v>19018482.329735789</v>
      </c>
      <c r="Z17" s="27">
        <f t="shared" si="14"/>
        <v>5.6662348877374802</v>
      </c>
    </row>
    <row r="18" spans="4:26" ht="15" thickBot="1" x14ac:dyDescent="0.4">
      <c r="D18" s="19" t="s">
        <v>95</v>
      </c>
      <c r="E18" s="20">
        <v>2</v>
      </c>
      <c r="F18" s="21">
        <v>1193</v>
      </c>
      <c r="G18" s="22">
        <f t="shared" ref="G18" si="28">F18/60*2*PI()</f>
        <v>124.9306678577541</v>
      </c>
      <c r="H18" s="21">
        <f t="shared" si="1"/>
        <v>1.2290000000000001</v>
      </c>
      <c r="I18" s="22">
        <f t="shared" ref="I18" si="29">G18*H18</f>
        <v>153.53979079717979</v>
      </c>
      <c r="J18" s="23">
        <f t="shared" si="2"/>
        <v>2.3800000000000002E-3</v>
      </c>
      <c r="K18" s="21">
        <f t="shared" si="3"/>
        <v>0.28000000000000003</v>
      </c>
      <c r="L18" s="24">
        <f t="shared" si="4"/>
        <v>2.0719396890000001</v>
      </c>
      <c r="M18" s="25">
        <f t="shared" ref="M18" si="30">($R$2*G18)/($S$2*($D$2-$E$2)*$L$2)</f>
        <v>4.89075818076636E-4</v>
      </c>
      <c r="N18" s="26">
        <f t="shared" ref="N18" si="31">3/(2*$J$2)*M18</f>
        <v>0.30824106181300587</v>
      </c>
      <c r="O18" s="26">
        <f t="shared" si="12"/>
        <v>140881924.89878279</v>
      </c>
      <c r="P18" s="22">
        <f t="shared" ref="P18" si="32">(3/(2*$J$2))*R18</f>
        <v>626.75682568644538</v>
      </c>
      <c r="Q18" s="21">
        <f t="shared" ref="Q18" si="33">U18*60</f>
        <v>2400</v>
      </c>
      <c r="R18" s="27">
        <f t="shared" si="25"/>
        <v>0.99445416342249338</v>
      </c>
      <c r="S18" s="28">
        <f t="shared" ref="S18" si="34">$S$6-V18/1000</f>
        <v>1.1245728487000002</v>
      </c>
      <c r="T18" s="22">
        <f t="shared" ref="T18" si="35">G18*S18</f>
        <v>140.49363704278807</v>
      </c>
      <c r="U18" s="22">
        <v>40</v>
      </c>
      <c r="V18" s="29">
        <v>104.42715130000001</v>
      </c>
      <c r="W18" s="109">
        <f t="shared" si="7"/>
        <v>9814497.8823463861</v>
      </c>
      <c r="X18">
        <f t="shared" si="8"/>
        <v>6.9664706025259468E-2</v>
      </c>
      <c r="Y18" s="109">
        <f t="shared" si="18"/>
        <v>9814497.8823463842</v>
      </c>
      <c r="Z18" s="27">
        <f t="shared" si="14"/>
        <v>2.0604490500863566</v>
      </c>
    </row>
    <row r="19" spans="4:26" ht="15" thickBot="1" x14ac:dyDescent="0.4">
      <c r="D19" s="19" t="s">
        <v>95</v>
      </c>
      <c r="E19" s="20">
        <v>2</v>
      </c>
      <c r="F19" s="21">
        <v>1193</v>
      </c>
      <c r="G19" s="22">
        <f t="shared" ref="G19:G25" si="36">F19/60*2*PI()</f>
        <v>124.9306678577541</v>
      </c>
      <c r="H19" s="21">
        <f t="shared" si="1"/>
        <v>1.2290000000000001</v>
      </c>
      <c r="I19" s="22">
        <f t="shared" ref="I19:I25" si="37">G19*H19</f>
        <v>153.53979079717979</v>
      </c>
      <c r="J19" s="23">
        <f t="shared" si="2"/>
        <v>2.3800000000000002E-3</v>
      </c>
      <c r="K19" s="21">
        <f t="shared" si="3"/>
        <v>0.28000000000000003</v>
      </c>
      <c r="L19" s="24">
        <f t="shared" si="4"/>
        <v>2.0719396890000001</v>
      </c>
      <c r="M19" s="25">
        <f t="shared" ref="M19:M25" si="38">($R$2*G19)/($S$2*($D$2-$E$2)*$L$2)</f>
        <v>4.89075818076636E-4</v>
      </c>
      <c r="N19" s="26">
        <f t="shared" ref="N19:N25" si="39">3/(2*$J$2)*M19</f>
        <v>0.30824106181300587</v>
      </c>
      <c r="O19" s="26">
        <f t="shared" si="12"/>
        <v>176102406.12347847</v>
      </c>
      <c r="P19" s="22">
        <f t="shared" ref="P19:P25" si="40">(3/(2*$J$2))*R19</f>
        <v>783.44603210805667</v>
      </c>
      <c r="Q19" s="21">
        <f t="shared" ref="Q19:Q25" si="41">U19*60</f>
        <v>3000</v>
      </c>
      <c r="R19" s="27">
        <f t="shared" si="25"/>
        <v>1.2430677042781166</v>
      </c>
      <c r="S19" s="28">
        <f t="shared" ref="S19:S25" si="42">$S$6-V19/1000</f>
        <v>1.1173144593000002</v>
      </c>
      <c r="T19" s="22">
        <f t="shared" ref="T19:T25" si="43">G19*S19</f>
        <v>139.58684160747444</v>
      </c>
      <c r="U19" s="22">
        <v>50</v>
      </c>
      <c r="V19" s="29">
        <v>111.6855407</v>
      </c>
      <c r="W19" s="109">
        <f t="shared" si="7"/>
        <v>12110267.858035419</v>
      </c>
      <c r="X19">
        <f t="shared" si="8"/>
        <v>6.8768327046843478E-2</v>
      </c>
      <c r="Y19" s="109">
        <f t="shared" si="18"/>
        <v>12110267.858035423</v>
      </c>
      <c r="Z19" s="27">
        <f t="shared" si="14"/>
        <v>2.5755613126079453</v>
      </c>
    </row>
    <row r="20" spans="4:26" ht="15" thickBot="1" x14ac:dyDescent="0.4">
      <c r="D20" s="19" t="s">
        <v>95</v>
      </c>
      <c r="E20" s="20">
        <v>2</v>
      </c>
      <c r="F20" s="21">
        <v>1193</v>
      </c>
      <c r="G20" s="22">
        <f t="shared" si="36"/>
        <v>124.9306678577541</v>
      </c>
      <c r="H20" s="21">
        <f t="shared" si="1"/>
        <v>1.2290000000000001</v>
      </c>
      <c r="I20" s="22">
        <f t="shared" si="37"/>
        <v>153.53979079717979</v>
      </c>
      <c r="J20" s="23">
        <f t="shared" si="2"/>
        <v>2.3800000000000002E-3</v>
      </c>
      <c r="K20" s="21">
        <f t="shared" si="3"/>
        <v>0.28000000000000003</v>
      </c>
      <c r="L20" s="24">
        <f t="shared" si="4"/>
        <v>2.0719396890000001</v>
      </c>
      <c r="M20" s="25">
        <f t="shared" si="38"/>
        <v>4.89075818076636E-4</v>
      </c>
      <c r="N20" s="26">
        <f t="shared" si="39"/>
        <v>0.30824106181300587</v>
      </c>
      <c r="O20" s="26">
        <f t="shared" si="12"/>
        <v>211322887.34817418</v>
      </c>
      <c r="P20" s="22">
        <f t="shared" si="40"/>
        <v>940.13523852966796</v>
      </c>
      <c r="Q20" s="21">
        <f t="shared" si="41"/>
        <v>3600</v>
      </c>
      <c r="R20" s="27">
        <f t="shared" si="25"/>
        <v>1.49168124513374</v>
      </c>
      <c r="S20" s="28">
        <f t="shared" si="42"/>
        <v>1.1095877867000001</v>
      </c>
      <c r="T20" s="22">
        <f t="shared" si="43"/>
        <v>138.62154323923824</v>
      </c>
      <c r="U20" s="22">
        <v>60</v>
      </c>
      <c r="V20" s="29">
        <v>119.4122133</v>
      </c>
      <c r="W20" s="109">
        <f t="shared" si="7"/>
        <v>14332022.872563673</v>
      </c>
      <c r="X20">
        <f t="shared" si="8"/>
        <v>6.7820495226105476E-2</v>
      </c>
      <c r="Y20" s="109">
        <f t="shared" si="18"/>
        <v>14332022.872563675</v>
      </c>
      <c r="Z20" s="27">
        <f t="shared" si="14"/>
        <v>3.0906735751295344</v>
      </c>
    </row>
    <row r="21" spans="4:26" ht="15" thickBot="1" x14ac:dyDescent="0.4">
      <c r="D21" s="19" t="s">
        <v>95</v>
      </c>
      <c r="E21" s="20">
        <v>2</v>
      </c>
      <c r="F21" s="21">
        <v>1193</v>
      </c>
      <c r="G21" s="22">
        <f t="shared" si="36"/>
        <v>124.9306678577541</v>
      </c>
      <c r="H21" s="21">
        <f t="shared" si="1"/>
        <v>1.2290000000000001</v>
      </c>
      <c r="I21" s="22">
        <f t="shared" si="37"/>
        <v>153.53979079717979</v>
      </c>
      <c r="J21" s="23">
        <f t="shared" si="2"/>
        <v>2.3800000000000002E-3</v>
      </c>
      <c r="K21" s="21">
        <f t="shared" si="3"/>
        <v>0.28000000000000003</v>
      </c>
      <c r="L21" s="24">
        <f t="shared" si="4"/>
        <v>2.0719396890000001</v>
      </c>
      <c r="M21" s="25">
        <f t="shared" si="38"/>
        <v>4.89075818076636E-4</v>
      </c>
      <c r="N21" s="26">
        <f t="shared" si="39"/>
        <v>0.30824106181300587</v>
      </c>
      <c r="O21" s="26">
        <f t="shared" si="12"/>
        <v>246543368.57286987</v>
      </c>
      <c r="P21" s="22">
        <f t="shared" si="40"/>
        <v>1096.8244449512792</v>
      </c>
      <c r="Q21" s="21">
        <f t="shared" si="41"/>
        <v>4200</v>
      </c>
      <c r="R21" s="27">
        <f t="shared" si="25"/>
        <v>1.7402947859893634</v>
      </c>
      <c r="S21" s="28">
        <f t="shared" si="42"/>
        <v>1.1056073795000001</v>
      </c>
      <c r="T21" s="22">
        <f t="shared" si="43"/>
        <v>138.1242683093964</v>
      </c>
      <c r="U21" s="22">
        <v>70</v>
      </c>
      <c r="V21" s="29">
        <v>123.39262050000001</v>
      </c>
      <c r="W21" s="109">
        <f t="shared" si="7"/>
        <v>16600944.751284983</v>
      </c>
      <c r="X21">
        <f t="shared" si="8"/>
        <v>6.7334785142997289E-2</v>
      </c>
      <c r="Y21" s="109">
        <f t="shared" si="18"/>
        <v>16600944.751284981</v>
      </c>
      <c r="Z21" s="27">
        <f t="shared" si="14"/>
        <v>3.6057858376511236</v>
      </c>
    </row>
    <row r="22" spans="4:26" ht="15" thickBot="1" x14ac:dyDescent="0.4">
      <c r="D22" s="19" t="s">
        <v>95</v>
      </c>
      <c r="E22" s="20">
        <v>2</v>
      </c>
      <c r="F22" s="21">
        <v>1193</v>
      </c>
      <c r="G22" s="22">
        <f t="shared" si="36"/>
        <v>124.9306678577541</v>
      </c>
      <c r="H22" s="21">
        <f t="shared" si="1"/>
        <v>1.2290000000000001</v>
      </c>
      <c r="I22" s="22">
        <f t="shared" si="37"/>
        <v>153.53979079717979</v>
      </c>
      <c r="J22" s="23">
        <f t="shared" si="2"/>
        <v>2.3800000000000002E-3</v>
      </c>
      <c r="K22" s="21">
        <f t="shared" si="3"/>
        <v>0.28000000000000003</v>
      </c>
      <c r="L22" s="24">
        <f t="shared" si="4"/>
        <v>2.0719396890000001</v>
      </c>
      <c r="M22" s="25">
        <f t="shared" si="38"/>
        <v>4.89075818076636E-4</v>
      </c>
      <c r="N22" s="26">
        <f t="shared" si="39"/>
        <v>0.30824106181300587</v>
      </c>
      <c r="O22" s="26">
        <f t="shared" si="12"/>
        <v>281763849.79756558</v>
      </c>
      <c r="P22" s="22">
        <f t="shared" si="40"/>
        <v>1253.5136513728908</v>
      </c>
      <c r="Q22" s="21">
        <f t="shared" si="41"/>
        <v>4800</v>
      </c>
      <c r="R22" s="27">
        <f t="shared" si="25"/>
        <v>1.9889083268449868</v>
      </c>
      <c r="S22" s="28">
        <f t="shared" si="42"/>
        <v>1.0810225121000001</v>
      </c>
      <c r="T22" s="22">
        <f t="shared" si="43"/>
        <v>135.05286440592008</v>
      </c>
      <c r="U22" s="22">
        <v>80</v>
      </c>
      <c r="V22" s="29">
        <v>147.9774879</v>
      </c>
      <c r="W22" s="109">
        <f t="shared" si="7"/>
        <v>18138124.13923401</v>
      </c>
      <c r="X22">
        <f t="shared" si="8"/>
        <v>6.437349628870212E-2</v>
      </c>
      <c r="Y22" s="109">
        <f t="shared" si="18"/>
        <v>18138124.13923401</v>
      </c>
      <c r="Z22" s="27">
        <f t="shared" si="14"/>
        <v>4.1208981001727132</v>
      </c>
    </row>
    <row r="23" spans="4:26" ht="15" thickBot="1" x14ac:dyDescent="0.4">
      <c r="D23" s="19" t="s">
        <v>95</v>
      </c>
      <c r="E23" s="20">
        <v>2</v>
      </c>
      <c r="F23" s="21">
        <v>1193</v>
      </c>
      <c r="G23" s="22">
        <f t="shared" si="36"/>
        <v>124.9306678577541</v>
      </c>
      <c r="H23" s="21">
        <f t="shared" si="1"/>
        <v>1.2290000000000001</v>
      </c>
      <c r="I23" s="22">
        <f t="shared" si="37"/>
        <v>153.53979079717979</v>
      </c>
      <c r="J23" s="23">
        <f t="shared" si="2"/>
        <v>2.3800000000000002E-3</v>
      </c>
      <c r="K23" s="21">
        <f t="shared" si="3"/>
        <v>0.28000000000000003</v>
      </c>
      <c r="L23" s="24">
        <f t="shared" si="4"/>
        <v>2.0719396890000001</v>
      </c>
      <c r="M23" s="25">
        <f t="shared" si="38"/>
        <v>4.89075818076636E-4</v>
      </c>
      <c r="N23" s="26">
        <f t="shared" si="39"/>
        <v>0.30824106181300587</v>
      </c>
      <c r="O23" s="26">
        <f t="shared" si="12"/>
        <v>316984331.02226126</v>
      </c>
      <c r="P23" s="22">
        <f t="shared" si="40"/>
        <v>1410.2028577945018</v>
      </c>
      <c r="Q23" s="21">
        <f t="shared" si="41"/>
        <v>5400</v>
      </c>
      <c r="R23" s="27">
        <f t="shared" si="25"/>
        <v>2.2375218677006097</v>
      </c>
      <c r="S23" s="28">
        <f t="shared" si="42"/>
        <v>1.0739982643000001</v>
      </c>
      <c r="T23" s="22">
        <f t="shared" si="43"/>
        <v>134.17532043706771</v>
      </c>
      <c r="U23" s="22">
        <v>90</v>
      </c>
      <c r="V23" s="29">
        <v>155.00173570000001</v>
      </c>
      <c r="W23" s="109">
        <f t="shared" si="7"/>
        <v>20141071.679637287</v>
      </c>
      <c r="X23">
        <f t="shared" si="8"/>
        <v>6.3539644419278299E-2</v>
      </c>
      <c r="Y23" s="109">
        <f t="shared" si="18"/>
        <v>20141071.679637283</v>
      </c>
      <c r="Z23" s="27">
        <f t="shared" si="14"/>
        <v>4.636010362694301</v>
      </c>
    </row>
    <row r="24" spans="4:26" ht="15" thickBot="1" x14ac:dyDescent="0.4">
      <c r="D24" s="19" t="s">
        <v>95</v>
      </c>
      <c r="E24" s="20">
        <v>2</v>
      </c>
      <c r="F24" s="21">
        <v>1193</v>
      </c>
      <c r="G24" s="22">
        <f t="shared" si="36"/>
        <v>124.9306678577541</v>
      </c>
      <c r="H24" s="21">
        <f t="shared" si="1"/>
        <v>1.2290000000000001</v>
      </c>
      <c r="I24" s="22">
        <f t="shared" si="37"/>
        <v>153.53979079717979</v>
      </c>
      <c r="J24" s="23">
        <f t="shared" si="2"/>
        <v>2.3800000000000002E-3</v>
      </c>
      <c r="K24" s="21">
        <f t="shared" si="3"/>
        <v>0.28000000000000003</v>
      </c>
      <c r="L24" s="24">
        <f t="shared" si="4"/>
        <v>2.0719396890000001</v>
      </c>
      <c r="M24" s="25">
        <f t="shared" si="38"/>
        <v>4.89075818076636E-4</v>
      </c>
      <c r="N24" s="26">
        <f t="shared" si="39"/>
        <v>0.30824106181300587</v>
      </c>
      <c r="O24" s="26">
        <f t="shared" si="12"/>
        <v>387425293.47165269</v>
      </c>
      <c r="P24" s="22">
        <f t="shared" si="40"/>
        <v>1723.5812706377249</v>
      </c>
      <c r="Q24" s="21">
        <f t="shared" si="41"/>
        <v>6600</v>
      </c>
      <c r="R24" s="27">
        <f t="shared" si="25"/>
        <v>2.7347489494118569</v>
      </c>
      <c r="S24" s="28">
        <f t="shared" si="42"/>
        <v>1.0149945824000002</v>
      </c>
      <c r="T24" s="22">
        <f t="shared" si="43"/>
        <v>126.80395105123425</v>
      </c>
      <c r="U24">
        <v>110</v>
      </c>
      <c r="V24">
        <v>214.00541759999999</v>
      </c>
      <c r="W24" s="109">
        <f t="shared" si="7"/>
        <v>21986345.086432938</v>
      </c>
      <c r="X24">
        <f t="shared" si="8"/>
        <v>5.674989593327015E-2</v>
      </c>
      <c r="Y24" s="109">
        <f t="shared" si="18"/>
        <v>21986345.086432938</v>
      </c>
      <c r="Z24" s="27">
        <f t="shared" si="14"/>
        <v>5.6662348877374802</v>
      </c>
    </row>
    <row r="25" spans="4:26" ht="15" thickBot="1" x14ac:dyDescent="0.4">
      <c r="D25" s="19" t="s">
        <v>95</v>
      </c>
      <c r="E25" s="20">
        <v>2</v>
      </c>
      <c r="F25" s="21">
        <v>1193</v>
      </c>
      <c r="G25" s="22">
        <f t="shared" si="36"/>
        <v>124.9306678577541</v>
      </c>
      <c r="H25" s="21">
        <f t="shared" si="1"/>
        <v>1.2290000000000001</v>
      </c>
      <c r="I25" s="22">
        <f t="shared" si="37"/>
        <v>153.53979079717979</v>
      </c>
      <c r="J25" s="23">
        <f t="shared" si="2"/>
        <v>2.3800000000000002E-3</v>
      </c>
      <c r="K25" s="21">
        <f t="shared" si="3"/>
        <v>0.28000000000000003</v>
      </c>
      <c r="L25" s="24">
        <f t="shared" si="4"/>
        <v>2.0719396890000001</v>
      </c>
      <c r="M25" s="25">
        <f t="shared" si="38"/>
        <v>4.89075818076636E-4</v>
      </c>
      <c r="N25" s="26">
        <f t="shared" si="39"/>
        <v>0.30824106181300587</v>
      </c>
      <c r="O25" s="26">
        <f t="shared" si="12"/>
        <v>422645774.69634837</v>
      </c>
      <c r="P25" s="22">
        <f t="shared" si="40"/>
        <v>1880.2704770593359</v>
      </c>
      <c r="Q25" s="21">
        <f t="shared" si="41"/>
        <v>7200</v>
      </c>
      <c r="R25" s="27">
        <f t="shared" si="25"/>
        <v>2.98336249026748</v>
      </c>
      <c r="S25" s="28">
        <f t="shared" si="42"/>
        <v>0.9943901220000001</v>
      </c>
      <c r="T25" s="22">
        <f t="shared" si="43"/>
        <v>124.2298220526136</v>
      </c>
      <c r="U25">
        <v>120</v>
      </c>
      <c r="V25">
        <v>234.60987800000001</v>
      </c>
      <c r="W25" s="109">
        <f t="shared" si="7"/>
        <v>23021189.281967986</v>
      </c>
      <c r="X25">
        <f t="shared" si="8"/>
        <v>5.4469228512949545E-2</v>
      </c>
      <c r="Y25" s="109">
        <f t="shared" si="18"/>
        <v>23021189.281967986</v>
      </c>
      <c r="Z25" s="27">
        <f t="shared" si="14"/>
        <v>6.1813471502590689</v>
      </c>
    </row>
    <row r="26" spans="4:26" ht="15" thickBot="1" x14ac:dyDescent="0.4">
      <c r="D26" s="19" t="s">
        <v>95</v>
      </c>
      <c r="E26" s="20">
        <v>3</v>
      </c>
      <c r="F26" s="21">
        <v>1193</v>
      </c>
      <c r="G26" s="22">
        <f t="shared" ref="G26" si="44">F26/60*2*PI()</f>
        <v>124.9306678577541</v>
      </c>
      <c r="H26" s="21">
        <f t="shared" si="1"/>
        <v>1.2290000000000001</v>
      </c>
      <c r="I26" s="22">
        <f t="shared" ref="I26" si="45">G26*H26</f>
        <v>153.53979079717979</v>
      </c>
      <c r="J26" s="23">
        <f t="shared" si="2"/>
        <v>2.3800000000000002E-3</v>
      </c>
      <c r="K26" s="21">
        <f t="shared" si="3"/>
        <v>0.28000000000000003</v>
      </c>
      <c r="L26" s="24">
        <f t="shared" si="4"/>
        <v>2.0719396890000001</v>
      </c>
      <c r="M26" s="25">
        <f t="shared" ref="M26" si="46">($R$2*G26)/($S$2*($D$2-$E$2)*$L$2)</f>
        <v>4.89075818076636E-4</v>
      </c>
      <c r="N26" s="26">
        <f t="shared" ref="N26" si="47">3/(2*$J$2)*M26</f>
        <v>0.30824106181300587</v>
      </c>
      <c r="O26" s="26">
        <f t="shared" si="12"/>
        <v>176102406.12347847</v>
      </c>
      <c r="P26" s="22">
        <f t="shared" ref="P26" si="48">(3/(2*$J$2))*R26</f>
        <v>783.44603210805667</v>
      </c>
      <c r="Q26" s="21">
        <f t="shared" ref="Q26" si="49">U26*60</f>
        <v>3000</v>
      </c>
      <c r="R26" s="27">
        <f t="shared" si="25"/>
        <v>1.2430677042781166</v>
      </c>
      <c r="S26" s="28">
        <f t="shared" ref="S26" si="50">$S$6-V26/1000</f>
        <v>1.1566197905704063</v>
      </c>
      <c r="T26" s="22">
        <f t="shared" ref="T26" si="51">G26*S26</f>
        <v>144.49728289345654</v>
      </c>
      <c r="U26">
        <v>50</v>
      </c>
      <c r="V26">
        <v>72.380209429593762</v>
      </c>
      <c r="W26" s="109">
        <f t="shared" si="7"/>
        <v>12977294.165116822</v>
      </c>
      <c r="X26">
        <f t="shared" si="8"/>
        <v>7.3691748175305896E-2</v>
      </c>
      <c r="Y26" s="109">
        <f t="shared" si="18"/>
        <v>12977294.165116826</v>
      </c>
      <c r="Z26" s="27">
        <f t="shared" si="14"/>
        <v>2.5755613126079453</v>
      </c>
    </row>
    <row r="27" spans="4:26" ht="15" thickBot="1" x14ac:dyDescent="0.4">
      <c r="D27" s="19" t="s">
        <v>95</v>
      </c>
      <c r="E27" s="20">
        <v>3</v>
      </c>
      <c r="F27" s="21">
        <v>1193</v>
      </c>
      <c r="G27" s="22">
        <f t="shared" ref="G27:G31" si="52">F27/60*2*PI()</f>
        <v>124.9306678577541</v>
      </c>
      <c r="H27" s="21">
        <f t="shared" si="1"/>
        <v>1.2290000000000001</v>
      </c>
      <c r="I27" s="22">
        <f t="shared" ref="I27:I31" si="53">G27*H27</f>
        <v>153.53979079717979</v>
      </c>
      <c r="J27" s="23">
        <f t="shared" si="2"/>
        <v>2.3800000000000002E-3</v>
      </c>
      <c r="K27" s="21">
        <f t="shared" si="3"/>
        <v>0.28000000000000003</v>
      </c>
      <c r="L27" s="24">
        <f t="shared" si="4"/>
        <v>2.0719396890000001</v>
      </c>
      <c r="M27" s="25">
        <f t="shared" ref="M27:M31" si="54">($R$2*G27)/($S$2*($D$2-$E$2)*$L$2)</f>
        <v>4.89075818076636E-4</v>
      </c>
      <c r="N27" s="26">
        <f t="shared" ref="N27:N31" si="55">3/(2*$J$2)*M27</f>
        <v>0.30824106181300587</v>
      </c>
      <c r="O27" s="26">
        <f t="shared" si="12"/>
        <v>211322887.34817418</v>
      </c>
      <c r="P27" s="22">
        <f t="shared" ref="P27:P31" si="56">(3/(2*$J$2))*R27</f>
        <v>940.13523852966796</v>
      </c>
      <c r="Q27" s="21">
        <f t="shared" ref="Q27:Q31" si="57">U27*60</f>
        <v>3600</v>
      </c>
      <c r="R27" s="27">
        <f t="shared" si="25"/>
        <v>1.49168124513374</v>
      </c>
      <c r="S27" s="28">
        <f t="shared" ref="S27:S31" si="58">$S$6-V27/1000</f>
        <v>1.117970164175963</v>
      </c>
      <c r="T27" s="22">
        <f t="shared" ref="T27:T31" si="59">G27*S27</f>
        <v>139.66875925554606</v>
      </c>
      <c r="U27">
        <v>60</v>
      </c>
      <c r="V27">
        <v>111.02983582403704</v>
      </c>
      <c r="W27" s="109">
        <f t="shared" si="7"/>
        <v>14549383.251407405</v>
      </c>
      <c r="X27">
        <f t="shared" si="8"/>
        <v>6.8849065210035379E-2</v>
      </c>
      <c r="Y27" s="109">
        <f t="shared" si="18"/>
        <v>14549383.251407409</v>
      </c>
      <c r="Z27" s="27">
        <f t="shared" si="14"/>
        <v>3.0906735751295344</v>
      </c>
    </row>
    <row r="28" spans="4:26" ht="15" thickBot="1" x14ac:dyDescent="0.4">
      <c r="D28" s="19" t="s">
        <v>95</v>
      </c>
      <c r="E28" s="20">
        <v>3</v>
      </c>
      <c r="F28" s="21">
        <v>1193</v>
      </c>
      <c r="G28" s="22">
        <f t="shared" si="52"/>
        <v>124.9306678577541</v>
      </c>
      <c r="H28" s="21">
        <f t="shared" si="1"/>
        <v>1.2290000000000001</v>
      </c>
      <c r="I28" s="22">
        <f t="shared" si="53"/>
        <v>153.53979079717979</v>
      </c>
      <c r="J28" s="23">
        <f t="shared" si="2"/>
        <v>2.3800000000000002E-3</v>
      </c>
      <c r="K28" s="21">
        <f t="shared" si="3"/>
        <v>0.28000000000000003</v>
      </c>
      <c r="L28" s="24">
        <f t="shared" si="4"/>
        <v>2.0719396890000001</v>
      </c>
      <c r="M28" s="25">
        <f t="shared" si="54"/>
        <v>4.89075818076636E-4</v>
      </c>
      <c r="N28" s="26">
        <f t="shared" si="55"/>
        <v>0.30824106181300587</v>
      </c>
      <c r="O28" s="26">
        <f t="shared" si="12"/>
        <v>246543368.57286987</v>
      </c>
      <c r="P28" s="22">
        <f t="shared" si="56"/>
        <v>1096.8244449512792</v>
      </c>
      <c r="Q28" s="21">
        <f t="shared" si="57"/>
        <v>4200</v>
      </c>
      <c r="R28" s="27">
        <f t="shared" si="25"/>
        <v>1.7402947859893634</v>
      </c>
      <c r="S28" s="28">
        <f t="shared" si="58"/>
        <v>1.072996053462429</v>
      </c>
      <c r="T28" s="22">
        <f t="shared" si="59"/>
        <v>134.05011356779568</v>
      </c>
      <c r="U28">
        <v>70</v>
      </c>
      <c r="V28">
        <v>156.00394653757104</v>
      </c>
      <c r="W28" s="109">
        <f t="shared" si="7"/>
        <v>15636055.232893724</v>
      </c>
      <c r="X28">
        <f t="shared" si="8"/>
        <v>6.3421114603097656E-2</v>
      </c>
      <c r="Y28" s="109">
        <f t="shared" si="18"/>
        <v>15636055.232893728</v>
      </c>
      <c r="Z28" s="27">
        <f t="shared" si="14"/>
        <v>3.6057858376511236</v>
      </c>
    </row>
    <row r="29" spans="4:26" ht="15" thickBot="1" x14ac:dyDescent="0.4">
      <c r="D29" s="19" t="s">
        <v>95</v>
      </c>
      <c r="E29" s="20">
        <v>3</v>
      </c>
      <c r="F29" s="21">
        <v>1193</v>
      </c>
      <c r="G29" s="22">
        <f t="shared" si="52"/>
        <v>124.9306678577541</v>
      </c>
      <c r="H29" s="21">
        <f t="shared" si="1"/>
        <v>1.2290000000000001</v>
      </c>
      <c r="I29" s="22">
        <f t="shared" si="53"/>
        <v>153.53979079717979</v>
      </c>
      <c r="J29" s="23">
        <f t="shared" si="2"/>
        <v>2.3800000000000002E-3</v>
      </c>
      <c r="K29" s="21">
        <f t="shared" si="3"/>
        <v>0.28000000000000003</v>
      </c>
      <c r="L29" s="24">
        <f t="shared" si="4"/>
        <v>2.0719396890000001</v>
      </c>
      <c r="M29" s="25">
        <f t="shared" si="54"/>
        <v>4.89075818076636E-4</v>
      </c>
      <c r="N29" s="26">
        <f t="shared" si="55"/>
        <v>0.30824106181300587</v>
      </c>
      <c r="O29" s="26">
        <f t="shared" si="12"/>
        <v>281763849.79756558</v>
      </c>
      <c r="P29" s="22">
        <f t="shared" si="56"/>
        <v>1253.5136513728908</v>
      </c>
      <c r="Q29" s="21">
        <f t="shared" si="57"/>
        <v>4800</v>
      </c>
      <c r="R29" s="27">
        <f t="shared" si="25"/>
        <v>1.9889083268449868</v>
      </c>
      <c r="S29" s="28">
        <f t="shared" si="58"/>
        <v>1.0666715691433384</v>
      </c>
      <c r="T29" s="22">
        <f t="shared" si="59"/>
        <v>133.2599915179558</v>
      </c>
      <c r="U29">
        <v>80</v>
      </c>
      <c r="V29">
        <v>162.32843085666175</v>
      </c>
      <c r="W29" s="109">
        <f t="shared" si="7"/>
        <v>17659741.12372699</v>
      </c>
      <c r="X29">
        <f t="shared" si="8"/>
        <v>6.2675680845554554E-2</v>
      </c>
      <c r="Y29" s="109">
        <f t="shared" si="18"/>
        <v>17659741.12372699</v>
      </c>
      <c r="Z29" s="27">
        <f t="shared" si="14"/>
        <v>4.1208981001727132</v>
      </c>
    </row>
    <row r="30" spans="4:26" ht="15" thickBot="1" x14ac:dyDescent="0.4">
      <c r="D30" s="19" t="s">
        <v>95</v>
      </c>
      <c r="E30" s="20">
        <v>3</v>
      </c>
      <c r="F30" s="21">
        <v>1193</v>
      </c>
      <c r="G30" s="22">
        <f t="shared" si="52"/>
        <v>124.9306678577541</v>
      </c>
      <c r="H30" s="21">
        <f t="shared" si="1"/>
        <v>1.2290000000000001</v>
      </c>
      <c r="I30" s="22">
        <f t="shared" si="53"/>
        <v>153.53979079717979</v>
      </c>
      <c r="J30" s="23">
        <f t="shared" si="2"/>
        <v>2.3800000000000002E-3</v>
      </c>
      <c r="K30" s="21">
        <f t="shared" si="3"/>
        <v>0.28000000000000003</v>
      </c>
      <c r="L30" s="24">
        <f t="shared" si="4"/>
        <v>2.0719396890000001</v>
      </c>
      <c r="M30" s="25">
        <f t="shared" si="54"/>
        <v>4.89075818076636E-4</v>
      </c>
      <c r="N30" s="26">
        <f t="shared" si="55"/>
        <v>0.30824106181300587</v>
      </c>
      <c r="O30" s="26">
        <f t="shared" si="12"/>
        <v>316984331.02226126</v>
      </c>
      <c r="P30" s="22">
        <f t="shared" si="56"/>
        <v>1410.2028577945018</v>
      </c>
      <c r="Q30" s="21">
        <f t="shared" si="57"/>
        <v>5400</v>
      </c>
      <c r="R30" s="27">
        <f t="shared" si="25"/>
        <v>2.2375218677006097</v>
      </c>
      <c r="S30" s="28">
        <f t="shared" si="58"/>
        <v>1.0514459587455274</v>
      </c>
      <c r="T30" s="22">
        <f t="shared" si="59"/>
        <v>131.35784584241532</v>
      </c>
      <c r="U30">
        <v>90</v>
      </c>
      <c r="V30">
        <v>177.55404125447274</v>
      </c>
      <c r="W30" s="109">
        <f t="shared" si="7"/>
        <v>19304089.761817481</v>
      </c>
      <c r="X30">
        <f t="shared" si="8"/>
        <v>6.0899192397184415E-2</v>
      </c>
      <c r="Y30" s="109">
        <f t="shared" si="18"/>
        <v>19304089.761817478</v>
      </c>
      <c r="Z30" s="27">
        <f t="shared" si="14"/>
        <v>4.636010362694301</v>
      </c>
    </row>
    <row r="31" spans="4:26" ht="15" thickBot="1" x14ac:dyDescent="0.4">
      <c r="D31" s="19" t="s">
        <v>95</v>
      </c>
      <c r="E31" s="20">
        <v>3</v>
      </c>
      <c r="F31" s="21">
        <v>1193</v>
      </c>
      <c r="G31" s="22">
        <f t="shared" si="52"/>
        <v>124.9306678577541</v>
      </c>
      <c r="H31" s="21">
        <f t="shared" si="1"/>
        <v>1.2290000000000001</v>
      </c>
      <c r="I31" s="22">
        <f t="shared" si="53"/>
        <v>153.53979079717979</v>
      </c>
      <c r="J31" s="23">
        <f t="shared" si="2"/>
        <v>2.3800000000000002E-3</v>
      </c>
      <c r="K31" s="21">
        <f t="shared" si="3"/>
        <v>0.28000000000000003</v>
      </c>
      <c r="L31" s="24">
        <f t="shared" si="4"/>
        <v>2.0719396890000001</v>
      </c>
      <c r="M31" s="25">
        <f t="shared" si="54"/>
        <v>4.89075818076636E-4</v>
      </c>
      <c r="N31" s="26">
        <f t="shared" si="55"/>
        <v>0.30824106181300587</v>
      </c>
      <c r="O31" s="26">
        <f t="shared" si="12"/>
        <v>352204812.24695694</v>
      </c>
      <c r="P31" s="22">
        <f t="shared" si="56"/>
        <v>1566.8920642161133</v>
      </c>
      <c r="Q31" s="21">
        <f t="shared" si="57"/>
        <v>6000</v>
      </c>
      <c r="R31" s="27">
        <f t="shared" si="25"/>
        <v>2.4861354085562333</v>
      </c>
      <c r="S31" s="28">
        <f t="shared" si="58"/>
        <v>1.0209947379499054</v>
      </c>
      <c r="T31" s="22">
        <f t="shared" si="59"/>
        <v>127.55355449133431</v>
      </c>
      <c r="U31">
        <v>100</v>
      </c>
      <c r="V31">
        <v>208.0052620500947</v>
      </c>
      <c r="W31" s="109">
        <f t="shared" si="7"/>
        <v>20224598.756835319</v>
      </c>
      <c r="X31">
        <f t="shared" si="8"/>
        <v>5.7422834821048249E-2</v>
      </c>
      <c r="Y31" s="109">
        <f t="shared" si="18"/>
        <v>20224598.756835323</v>
      </c>
      <c r="Z31" s="27">
        <f t="shared" si="14"/>
        <v>5.1511226252158906</v>
      </c>
    </row>
    <row r="32" spans="4:26" ht="15" thickBot="1" x14ac:dyDescent="0.4">
      <c r="D32" s="19" t="s">
        <v>96</v>
      </c>
      <c r="E32" s="20">
        <v>1</v>
      </c>
      <c r="F32" s="21">
        <v>996</v>
      </c>
      <c r="G32" s="22">
        <f t="shared" ref="G32" si="60">F32/60*2*PI()</f>
        <v>104.30087609918114</v>
      </c>
      <c r="H32" s="21">
        <f t="shared" si="1"/>
        <v>1.2290000000000001</v>
      </c>
      <c r="I32" s="22">
        <f t="shared" ref="I32" si="61">G32*H32</f>
        <v>128.18577672589362</v>
      </c>
      <c r="J32" s="23">
        <f t="shared" si="2"/>
        <v>2.3800000000000002E-3</v>
      </c>
      <c r="K32" s="21">
        <f t="shared" si="3"/>
        <v>0.28000000000000003</v>
      </c>
      <c r="L32" s="24">
        <f t="shared" si="4"/>
        <v>2.0719396890000001</v>
      </c>
      <c r="M32" s="25">
        <f t="shared" ref="M32" si="62">($R$2*G32)/($S$2*($D$2-$E$2)*$L$2)</f>
        <v>4.0831476513355369E-4</v>
      </c>
      <c r="N32" s="26">
        <f t="shared" ref="N32" si="63">3/(2*$J$2)*M32</f>
        <v>0.2573412385295506</v>
      </c>
      <c r="O32" s="26">
        <f t="shared" si="12"/>
        <v>573388253.43339479</v>
      </c>
      <c r="P32" s="22">
        <f t="shared" ref="P32" si="64">(3/(2*$J$2))*R32</f>
        <v>2550.8950269241709</v>
      </c>
      <c r="Q32" s="21">
        <f t="shared" ref="Q32" si="65">U32*60</f>
        <v>11700</v>
      </c>
      <c r="R32" s="27">
        <f t="shared" si="25"/>
        <v>4.0474201093863513</v>
      </c>
      <c r="S32" s="28">
        <f t="shared" ref="S32" si="66">$S$6-V32/1000</f>
        <v>1.1644855072463769</v>
      </c>
      <c r="T32" s="22">
        <f t="shared" ref="T32" si="67">G32*S32</f>
        <v>121.45685861059646</v>
      </c>
      <c r="U32">
        <v>195</v>
      </c>
      <c r="V32">
        <v>64.514492753623188</v>
      </c>
      <c r="W32" s="109">
        <f t="shared" si="7"/>
        <v>29853302.245149177</v>
      </c>
      <c r="X32">
        <f t="shared" si="8"/>
        <v>5.2064725892779315E-2</v>
      </c>
      <c r="Y32" s="109">
        <f t="shared" si="18"/>
        <v>29853302.245149177</v>
      </c>
      <c r="Z32" s="27">
        <f t="shared" si="14"/>
        <v>8.3860103626943037</v>
      </c>
    </row>
    <row r="33" spans="4:26" ht="15" thickBot="1" x14ac:dyDescent="0.4">
      <c r="D33" s="19" t="s">
        <v>96</v>
      </c>
      <c r="E33" s="20">
        <v>1</v>
      </c>
      <c r="F33" s="21">
        <v>996</v>
      </c>
      <c r="G33" s="22">
        <f t="shared" ref="G33:G35" si="68">F33/60*2*PI()</f>
        <v>104.30087609918114</v>
      </c>
      <c r="H33" s="21">
        <f t="shared" si="1"/>
        <v>1.2290000000000001</v>
      </c>
      <c r="I33" s="22">
        <f t="shared" ref="I33:I35" si="69">G33*H33</f>
        <v>128.18577672589362</v>
      </c>
      <c r="J33" s="23">
        <f t="shared" si="2"/>
        <v>2.3800000000000002E-3</v>
      </c>
      <c r="K33" s="21">
        <f t="shared" si="3"/>
        <v>0.28000000000000003</v>
      </c>
      <c r="L33" s="24">
        <f t="shared" si="4"/>
        <v>2.0719396890000001</v>
      </c>
      <c r="M33" s="25">
        <f t="shared" ref="M33:M35" si="70">($R$2*G33)/($S$2*($D$2-$E$2)*$L$2)</f>
        <v>4.0831476513355369E-4</v>
      </c>
      <c r="N33" s="26">
        <f t="shared" ref="N33:N35" si="71">3/(2*$J$2)*M33</f>
        <v>0.2573412385295506</v>
      </c>
      <c r="O33" s="26">
        <f t="shared" si="12"/>
        <v>661601830.88468611</v>
      </c>
      <c r="P33" s="22">
        <f t="shared" ref="P33:P35" si="72">(3/(2*$J$2))*R33</f>
        <v>2943.3404156817351</v>
      </c>
      <c r="Q33" s="21">
        <f t="shared" ref="Q33:Q35" si="73">U33*60</f>
        <v>13500</v>
      </c>
      <c r="R33" s="27">
        <f t="shared" si="25"/>
        <v>4.6701001262150204</v>
      </c>
      <c r="S33" s="28">
        <f t="shared" ref="S33:S35" si="74">$S$6-V33/1000</f>
        <v>1.1362019796261291</v>
      </c>
      <c r="T33" s="22">
        <f t="shared" ref="T33:T35" si="75">G33*S33</f>
        <v>118.50686190062923</v>
      </c>
      <c r="U33">
        <v>225</v>
      </c>
      <c r="V33">
        <v>92.798020373871026</v>
      </c>
      <c r="W33" s="109">
        <f t="shared" si="7"/>
        <v>32793154.281533718</v>
      </c>
      <c r="X33">
        <f t="shared" si="8"/>
        <v>4.9566299170730986E-2</v>
      </c>
      <c r="Y33" s="109">
        <f t="shared" si="18"/>
        <v>32793154.281533722</v>
      </c>
      <c r="Z33" s="27">
        <f t="shared" si="14"/>
        <v>9.6761658031088107</v>
      </c>
    </row>
    <row r="34" spans="4:26" ht="15" thickBot="1" x14ac:dyDescent="0.4">
      <c r="D34" s="19" t="s">
        <v>96</v>
      </c>
      <c r="E34" s="20">
        <v>1</v>
      </c>
      <c r="F34" s="21">
        <v>996</v>
      </c>
      <c r="G34" s="22">
        <f t="shared" si="68"/>
        <v>104.30087609918114</v>
      </c>
      <c r="H34" s="21">
        <f t="shared" si="1"/>
        <v>1.2290000000000001</v>
      </c>
      <c r="I34" s="22">
        <f t="shared" si="69"/>
        <v>128.18577672589362</v>
      </c>
      <c r="J34" s="23">
        <f t="shared" si="2"/>
        <v>2.3800000000000002E-3</v>
      </c>
      <c r="K34" s="21">
        <f t="shared" si="3"/>
        <v>0.28000000000000003</v>
      </c>
      <c r="L34" s="24">
        <f t="shared" si="4"/>
        <v>2.0719396890000001</v>
      </c>
      <c r="M34" s="25">
        <f t="shared" si="70"/>
        <v>4.0831476513355369E-4</v>
      </c>
      <c r="N34" s="26">
        <f t="shared" si="71"/>
        <v>0.2573412385295506</v>
      </c>
      <c r="O34" s="26">
        <f t="shared" si="12"/>
        <v>705708619.61033213</v>
      </c>
      <c r="P34" s="22">
        <f t="shared" si="72"/>
        <v>3139.5631100605183</v>
      </c>
      <c r="Q34" s="21">
        <f t="shared" si="73"/>
        <v>14400</v>
      </c>
      <c r="R34" s="27">
        <f t="shared" si="25"/>
        <v>4.9814401346293558</v>
      </c>
      <c r="S34" s="28">
        <f t="shared" si="74"/>
        <v>1.0973997847090948</v>
      </c>
      <c r="T34" s="22">
        <f t="shared" si="75"/>
        <v>114.45975897621136</v>
      </c>
      <c r="U34">
        <v>240</v>
      </c>
      <c r="V34">
        <v>131.60021529090525</v>
      </c>
      <c r="W34" s="109">
        <f t="shared" si="7"/>
        <v>32631014.326100044</v>
      </c>
      <c r="X34">
        <f t="shared" si="8"/>
        <v>4.6238650654597022E-2</v>
      </c>
      <c r="Y34" s="109">
        <f t="shared" si="18"/>
        <v>32631014.326100044</v>
      </c>
      <c r="Z34" s="27">
        <f t="shared" si="14"/>
        <v>10.321243523316067</v>
      </c>
    </row>
    <row r="35" spans="4:26" ht="15" thickBot="1" x14ac:dyDescent="0.4">
      <c r="D35" s="19" t="s">
        <v>96</v>
      </c>
      <c r="E35" s="20">
        <v>1</v>
      </c>
      <c r="F35" s="21">
        <v>996</v>
      </c>
      <c r="G35" s="22">
        <f t="shared" si="68"/>
        <v>104.30087609918114</v>
      </c>
      <c r="H35" s="21">
        <f t="shared" si="1"/>
        <v>1.2290000000000001</v>
      </c>
      <c r="I35" s="22">
        <f t="shared" si="69"/>
        <v>128.18577672589362</v>
      </c>
      <c r="J35" s="23">
        <f t="shared" si="2"/>
        <v>2.3800000000000002E-3</v>
      </c>
      <c r="K35" s="21">
        <f t="shared" si="3"/>
        <v>0.28000000000000003</v>
      </c>
      <c r="L35" s="24">
        <f t="shared" si="4"/>
        <v>2.0719396890000001</v>
      </c>
      <c r="M35" s="25">
        <f t="shared" si="70"/>
        <v>4.0831476513355369E-4</v>
      </c>
      <c r="N35" s="26">
        <f t="shared" si="71"/>
        <v>0.2573412385295506</v>
      </c>
      <c r="O35" s="26">
        <f t="shared" si="12"/>
        <v>1014456140.6898522</v>
      </c>
      <c r="P35" s="22">
        <f t="shared" si="72"/>
        <v>4513.1219707119944</v>
      </c>
      <c r="Q35" s="21">
        <f t="shared" si="73"/>
        <v>20700</v>
      </c>
      <c r="R35" s="27">
        <f t="shared" si="25"/>
        <v>7.1608201935296982</v>
      </c>
      <c r="S35" s="28">
        <f t="shared" si="74"/>
        <v>1.0779986872505778</v>
      </c>
      <c r="T35" s="22">
        <f t="shared" si="75"/>
        <v>112.43620751400243</v>
      </c>
      <c r="U35">
        <v>345</v>
      </c>
      <c r="V35">
        <v>151.00131274942237</v>
      </c>
      <c r="W35" s="109">
        <f t="shared" si="7"/>
        <v>45263189.123875178</v>
      </c>
      <c r="X35">
        <f t="shared" si="8"/>
        <v>4.4618182401749994E-2</v>
      </c>
      <c r="Y35" s="109">
        <f t="shared" si="18"/>
        <v>45263189.123875178</v>
      </c>
      <c r="Z35" s="27">
        <f t="shared" si="14"/>
        <v>14.836787564766846</v>
      </c>
    </row>
    <row r="36" spans="4:26" ht="15" thickBot="1" x14ac:dyDescent="0.4">
      <c r="D36" s="19" t="s">
        <v>96</v>
      </c>
      <c r="E36" s="20">
        <v>2</v>
      </c>
      <c r="F36" s="21">
        <v>996</v>
      </c>
      <c r="G36" s="22">
        <f t="shared" ref="G36:G49" si="76">F36/60*2*PI()</f>
        <v>104.30087609918114</v>
      </c>
      <c r="H36" s="21">
        <f t="shared" si="1"/>
        <v>1.2290000000000001</v>
      </c>
      <c r="I36" s="22">
        <f t="shared" ref="I36:I49" si="77">G36*H36</f>
        <v>128.18577672589362</v>
      </c>
      <c r="J36" s="23">
        <f t="shared" si="2"/>
        <v>2.3800000000000002E-3</v>
      </c>
      <c r="K36" s="21">
        <f t="shared" si="3"/>
        <v>0.28000000000000003</v>
      </c>
      <c r="L36" s="24">
        <f t="shared" si="4"/>
        <v>2.0719396890000001</v>
      </c>
      <c r="M36" s="25">
        <f t="shared" ref="M36:M48" si="78">($R$2*G36)/($S$2*($D$2-$E$2)*$L$2)</f>
        <v>4.0831476513355369E-4</v>
      </c>
      <c r="N36" s="26">
        <f t="shared" ref="N36:N49" si="79">3/(2*$J$2)*M36</f>
        <v>0.2573412385295506</v>
      </c>
      <c r="O36" s="26">
        <f t="shared" si="12"/>
        <v>485174675.98210317</v>
      </c>
      <c r="P36" s="22">
        <f t="shared" ref="P36:P49" si="80">(3/(2*$J$2))*R36</f>
        <v>2158.4496381666058</v>
      </c>
      <c r="Q36" s="21">
        <f t="shared" ref="Q36:Q49" si="81">U36*60</f>
        <v>9900</v>
      </c>
      <c r="R36" s="27">
        <f t="shared" si="25"/>
        <v>3.4247400925576819</v>
      </c>
      <c r="S36" s="28">
        <f t="shared" ref="S36:S49" si="82">$S$6-V36/1000</f>
        <v>1.1780214856062199</v>
      </c>
      <c r="T36" s="22">
        <f t="shared" ref="T36:T49" si="83">G36*S36</f>
        <v>122.86867301238763</v>
      </c>
      <c r="U36">
        <v>165</v>
      </c>
      <c r="V36">
        <v>50.978514393780195</v>
      </c>
      <c r="W36" s="109">
        <f t="shared" si="7"/>
        <v>25851155.384653624</v>
      </c>
      <c r="X36">
        <f t="shared" si="8"/>
        <v>5.3282161383062798E-2</v>
      </c>
      <c r="Y36" s="109">
        <f t="shared" si="18"/>
        <v>25851155.384653628</v>
      </c>
      <c r="Z36" s="27">
        <f t="shared" si="14"/>
        <v>7.0958549222797958</v>
      </c>
    </row>
    <row r="37" spans="4:26" ht="15" thickBot="1" x14ac:dyDescent="0.4">
      <c r="D37" s="19" t="s">
        <v>96</v>
      </c>
      <c r="E37" s="20">
        <v>2</v>
      </c>
      <c r="F37" s="21">
        <v>996</v>
      </c>
      <c r="G37" s="22">
        <f t="shared" si="76"/>
        <v>104.30087609918114</v>
      </c>
      <c r="H37" s="21">
        <f t="shared" si="1"/>
        <v>1.2290000000000001</v>
      </c>
      <c r="I37" s="22">
        <f t="shared" si="77"/>
        <v>128.18577672589362</v>
      </c>
      <c r="J37" s="23">
        <f t="shared" si="2"/>
        <v>2.3800000000000002E-3</v>
      </c>
      <c r="K37" s="21">
        <f t="shared" si="3"/>
        <v>0.28000000000000003</v>
      </c>
      <c r="L37" s="24">
        <f t="shared" si="4"/>
        <v>2.0719396890000001</v>
      </c>
      <c r="M37" s="25">
        <f t="shared" si="78"/>
        <v>4.0831476513355369E-4</v>
      </c>
      <c r="N37" s="26">
        <f t="shared" si="79"/>
        <v>0.2573412385295506</v>
      </c>
      <c r="O37" s="26">
        <f t="shared" si="12"/>
        <v>529281464.70774895</v>
      </c>
      <c r="P37" s="22">
        <f t="shared" si="80"/>
        <v>2354.6723325453881</v>
      </c>
      <c r="Q37" s="21">
        <f t="shared" si="81"/>
        <v>10800</v>
      </c>
      <c r="R37" s="27">
        <f t="shared" si="25"/>
        <v>3.7360801009720164</v>
      </c>
      <c r="S37" s="28">
        <f t="shared" si="82"/>
        <v>1.1553383851649508</v>
      </c>
      <c r="T37" s="22">
        <f t="shared" si="83"/>
        <v>120.50280576371755</v>
      </c>
      <c r="U37">
        <v>180</v>
      </c>
      <c r="V37">
        <v>73.661614835049363</v>
      </c>
      <c r="W37" s="109">
        <f t="shared" si="7"/>
        <v>27125671.706013426</v>
      </c>
      <c r="X37">
        <f t="shared" si="8"/>
        <v>5.1249993651282105E-2</v>
      </c>
      <c r="Y37" s="109">
        <f t="shared" si="18"/>
        <v>27125671.706013422</v>
      </c>
      <c r="Z37" s="27">
        <f t="shared" si="14"/>
        <v>7.7409326424870493</v>
      </c>
    </row>
    <row r="38" spans="4:26" ht="15" thickBot="1" x14ac:dyDescent="0.4">
      <c r="D38" s="19" t="s">
        <v>96</v>
      </c>
      <c r="E38" s="20">
        <v>2</v>
      </c>
      <c r="F38" s="21">
        <v>996</v>
      </c>
      <c r="G38" s="22">
        <f t="shared" si="76"/>
        <v>104.30087609918114</v>
      </c>
      <c r="H38" s="21">
        <f t="shared" si="1"/>
        <v>1.2290000000000001</v>
      </c>
      <c r="I38" s="22">
        <f t="shared" si="77"/>
        <v>128.18577672589362</v>
      </c>
      <c r="J38" s="23">
        <f t="shared" si="2"/>
        <v>2.3800000000000002E-3</v>
      </c>
      <c r="K38" s="21">
        <f t="shared" si="3"/>
        <v>0.28000000000000003</v>
      </c>
      <c r="L38" s="24">
        <f t="shared" si="4"/>
        <v>2.0719396890000001</v>
      </c>
      <c r="M38" s="25">
        <f t="shared" si="78"/>
        <v>4.0831476513355369E-4</v>
      </c>
      <c r="N38" s="26">
        <f t="shared" si="79"/>
        <v>0.2573412385295506</v>
      </c>
      <c r="O38" s="26">
        <f t="shared" si="12"/>
        <v>573388253.43339479</v>
      </c>
      <c r="P38" s="22">
        <f t="shared" si="80"/>
        <v>2550.8950269241709</v>
      </c>
      <c r="Q38" s="21">
        <f t="shared" si="81"/>
        <v>11700</v>
      </c>
      <c r="R38" s="27">
        <f t="shared" si="25"/>
        <v>4.0474201093863513</v>
      </c>
      <c r="S38" s="28">
        <f t="shared" si="82"/>
        <v>1.1476214540869931</v>
      </c>
      <c r="T38" s="22">
        <f t="shared" si="83"/>
        <v>119.69792309148957</v>
      </c>
      <c r="U38">
        <v>195</v>
      </c>
      <c r="V38">
        <v>81.378545913006917</v>
      </c>
      <c r="W38" s="109">
        <f t="shared" si="7"/>
        <v>28994893.593562044</v>
      </c>
      <c r="X38">
        <f t="shared" si="8"/>
        <v>5.0567644907169543E-2</v>
      </c>
      <c r="Y38" s="109">
        <f t="shared" si="18"/>
        <v>28994893.593562037</v>
      </c>
      <c r="Z38" s="27">
        <f t="shared" si="14"/>
        <v>8.3860103626943037</v>
      </c>
    </row>
    <row r="39" spans="4:26" ht="15" thickBot="1" x14ac:dyDescent="0.4">
      <c r="D39" s="19" t="s">
        <v>96</v>
      </c>
      <c r="E39" s="20">
        <v>2</v>
      </c>
      <c r="F39" s="21">
        <v>996</v>
      </c>
      <c r="G39" s="22">
        <f t="shared" si="76"/>
        <v>104.30087609918114</v>
      </c>
      <c r="H39" s="21">
        <f t="shared" si="1"/>
        <v>1.2290000000000001</v>
      </c>
      <c r="I39" s="22">
        <f t="shared" si="77"/>
        <v>128.18577672589362</v>
      </c>
      <c r="J39" s="23">
        <f t="shared" si="2"/>
        <v>2.3800000000000002E-3</v>
      </c>
      <c r="K39" s="21">
        <f t="shared" si="3"/>
        <v>0.28000000000000003</v>
      </c>
      <c r="L39" s="24">
        <f t="shared" si="4"/>
        <v>2.0719396890000001</v>
      </c>
      <c r="M39" s="25">
        <f t="shared" si="78"/>
        <v>4.0831476513355369E-4</v>
      </c>
      <c r="N39" s="26">
        <f t="shared" si="79"/>
        <v>0.2573412385295506</v>
      </c>
      <c r="O39" s="26">
        <f t="shared" si="12"/>
        <v>617495042.15904045</v>
      </c>
      <c r="P39" s="22">
        <f t="shared" si="80"/>
        <v>2747.1177213029532</v>
      </c>
      <c r="Q39" s="21">
        <f t="shared" si="81"/>
        <v>12600</v>
      </c>
      <c r="R39" s="27">
        <f t="shared" si="25"/>
        <v>4.3587601178006858</v>
      </c>
      <c r="S39" s="28">
        <f t="shared" si="82"/>
        <v>1.1148829586047491</v>
      </c>
      <c r="T39" s="22">
        <f t="shared" si="83"/>
        <v>116.28326933052243</v>
      </c>
      <c r="U39">
        <v>210</v>
      </c>
      <c r="V39">
        <v>114.11704139525108</v>
      </c>
      <c r="W39" s="109">
        <f t="shared" si="7"/>
        <v>29469138.504333045</v>
      </c>
      <c r="X39">
        <f t="shared" si="8"/>
        <v>4.7723684389911342E-2</v>
      </c>
      <c r="Y39" s="109">
        <f t="shared" si="18"/>
        <v>29469138.504333049</v>
      </c>
      <c r="Z39" s="27">
        <f t="shared" si="14"/>
        <v>9.0310880829015581</v>
      </c>
    </row>
    <row r="40" spans="4:26" ht="15" thickBot="1" x14ac:dyDescent="0.4">
      <c r="D40" s="19" t="s">
        <v>96</v>
      </c>
      <c r="E40" s="20">
        <v>2</v>
      </c>
      <c r="F40" s="21">
        <v>996</v>
      </c>
      <c r="G40" s="22">
        <f t="shared" si="76"/>
        <v>104.30087609918114</v>
      </c>
      <c r="H40" s="21">
        <f t="shared" si="1"/>
        <v>1.2290000000000001</v>
      </c>
      <c r="I40" s="22">
        <f>G40*H40</f>
        <v>128.18577672589362</v>
      </c>
      <c r="J40" s="23">
        <f t="shared" si="2"/>
        <v>2.3800000000000002E-3</v>
      </c>
      <c r="K40" s="21">
        <f t="shared" si="3"/>
        <v>0.28000000000000003</v>
      </c>
      <c r="L40" s="24">
        <f t="shared" si="4"/>
        <v>2.0719396890000001</v>
      </c>
      <c r="M40" s="25">
        <f t="shared" si="78"/>
        <v>4.0831476513355369E-4</v>
      </c>
      <c r="N40" s="26">
        <f t="shared" si="79"/>
        <v>0.2573412385295506</v>
      </c>
      <c r="O40" s="26">
        <f t="shared" si="12"/>
        <v>661601830.88468611</v>
      </c>
      <c r="P40" s="22">
        <f t="shared" si="80"/>
        <v>2943.3404156817351</v>
      </c>
      <c r="Q40" s="21">
        <f t="shared" si="81"/>
        <v>13500</v>
      </c>
      <c r="R40" s="27">
        <f t="shared" si="25"/>
        <v>4.6701001262150204</v>
      </c>
      <c r="S40" s="28">
        <f t="shared" si="82"/>
        <v>1.0786367671779786</v>
      </c>
      <c r="T40" s="22">
        <f t="shared" si="83"/>
        <v>112.50275980945165</v>
      </c>
      <c r="U40">
        <v>225</v>
      </c>
      <c r="V40">
        <v>150.36323282202142</v>
      </c>
      <c r="W40" s="109">
        <f t="shared" si="7"/>
        <v>29554427.344967149</v>
      </c>
      <c r="X40">
        <f t="shared" si="8"/>
        <v>4.4671018073585617E-2</v>
      </c>
      <c r="Y40" s="109">
        <f t="shared" si="18"/>
        <v>29554427.344967145</v>
      </c>
      <c r="Z40" s="27">
        <f t="shared" si="14"/>
        <v>9.6761658031088107</v>
      </c>
    </row>
    <row r="41" spans="4:26" ht="15" thickBot="1" x14ac:dyDescent="0.4">
      <c r="D41" s="19" t="s">
        <v>96</v>
      </c>
      <c r="E41" s="20">
        <v>2</v>
      </c>
      <c r="F41" s="21">
        <v>996</v>
      </c>
      <c r="G41" s="22">
        <f t="shared" si="76"/>
        <v>104.30087609918114</v>
      </c>
      <c r="H41" s="21">
        <f t="shared" si="1"/>
        <v>1.2290000000000001</v>
      </c>
      <c r="I41" s="22">
        <f t="shared" si="77"/>
        <v>128.18577672589362</v>
      </c>
      <c r="J41" s="23">
        <f t="shared" si="2"/>
        <v>2.3800000000000002E-3</v>
      </c>
      <c r="K41" s="21">
        <f t="shared" si="3"/>
        <v>0.28000000000000003</v>
      </c>
      <c r="L41" s="24">
        <f t="shared" si="4"/>
        <v>2.0719396890000001</v>
      </c>
      <c r="M41" s="25">
        <f t="shared" si="78"/>
        <v>4.0831476513355369E-4</v>
      </c>
      <c r="N41" s="26">
        <f t="shared" si="79"/>
        <v>0.2573412385295506</v>
      </c>
      <c r="O41" s="26">
        <f t="shared" si="12"/>
        <v>882135774.51291502</v>
      </c>
      <c r="P41" s="22">
        <f t="shared" si="80"/>
        <v>3924.4538875756475</v>
      </c>
      <c r="Q41" s="21">
        <f t="shared" si="81"/>
        <v>18000</v>
      </c>
      <c r="R41" s="27">
        <f t="shared" si="25"/>
        <v>6.2268001682866947</v>
      </c>
      <c r="S41" s="28">
        <f t="shared" si="82"/>
        <v>1.0620336730405548</v>
      </c>
      <c r="T41" s="22">
        <f t="shared" si="83"/>
        <v>110.77104254496116</v>
      </c>
      <c r="U41">
        <v>300</v>
      </c>
      <c r="V41">
        <v>166.96632695944524</v>
      </c>
      <c r="W41" s="109">
        <f t="shared" si="7"/>
        <v>38202116.018411316</v>
      </c>
      <c r="X41">
        <f t="shared" si="8"/>
        <v>4.3306390152360853E-2</v>
      </c>
      <c r="Y41" s="109">
        <f t="shared" si="18"/>
        <v>38202116.018411323</v>
      </c>
      <c r="Z41" s="27">
        <f t="shared" si="14"/>
        <v>12.901554404145083</v>
      </c>
    </row>
    <row r="42" spans="4:26" ht="15" thickBot="1" x14ac:dyDescent="0.4">
      <c r="D42" s="19" t="s">
        <v>96</v>
      </c>
      <c r="E42" s="20">
        <v>2</v>
      </c>
      <c r="F42" s="21">
        <v>996</v>
      </c>
      <c r="G42" s="22">
        <f t="shared" si="76"/>
        <v>104.30087609918114</v>
      </c>
      <c r="H42" s="21">
        <f t="shared" si="1"/>
        <v>1.2290000000000001</v>
      </c>
      <c r="I42" s="22">
        <f t="shared" si="77"/>
        <v>128.18577672589362</v>
      </c>
      <c r="J42" s="23">
        <f t="shared" si="2"/>
        <v>2.3800000000000002E-3</v>
      </c>
      <c r="K42" s="21">
        <f t="shared" si="3"/>
        <v>0.28000000000000003</v>
      </c>
      <c r="L42" s="24">
        <f t="shared" si="4"/>
        <v>2.0719396890000001</v>
      </c>
      <c r="M42" s="25">
        <f t="shared" si="78"/>
        <v>4.0831476513355369E-4</v>
      </c>
      <c r="N42" s="26">
        <f t="shared" si="79"/>
        <v>0.2573412385295506</v>
      </c>
      <c r="O42" s="26">
        <f t="shared" si="12"/>
        <v>1014456140.6898522</v>
      </c>
      <c r="P42" s="22">
        <f t="shared" si="80"/>
        <v>4513.1219707119944</v>
      </c>
      <c r="Q42" s="21">
        <f t="shared" si="81"/>
        <v>20700</v>
      </c>
      <c r="R42" s="27">
        <f t="shared" si="25"/>
        <v>7.1608201935296982</v>
      </c>
      <c r="S42" s="28">
        <f t="shared" si="82"/>
        <v>1.0337382590880437</v>
      </c>
      <c r="T42" s="22">
        <f t="shared" si="83"/>
        <v>107.81980608012526</v>
      </c>
      <c r="U42">
        <v>345</v>
      </c>
      <c r="V42">
        <v>195.26174091195631</v>
      </c>
      <c r="W42" s="109">
        <f t="shared" si="7"/>
        <v>41622663.307938986</v>
      </c>
      <c r="X42">
        <f t="shared" si="8"/>
        <v>4.1029534583559887E-2</v>
      </c>
      <c r="Y42" s="109">
        <f t="shared" si="18"/>
        <v>41622663.307938986</v>
      </c>
      <c r="Z42" s="27">
        <f t="shared" si="14"/>
        <v>14.836787564766846</v>
      </c>
    </row>
    <row r="43" spans="4:26" ht="15" thickBot="1" x14ac:dyDescent="0.4">
      <c r="D43" s="19" t="s">
        <v>96</v>
      </c>
      <c r="E43" s="20">
        <v>3</v>
      </c>
      <c r="F43" s="21">
        <v>996</v>
      </c>
      <c r="G43" s="22">
        <f t="shared" si="76"/>
        <v>104.30087609918114</v>
      </c>
      <c r="H43" s="21">
        <f t="shared" si="1"/>
        <v>1.2290000000000001</v>
      </c>
      <c r="I43" s="22">
        <f t="shared" si="77"/>
        <v>128.18577672589362</v>
      </c>
      <c r="J43" s="23">
        <f t="shared" si="2"/>
        <v>2.3800000000000002E-3</v>
      </c>
      <c r="K43" s="21">
        <f t="shared" si="3"/>
        <v>0.28000000000000003</v>
      </c>
      <c r="L43" s="24">
        <f t="shared" si="4"/>
        <v>2.0719396890000001</v>
      </c>
      <c r="M43" s="25">
        <f t="shared" si="78"/>
        <v>4.0831476513355369E-4</v>
      </c>
      <c r="N43" s="26">
        <f t="shared" si="79"/>
        <v>0.2573412385295506</v>
      </c>
      <c r="O43" s="26">
        <f t="shared" si="12"/>
        <v>441067887.25645751</v>
      </c>
      <c r="P43" s="22">
        <f t="shared" si="80"/>
        <v>1962.2269437878238</v>
      </c>
      <c r="Q43" s="21">
        <f t="shared" si="81"/>
        <v>9000</v>
      </c>
      <c r="R43" s="27">
        <f t="shared" si="25"/>
        <v>3.1134000841433473</v>
      </c>
      <c r="S43" s="28">
        <f t="shared" si="82"/>
        <v>1.1838676455137636</v>
      </c>
      <c r="T43" s="22">
        <f t="shared" si="83"/>
        <v>123.47843261256035</v>
      </c>
      <c r="U43">
        <v>150</v>
      </c>
      <c r="V43">
        <v>45.132354486236594</v>
      </c>
      <c r="W43" s="109">
        <f t="shared" si="7"/>
        <v>23734886.174415272</v>
      </c>
      <c r="X43">
        <f t="shared" si="8"/>
        <v>5.3812319736201285E-2</v>
      </c>
      <c r="Y43" s="109">
        <f t="shared" si="18"/>
        <v>23734886.174415272</v>
      </c>
      <c r="Z43" s="27">
        <f t="shared" si="14"/>
        <v>6.4507772020725413</v>
      </c>
    </row>
    <row r="44" spans="4:26" ht="15" thickBot="1" x14ac:dyDescent="0.4">
      <c r="D44" s="19" t="s">
        <v>96</v>
      </c>
      <c r="E44" s="20">
        <v>1</v>
      </c>
      <c r="F44" s="21">
        <v>996</v>
      </c>
      <c r="G44" s="22">
        <f t="shared" si="76"/>
        <v>104.30087609918114</v>
      </c>
      <c r="H44" s="21">
        <f t="shared" si="1"/>
        <v>1.2290000000000001</v>
      </c>
      <c r="I44" s="22">
        <f t="shared" si="77"/>
        <v>128.18577672589362</v>
      </c>
      <c r="J44" s="23">
        <f t="shared" si="2"/>
        <v>2.3800000000000002E-3</v>
      </c>
      <c r="K44" s="21">
        <f t="shared" si="3"/>
        <v>0.28000000000000003</v>
      </c>
      <c r="L44" s="24">
        <f t="shared" si="4"/>
        <v>2.0719396890000001</v>
      </c>
      <c r="M44" s="25">
        <f t="shared" si="78"/>
        <v>4.0831476513355369E-4</v>
      </c>
      <c r="N44" s="26">
        <f t="shared" si="79"/>
        <v>0.2573412385295506</v>
      </c>
      <c r="O44" s="26">
        <f t="shared" si="12"/>
        <v>485174675.98210317</v>
      </c>
      <c r="P44" s="22">
        <f t="shared" si="80"/>
        <v>2158.4496381666058</v>
      </c>
      <c r="Q44" s="21">
        <f t="shared" si="81"/>
        <v>9900</v>
      </c>
      <c r="R44" s="27">
        <f t="shared" si="25"/>
        <v>3.4247400925576819</v>
      </c>
      <c r="S44" s="28">
        <f t="shared" si="82"/>
        <v>1.1656276266022274</v>
      </c>
      <c r="T44" s="22">
        <f t="shared" si="83"/>
        <v>121.5759826600215</v>
      </c>
      <c r="U44">
        <v>165</v>
      </c>
      <c r="V44">
        <v>63.372373397772634</v>
      </c>
      <c r="W44" s="109">
        <f t="shared" si="7"/>
        <v>25310061.436563414</v>
      </c>
      <c r="X44">
        <f t="shared" si="8"/>
        <v>5.2166905425000035E-2</v>
      </c>
      <c r="Y44" s="109">
        <f t="shared" si="18"/>
        <v>25310061.436563414</v>
      </c>
      <c r="Z44" s="27">
        <f t="shared" si="14"/>
        <v>7.0958549222797958</v>
      </c>
    </row>
    <row r="45" spans="4:26" ht="15" thickBot="1" x14ac:dyDescent="0.4">
      <c r="D45" s="19" t="s">
        <v>96</v>
      </c>
      <c r="E45" s="20">
        <v>1</v>
      </c>
      <c r="F45" s="21">
        <v>996</v>
      </c>
      <c r="G45" s="22">
        <f t="shared" si="76"/>
        <v>104.30087609918114</v>
      </c>
      <c r="H45" s="21">
        <f t="shared" si="1"/>
        <v>1.2290000000000001</v>
      </c>
      <c r="I45" s="22">
        <f t="shared" si="77"/>
        <v>128.18577672589362</v>
      </c>
      <c r="J45" s="23">
        <f t="shared" si="2"/>
        <v>2.3800000000000002E-3</v>
      </c>
      <c r="K45" s="21">
        <f t="shared" si="3"/>
        <v>0.28000000000000003</v>
      </c>
      <c r="L45" s="24">
        <f t="shared" si="4"/>
        <v>2.0719396890000001</v>
      </c>
      <c r="M45" s="25">
        <f t="shared" si="78"/>
        <v>4.0831476513355369E-4</v>
      </c>
      <c r="N45" s="26">
        <f t="shared" si="79"/>
        <v>0.2573412385295506</v>
      </c>
      <c r="O45" s="26">
        <f t="shared" si="12"/>
        <v>529281464.70774895</v>
      </c>
      <c r="P45" s="22">
        <f t="shared" si="80"/>
        <v>2354.6723325453881</v>
      </c>
      <c r="Q45" s="21">
        <f t="shared" si="81"/>
        <v>10800</v>
      </c>
      <c r="R45" s="27">
        <f t="shared" si="25"/>
        <v>3.7360801009720164</v>
      </c>
      <c r="S45" s="28">
        <f t="shared" si="82"/>
        <v>1.1548706923723473</v>
      </c>
      <c r="T45" s="22">
        <f t="shared" si="83"/>
        <v>120.45402499570373</v>
      </c>
      <c r="U45">
        <v>180</v>
      </c>
      <c r="V45">
        <v>74.12930762765285</v>
      </c>
      <c r="W45" s="109">
        <f t="shared" si="7"/>
        <v>27103714.652555063</v>
      </c>
      <c r="X45">
        <f t="shared" si="8"/>
        <v>5.1208509006679094E-2</v>
      </c>
      <c r="Y45" s="109">
        <f t="shared" si="18"/>
        <v>27103714.652555067</v>
      </c>
      <c r="Z45" s="27">
        <f t="shared" si="14"/>
        <v>7.7409326424870493</v>
      </c>
    </row>
    <row r="46" spans="4:26" ht="15" thickBot="1" x14ac:dyDescent="0.4">
      <c r="D46" s="19" t="s">
        <v>96</v>
      </c>
      <c r="E46" s="20">
        <v>1</v>
      </c>
      <c r="F46" s="21">
        <v>996</v>
      </c>
      <c r="G46" s="22">
        <f t="shared" si="76"/>
        <v>104.30087609918114</v>
      </c>
      <c r="H46" s="21">
        <f t="shared" si="1"/>
        <v>1.2290000000000001</v>
      </c>
      <c r="I46" s="22">
        <f t="shared" si="77"/>
        <v>128.18577672589362</v>
      </c>
      <c r="J46" s="23">
        <f t="shared" si="2"/>
        <v>2.3800000000000002E-3</v>
      </c>
      <c r="K46" s="21">
        <f t="shared" si="3"/>
        <v>0.28000000000000003</v>
      </c>
      <c r="L46" s="24">
        <f t="shared" si="4"/>
        <v>2.0719396890000001</v>
      </c>
      <c r="M46" s="25">
        <f t="shared" si="78"/>
        <v>4.0831476513355369E-4</v>
      </c>
      <c r="N46" s="26">
        <f t="shared" si="79"/>
        <v>0.2573412385295506</v>
      </c>
      <c r="O46" s="26">
        <f t="shared" si="12"/>
        <v>573388253.43339479</v>
      </c>
      <c r="P46" s="22">
        <f t="shared" si="80"/>
        <v>2550.8950269241709</v>
      </c>
      <c r="Q46" s="21">
        <f t="shared" si="81"/>
        <v>11700</v>
      </c>
      <c r="R46" s="27">
        <f t="shared" si="25"/>
        <v>4.0474201093863513</v>
      </c>
      <c r="S46" s="28">
        <f t="shared" si="82"/>
        <v>1.1429445261609583</v>
      </c>
      <c r="T46" s="22">
        <f t="shared" si="83"/>
        <v>119.21011541135141</v>
      </c>
      <c r="U46">
        <v>195</v>
      </c>
      <c r="V46">
        <v>86.055473839041809</v>
      </c>
      <c r="W46" s="109">
        <f t="shared" si="7"/>
        <v>28759048.043847542</v>
      </c>
      <c r="X46">
        <f t="shared" si="8"/>
        <v>5.0156325790842546E-2</v>
      </c>
      <c r="Y46" s="109">
        <f t="shared" si="18"/>
        <v>28759048.043847542</v>
      </c>
      <c r="Z46" s="27">
        <f t="shared" si="14"/>
        <v>8.3860103626943037</v>
      </c>
    </row>
    <row r="47" spans="4:26" ht="15" thickBot="1" x14ac:dyDescent="0.4">
      <c r="D47" s="19" t="s">
        <v>96</v>
      </c>
      <c r="E47" s="20">
        <v>1</v>
      </c>
      <c r="F47" s="21">
        <v>996</v>
      </c>
      <c r="G47" s="22">
        <f t="shared" si="76"/>
        <v>104.30087609918114</v>
      </c>
      <c r="H47" s="21">
        <f t="shared" si="1"/>
        <v>1.2290000000000001</v>
      </c>
      <c r="I47" s="22">
        <f t="shared" si="77"/>
        <v>128.18577672589362</v>
      </c>
      <c r="J47" s="23">
        <f t="shared" si="2"/>
        <v>2.3800000000000002E-3</v>
      </c>
      <c r="K47" s="21">
        <f t="shared" si="3"/>
        <v>0.28000000000000003</v>
      </c>
      <c r="L47" s="24">
        <f t="shared" si="4"/>
        <v>2.0719396890000001</v>
      </c>
      <c r="M47" s="25">
        <f t="shared" si="78"/>
        <v>4.0831476513355369E-4</v>
      </c>
      <c r="N47" s="26">
        <f t="shared" si="79"/>
        <v>0.2573412385295506</v>
      </c>
      <c r="O47" s="26">
        <f t="shared" si="12"/>
        <v>617495042.15904045</v>
      </c>
      <c r="P47" s="22">
        <f t="shared" si="80"/>
        <v>2747.1177213029532</v>
      </c>
      <c r="Q47" s="21">
        <f t="shared" si="81"/>
        <v>12600</v>
      </c>
      <c r="R47" s="27">
        <f t="shared" si="25"/>
        <v>4.3587601178006858</v>
      </c>
      <c r="S47" s="28">
        <f t="shared" si="82"/>
        <v>1.1392029838201303</v>
      </c>
      <c r="T47" s="22">
        <f t="shared" si="83"/>
        <v>118.81986926724086</v>
      </c>
      <c r="U47">
        <v>210</v>
      </c>
      <c r="V47">
        <v>89.797016179869715</v>
      </c>
      <c r="W47" s="109">
        <f t="shared" si="7"/>
        <v>30768839.276789855</v>
      </c>
      <c r="X47">
        <f t="shared" si="8"/>
        <v>4.9828479867964855E-2</v>
      </c>
      <c r="Y47" s="109">
        <f t="shared" si="18"/>
        <v>30768839.276789859</v>
      </c>
      <c r="Z47" s="27">
        <f t="shared" si="14"/>
        <v>9.0310880829015581</v>
      </c>
    </row>
    <row r="48" spans="4:26" ht="15" thickBot="1" x14ac:dyDescent="0.4">
      <c r="D48" s="19" t="s">
        <v>96</v>
      </c>
      <c r="E48" s="20">
        <v>1</v>
      </c>
      <c r="F48" s="21">
        <v>996</v>
      </c>
      <c r="G48" s="22">
        <f t="shared" si="76"/>
        <v>104.30087609918114</v>
      </c>
      <c r="H48" s="21">
        <f t="shared" si="1"/>
        <v>1.2290000000000001</v>
      </c>
      <c r="I48" s="22">
        <f t="shared" si="77"/>
        <v>128.18577672589362</v>
      </c>
      <c r="J48" s="23">
        <f t="shared" si="2"/>
        <v>2.3800000000000002E-3</v>
      </c>
      <c r="K48" s="21">
        <f t="shared" si="3"/>
        <v>0.28000000000000003</v>
      </c>
      <c r="L48" s="24">
        <f t="shared" si="4"/>
        <v>2.0719396890000001</v>
      </c>
      <c r="M48" s="25">
        <f t="shared" si="78"/>
        <v>4.0831476513355369E-4</v>
      </c>
      <c r="N48" s="26">
        <f t="shared" si="79"/>
        <v>0.2573412385295506</v>
      </c>
      <c r="O48" s="26">
        <f t="shared" si="12"/>
        <v>749815408.33597767</v>
      </c>
      <c r="P48" s="22">
        <f t="shared" si="80"/>
        <v>3335.7858044393001</v>
      </c>
      <c r="Q48" s="21">
        <f t="shared" si="81"/>
        <v>15300</v>
      </c>
      <c r="R48" s="27">
        <f t="shared" si="25"/>
        <v>5.2927801430436903</v>
      </c>
      <c r="S48" s="28">
        <f t="shared" si="82"/>
        <v>1.1155844977936542</v>
      </c>
      <c r="T48" s="22">
        <f t="shared" si="83"/>
        <v>116.35644048254314</v>
      </c>
      <c r="U48">
        <v>255</v>
      </c>
      <c r="V48">
        <v>113.41550220634588</v>
      </c>
      <c r="W48" s="109">
        <f t="shared" si="7"/>
        <v>35829002.114322841</v>
      </c>
      <c r="X48">
        <f t="shared" si="8"/>
        <v>4.7783763464978785E-2</v>
      </c>
      <c r="Y48" s="109">
        <f t="shared" si="18"/>
        <v>35829002.114322841</v>
      </c>
      <c r="Z48" s="27">
        <f t="shared" si="14"/>
        <v>10.966321243523319</v>
      </c>
    </row>
    <row r="49" spans="3:26" ht="15" thickBot="1" x14ac:dyDescent="0.4">
      <c r="D49" s="19" t="s">
        <v>96</v>
      </c>
      <c r="E49" s="20">
        <v>1</v>
      </c>
      <c r="F49" s="21">
        <v>996</v>
      </c>
      <c r="G49" s="22">
        <f t="shared" si="76"/>
        <v>104.30087609918114</v>
      </c>
      <c r="H49" s="21">
        <f t="shared" si="1"/>
        <v>1.2290000000000001</v>
      </c>
      <c r="I49" s="22">
        <f t="shared" si="77"/>
        <v>128.18577672589362</v>
      </c>
      <c r="J49" s="23">
        <f t="shared" si="2"/>
        <v>2.3800000000000002E-3</v>
      </c>
      <c r="K49" s="21">
        <f t="shared" si="3"/>
        <v>0.28000000000000003</v>
      </c>
      <c r="L49" s="24">
        <f t="shared" si="4"/>
        <v>2.0719396890000001</v>
      </c>
      <c r="M49" s="25">
        <f>($R$2*G49)/($S$2*($D$2-$E$2)*$L$2)</f>
        <v>4.0831476513355369E-4</v>
      </c>
      <c r="N49" s="26">
        <f t="shared" si="79"/>
        <v>0.2573412385295506</v>
      </c>
      <c r="O49" s="26">
        <f t="shared" si="12"/>
        <v>1014456140.6898522</v>
      </c>
      <c r="P49" s="22">
        <f t="shared" si="80"/>
        <v>4513.1219707119944</v>
      </c>
      <c r="Q49" s="21">
        <f t="shared" si="81"/>
        <v>20700</v>
      </c>
      <c r="R49" s="27">
        <f>($R$2*$G49*$Q49)/(2*PI()*($D$2-$E$2)*$L$2)</f>
        <v>7.1608201935296982</v>
      </c>
      <c r="S49" s="28">
        <f t="shared" si="82"/>
        <v>1.0950060149191008</v>
      </c>
      <c r="T49" s="22">
        <f t="shared" si="83"/>
        <v>114.21008668993522</v>
      </c>
      <c r="U49">
        <v>345</v>
      </c>
      <c r="V49">
        <v>133.99398508089931</v>
      </c>
      <c r="W49" s="109">
        <f t="shared" si="7"/>
        <v>46702668.447361588</v>
      </c>
      <c r="X49">
        <f t="shared" si="8"/>
        <v>4.6037148945249379E-2</v>
      </c>
      <c r="Y49" s="109">
        <f t="shared" si="18"/>
        <v>46702668.447361588</v>
      </c>
      <c r="Z49" s="27">
        <f t="shared" si="14"/>
        <v>14.836787564766846</v>
      </c>
    </row>
    <row r="50" spans="3:26" ht="15" thickBot="1" x14ac:dyDescent="0.4">
      <c r="D50" s="19"/>
      <c r="E50" s="20"/>
      <c r="F50" s="21"/>
      <c r="G50" s="22"/>
      <c r="H50" s="21"/>
      <c r="I50" s="22"/>
      <c r="J50" s="23"/>
      <c r="K50" s="21"/>
      <c r="L50" s="24"/>
      <c r="M50" s="25"/>
      <c r="N50" s="26"/>
      <c r="O50" s="26"/>
      <c r="P50" s="22"/>
      <c r="Q50" s="21"/>
      <c r="R50" s="27"/>
      <c r="S50" s="28"/>
      <c r="T50" s="22"/>
      <c r="U50" s="22"/>
      <c r="V50" s="29"/>
    </row>
    <row r="51" spans="3:26" ht="15" thickBot="1" x14ac:dyDescent="0.4">
      <c r="D51" s="19" t="s">
        <v>126</v>
      </c>
      <c r="E51" s="20"/>
      <c r="F51" s="21">
        <v>1000</v>
      </c>
      <c r="G51" s="22">
        <f t="shared" ref="G51" si="84">F51/60*2*PI()</f>
        <v>104.71975511965978</v>
      </c>
      <c r="H51" s="21">
        <f t="shared" si="1"/>
        <v>1.2290000000000001</v>
      </c>
      <c r="I51" s="22">
        <f t="shared" ref="I51" si="85">G51*H51</f>
        <v>128.70057904206189</v>
      </c>
      <c r="J51" s="23">
        <f t="shared" si="2"/>
        <v>2.3800000000000002E-3</v>
      </c>
      <c r="K51" s="21">
        <f t="shared" si="3"/>
        <v>0.28000000000000003</v>
      </c>
      <c r="L51" s="24">
        <f t="shared" si="4"/>
        <v>2.0719396890000001</v>
      </c>
      <c r="M51" s="25">
        <f>($R$2*G51)/($S$2*($D$2-$E$2)*$L$2)</f>
        <v>4.0995458346742338E-4</v>
      </c>
      <c r="N51" s="26">
        <f t="shared" ref="N51" si="86">3/(2*$J$2)*M51</f>
        <v>0.25837473747946849</v>
      </c>
      <c r="O51" s="26">
        <f>P51/((((J51)/(2))^2)*PI())</f>
        <v>45701010004.885963</v>
      </c>
      <c r="P51" s="22">
        <f t="shared" ref="P51" si="87">(3/(2*$J$2))*R51</f>
        <v>203315.0809225938</v>
      </c>
      <c r="Q51" s="21">
        <f t="shared" ref="Q51" si="88">U51*60</f>
        <v>928800</v>
      </c>
      <c r="R51" s="27">
        <f>($R$2*$G51*$Q51)/(2*PI()*($D$2-$E$2)*$L$2)</f>
        <v>322.59326173051551</v>
      </c>
      <c r="S51" s="28">
        <v>1.1919999999999999</v>
      </c>
      <c r="T51" s="22">
        <f t="shared" ref="T51" si="89">G51*S51</f>
        <v>124.82594810263446</v>
      </c>
      <c r="U51">
        <f>258*60</f>
        <v>15480</v>
      </c>
      <c r="W51" s="131"/>
      <c r="X51">
        <f>0.5*$P$2*T51*T51</f>
        <v>5.4993232035157623E-2</v>
      </c>
      <c r="Z51" s="27">
        <f t="shared" si="14"/>
        <v>668.39378238341999</v>
      </c>
    </row>
    <row r="52" spans="3:26" ht="15" thickBot="1" x14ac:dyDescent="0.4">
      <c r="D52" s="19" t="s">
        <v>127</v>
      </c>
      <c r="E52" s="20"/>
      <c r="F52" s="21">
        <v>1000</v>
      </c>
      <c r="G52" s="22">
        <f t="shared" ref="G52:G53" si="90">F52/60*2*PI()</f>
        <v>104.71975511965978</v>
      </c>
      <c r="H52" s="21">
        <f t="shared" si="1"/>
        <v>1.2290000000000001</v>
      </c>
      <c r="I52" s="22">
        <f t="shared" ref="I52:I53" si="91">G52*H52</f>
        <v>128.70057904206189</v>
      </c>
      <c r="J52" s="23">
        <f t="shared" si="2"/>
        <v>2.3800000000000002E-3</v>
      </c>
      <c r="K52" s="21">
        <f t="shared" si="3"/>
        <v>0.28000000000000003</v>
      </c>
      <c r="L52" s="24">
        <f t="shared" si="4"/>
        <v>2.0719396890000001</v>
      </c>
      <c r="M52" s="25">
        <f t="shared" ref="M52:M53" si="92">($R$2*G52)/($S$2*($D$2-$E$2)*$L$2)</f>
        <v>4.0995458346742338E-4</v>
      </c>
      <c r="N52" s="26">
        <f t="shared" ref="N52:N53" si="93">3/(2*$J$2)*M52</f>
        <v>0.25837473747946849</v>
      </c>
      <c r="O52" s="26">
        <f t="shared" ref="O52:O53" si="94">P52/((((J52)/(2))^2)*PI())</f>
        <v>29935932910.177238</v>
      </c>
      <c r="P52" s="22">
        <f t="shared" ref="P52:P53" si="95">(3/(2*$J$2))*R52</f>
        <v>133179.25843379207</v>
      </c>
      <c r="Q52" s="21">
        <f t="shared" ref="Q52:Q53" si="96">U52*60</f>
        <v>608400</v>
      </c>
      <c r="R52" s="27">
        <f t="shared" ref="R52:R53" si="97">($R$2*$G52*$Q52)/(2*PI()*($D$2-$E$2)*$L$2)</f>
        <v>211.31109004828343</v>
      </c>
      <c r="S52" s="28">
        <v>1.1919999999999999</v>
      </c>
      <c r="T52" s="22">
        <f t="shared" ref="T52:T53" si="98">G52*S52</f>
        <v>124.82594810263446</v>
      </c>
      <c r="U52">
        <f>169*60</f>
        <v>10140</v>
      </c>
      <c r="W52" s="131"/>
      <c r="X52">
        <f>0.5*$P$2*T52*T52</f>
        <v>5.4993232035157623E-2</v>
      </c>
      <c r="Z52" s="27">
        <f t="shared" si="14"/>
        <v>437.82383419689143</v>
      </c>
    </row>
    <row r="53" spans="3:26" ht="15" thickBot="1" x14ac:dyDescent="0.4">
      <c r="D53" s="19" t="s">
        <v>128</v>
      </c>
      <c r="E53" s="20"/>
      <c r="F53" s="21">
        <v>1240</v>
      </c>
      <c r="G53" s="22">
        <f t="shared" si="90"/>
        <v>129.85249634837811</v>
      </c>
      <c r="H53" s="21">
        <f t="shared" si="1"/>
        <v>1.2290000000000001</v>
      </c>
      <c r="I53" s="22">
        <f t="shared" si="91"/>
        <v>159.5887180121567</v>
      </c>
      <c r="J53" s="23">
        <f t="shared" si="2"/>
        <v>2.3800000000000002E-3</v>
      </c>
      <c r="K53" s="21">
        <f t="shared" si="3"/>
        <v>0.28000000000000003</v>
      </c>
      <c r="L53" s="24">
        <f t="shared" si="4"/>
        <v>2.0719396890000001</v>
      </c>
      <c r="M53" s="25">
        <f t="shared" si="92"/>
        <v>5.0834368349960497E-4</v>
      </c>
      <c r="N53" s="26">
        <f t="shared" si="93"/>
        <v>0.32038467447454094</v>
      </c>
      <c r="O53" s="26">
        <f t="shared" si="94"/>
        <v>3276419955.0014491</v>
      </c>
      <c r="P53" s="22">
        <f t="shared" si="95"/>
        <v>14576.167752447969</v>
      </c>
      <c r="Q53" s="21">
        <f t="shared" si="96"/>
        <v>53700</v>
      </c>
      <c r="R53" s="27">
        <f t="shared" si="97"/>
        <v>23.127519500550779</v>
      </c>
      <c r="S53" s="28">
        <v>1.1919999999999999</v>
      </c>
      <c r="T53" s="22">
        <f t="shared" si="98"/>
        <v>154.78417564726669</v>
      </c>
      <c r="U53">
        <v>895</v>
      </c>
      <c r="W53" s="131"/>
      <c r="X53">
        <f>0.5*$P$2*T53*T53</f>
        <v>8.4557593577258339E-2</v>
      </c>
      <c r="Z53" s="27">
        <f t="shared" si="14"/>
        <v>47.918825561312623</v>
      </c>
    </row>
    <row r="54" spans="3:26" ht="15" thickBot="1" x14ac:dyDescent="0.4">
      <c r="D54" s="19"/>
      <c r="E54" s="20"/>
      <c r="F54" s="21"/>
      <c r="G54" s="22"/>
      <c r="H54" s="21"/>
      <c r="I54" s="22"/>
      <c r="J54" s="23"/>
      <c r="K54" s="21"/>
      <c r="L54" s="24"/>
      <c r="M54" s="25">
        <f>60*M51</f>
        <v>2.4597275008045403E-2</v>
      </c>
      <c r="N54" s="26"/>
      <c r="O54" s="26"/>
      <c r="P54" s="22"/>
      <c r="Q54" s="21"/>
      <c r="R54" s="27"/>
      <c r="S54" s="28"/>
      <c r="T54" s="22"/>
      <c r="U54" s="22"/>
      <c r="V54" s="29"/>
    </row>
    <row r="55" spans="3:26" ht="15" thickBot="1" x14ac:dyDescent="0.4">
      <c r="D55" s="19"/>
      <c r="E55" s="20"/>
      <c r="F55" s="21"/>
      <c r="G55" s="22"/>
      <c r="H55" s="21"/>
      <c r="I55" s="22"/>
      <c r="J55" s="23"/>
      <c r="K55" s="21"/>
      <c r="L55" s="24"/>
      <c r="M55" s="25">
        <f>345*M54</f>
        <v>8.4860598777756646</v>
      </c>
      <c r="N55" s="26"/>
      <c r="O55" s="26"/>
      <c r="P55" s="22"/>
      <c r="Q55" s="21"/>
      <c r="R55" s="27"/>
      <c r="S55" s="28"/>
      <c r="T55" s="22"/>
      <c r="U55" s="34"/>
      <c r="V55" s="29"/>
    </row>
    <row r="56" spans="3:26" ht="15" thickBot="1" x14ac:dyDescent="0.4">
      <c r="D56" s="19"/>
      <c r="E56" s="20"/>
      <c r="F56" s="21"/>
      <c r="G56" s="22"/>
      <c r="H56" s="21"/>
      <c r="I56" s="22"/>
      <c r="J56" s="23"/>
      <c r="K56" s="21"/>
      <c r="L56" s="24"/>
      <c r="M56" s="25">
        <f>M55*S2/2/PI()</f>
        <v>7.189578507559939</v>
      </c>
      <c r="N56" s="26"/>
      <c r="O56" s="26"/>
      <c r="P56" s="22"/>
      <c r="Q56" s="21"/>
      <c r="R56" s="27"/>
      <c r="S56" s="28"/>
      <c r="T56" s="22"/>
      <c r="U56" s="34"/>
      <c r="V56" s="29"/>
    </row>
    <row r="57" spans="3:26" ht="15" thickBot="1" x14ac:dyDescent="0.4">
      <c r="D57" s="19"/>
      <c r="E57" s="20"/>
      <c r="F57" s="21"/>
      <c r="G57" s="22"/>
      <c r="H57" s="21"/>
      <c r="I57" s="22"/>
      <c r="J57" s="23"/>
      <c r="K57" s="21"/>
      <c r="L57" s="24"/>
      <c r="M57" s="25">
        <f>M56*60/345</f>
        <v>1.2503614795756415</v>
      </c>
      <c r="N57" s="26"/>
      <c r="O57" s="26"/>
      <c r="P57" s="22"/>
      <c r="Q57" s="21"/>
      <c r="R57" s="27"/>
      <c r="S57" s="28"/>
      <c r="T57" s="22"/>
      <c r="U57" s="22"/>
      <c r="V57" s="29"/>
    </row>
    <row r="58" spans="3:26" ht="15" thickBot="1" x14ac:dyDescent="0.4">
      <c r="D58" s="19"/>
      <c r="E58" s="20"/>
      <c r="F58" s="21"/>
      <c r="G58" s="22"/>
      <c r="H58" s="21"/>
      <c r="I58" s="22"/>
      <c r="J58" s="23"/>
      <c r="K58" s="21"/>
      <c r="L58" s="24"/>
      <c r="M58" s="25"/>
      <c r="N58" s="26"/>
      <c r="O58" s="26"/>
      <c r="P58" s="22"/>
      <c r="Q58" s="21"/>
      <c r="R58" s="27"/>
      <c r="S58" s="28"/>
      <c r="T58" s="22"/>
      <c r="U58" s="34"/>
      <c r="V58" s="35"/>
    </row>
    <row r="59" spans="3:26" ht="15" thickBot="1" x14ac:dyDescent="0.4">
      <c r="D59" s="19"/>
      <c r="E59" s="20"/>
      <c r="F59" s="21"/>
      <c r="G59" s="22"/>
      <c r="H59" s="21"/>
      <c r="I59" s="22"/>
      <c r="J59" s="23"/>
      <c r="K59" s="21"/>
      <c r="L59" s="24"/>
      <c r="M59" s="25"/>
      <c r="N59" s="26"/>
      <c r="O59" s="26"/>
      <c r="P59" s="22"/>
      <c r="Q59" s="21"/>
      <c r="R59" s="27"/>
      <c r="S59" s="28"/>
      <c r="T59" s="22"/>
      <c r="U59" s="34"/>
      <c r="V59" s="29"/>
    </row>
    <row r="60" spans="3:26" ht="15" thickBot="1" x14ac:dyDescent="0.4">
      <c r="C60" t="s">
        <v>152</v>
      </c>
      <c r="D60" s="19" t="s">
        <v>151</v>
      </c>
      <c r="E60" s="20"/>
      <c r="F60" s="21">
        <v>720</v>
      </c>
      <c r="G60" s="22">
        <f t="shared" ref="G60" si="99">F60/60*2*PI()</f>
        <v>75.398223686155035</v>
      </c>
      <c r="H60" s="21">
        <f t="shared" ref="H60" si="100">$H$2</f>
        <v>1.2290000000000001</v>
      </c>
      <c r="I60" s="22">
        <f t="shared" ref="I60" si="101">G60*H60</f>
        <v>92.664416910284544</v>
      </c>
      <c r="J60" s="23">
        <f t="shared" ref="J60" si="102">$J$2</f>
        <v>2.3800000000000002E-3</v>
      </c>
      <c r="K60" s="21">
        <f t="shared" ref="K60" si="103">$K$2</f>
        <v>0.28000000000000003</v>
      </c>
      <c r="L60" s="24">
        <f t="shared" ref="L60" si="104">$L$2</f>
        <v>2.0719396890000001</v>
      </c>
      <c r="M60" s="25">
        <f>($R$2*G60)/($S$2*($D$2-$E$2)*$L$2)</f>
        <v>2.9516730009654477E-4</v>
      </c>
      <c r="N60" s="26">
        <f t="shared" ref="N60" si="105">3/(2*$J$2)*M60</f>
        <v>0.18602981098521729</v>
      </c>
      <c r="O60" s="26">
        <f t="shared" ref="O60" si="106">P60/((((J60*1000)/(2))^2)*PI())</f>
        <v>1657.9901304098159</v>
      </c>
      <c r="P60" s="22">
        <f t="shared" ref="P60" si="107">(3/(2*$J$2))*R60</f>
        <v>7376.0820055638669</v>
      </c>
      <c r="Q60" s="21">
        <f t="shared" ref="Q60" si="108">U60*60</f>
        <v>46800</v>
      </c>
      <c r="R60" s="27">
        <f>($R$2*$G60*$Q60)/(2*PI()*($D$2-$E$2)*$L$2)</f>
        <v>11.703383448828003</v>
      </c>
      <c r="S60" s="28">
        <v>1.1919999999999999</v>
      </c>
      <c r="T60" s="22">
        <f t="shared" ref="T60" si="109">G60*S60</f>
        <v>89.874682633896796</v>
      </c>
      <c r="U60">
        <f>13*60</f>
        <v>780</v>
      </c>
      <c r="W60" s="131"/>
      <c r="X60">
        <f>0.5*$P$2*T60*T60</f>
        <v>2.8508491487025701E-2</v>
      </c>
      <c r="Z60" s="27">
        <f t="shared" ref="Z60" si="110">($R$2*$G60*$Q60)/(2*PI()*($D$2-$E$2))</f>
        <v>24.248704663212443</v>
      </c>
    </row>
    <row r="61" spans="3:26" ht="15" thickBot="1" x14ac:dyDescent="0.4">
      <c r="D61" s="19"/>
      <c r="E61" s="20"/>
      <c r="F61" s="21"/>
      <c r="G61" s="22"/>
      <c r="H61" s="21"/>
      <c r="I61" s="22"/>
      <c r="J61" s="23"/>
      <c r="K61" s="21"/>
      <c r="L61" s="24"/>
      <c r="M61" s="25"/>
      <c r="N61" s="26"/>
      <c r="O61" s="26"/>
      <c r="P61" s="22"/>
      <c r="Q61" s="21"/>
      <c r="R61" s="27"/>
      <c r="S61" s="28"/>
      <c r="T61" s="22"/>
      <c r="U61" s="34"/>
      <c r="V61" s="29"/>
    </row>
    <row r="62" spans="3:26" ht="15" thickBot="1" x14ac:dyDescent="0.4">
      <c r="D62" s="19"/>
      <c r="E62" s="20"/>
      <c r="F62" s="21"/>
      <c r="G62" s="22"/>
      <c r="H62" s="21"/>
      <c r="I62" s="22"/>
      <c r="J62" s="23"/>
      <c r="K62" s="21"/>
      <c r="L62" s="24"/>
      <c r="M62" s="25"/>
      <c r="N62" s="26"/>
      <c r="O62" s="26"/>
      <c r="P62" s="22"/>
      <c r="Q62" s="21"/>
      <c r="R62" s="27"/>
      <c r="S62" s="28"/>
      <c r="T62" s="22"/>
      <c r="U62" s="22"/>
      <c r="V62" s="29"/>
    </row>
    <row r="63" spans="3:26" ht="15" thickBot="1" x14ac:dyDescent="0.4">
      <c r="D63" s="19"/>
      <c r="E63" s="20"/>
      <c r="F63" s="21"/>
      <c r="G63" s="22"/>
      <c r="H63" s="21"/>
      <c r="I63" s="22"/>
      <c r="J63" s="23"/>
      <c r="K63" s="21"/>
      <c r="L63" s="24"/>
      <c r="M63" s="25"/>
      <c r="N63" s="26"/>
      <c r="O63" s="26"/>
      <c r="P63" s="22"/>
      <c r="Q63" s="21"/>
      <c r="R63" s="27"/>
      <c r="S63" s="28"/>
      <c r="T63" s="22"/>
      <c r="U63" s="34"/>
      <c r="V63" s="29"/>
    </row>
    <row r="64" spans="3:26" ht="15" thickBot="1" x14ac:dyDescent="0.4">
      <c r="D64" s="19"/>
      <c r="E64" s="20"/>
      <c r="F64" s="21"/>
      <c r="G64" s="22"/>
      <c r="H64" s="21"/>
      <c r="I64" s="22"/>
      <c r="J64" s="23"/>
      <c r="K64" s="21"/>
      <c r="L64" s="24"/>
      <c r="M64" s="25"/>
      <c r="N64" s="26"/>
      <c r="O64" s="26"/>
      <c r="P64" s="22"/>
      <c r="Q64" s="21"/>
      <c r="R64" s="27"/>
      <c r="S64" s="28"/>
      <c r="T64" s="22"/>
      <c r="U64" s="22"/>
      <c r="V64" s="29"/>
    </row>
    <row r="65" spans="4:22" ht="15" thickBot="1" x14ac:dyDescent="0.4">
      <c r="D65" s="19"/>
      <c r="E65" s="20"/>
      <c r="F65" s="21"/>
      <c r="G65" s="22"/>
      <c r="H65" s="21"/>
      <c r="I65" s="22"/>
      <c r="J65" s="23"/>
      <c r="K65" s="21"/>
      <c r="L65" s="24"/>
      <c r="M65" s="25"/>
      <c r="N65" s="26"/>
      <c r="O65" s="26"/>
      <c r="P65" s="22"/>
      <c r="Q65" s="21"/>
      <c r="R65" s="27"/>
      <c r="S65" s="28"/>
      <c r="T65" s="22"/>
      <c r="U65" s="22"/>
      <c r="V65" s="29"/>
    </row>
    <row r="66" spans="4:22" ht="15" thickBot="1" x14ac:dyDescent="0.4">
      <c r="D66" s="19"/>
      <c r="E66" s="20"/>
      <c r="F66" s="21"/>
      <c r="G66" s="22"/>
      <c r="H66" s="21"/>
      <c r="I66" s="22"/>
      <c r="J66" s="23"/>
      <c r="K66" s="21"/>
      <c r="L66" s="24"/>
      <c r="M66" s="25"/>
      <c r="N66" s="26"/>
      <c r="O66" s="26"/>
      <c r="P66" s="22"/>
      <c r="Q66" s="21"/>
      <c r="R66" s="27"/>
      <c r="S66" s="28"/>
      <c r="T66" s="22"/>
      <c r="U66" s="34"/>
      <c r="V66" s="29"/>
    </row>
    <row r="67" spans="4:22" ht="15" thickBot="1" x14ac:dyDescent="0.4">
      <c r="D67" s="19"/>
      <c r="E67" s="20"/>
      <c r="F67" s="21"/>
      <c r="G67" s="22"/>
      <c r="H67" s="21"/>
      <c r="I67" s="22"/>
      <c r="J67" s="23"/>
      <c r="K67" s="21"/>
      <c r="L67" s="24"/>
      <c r="M67" s="25"/>
      <c r="N67" s="26"/>
      <c r="O67" s="26"/>
      <c r="P67" s="22"/>
      <c r="Q67" s="21"/>
      <c r="R67" s="27"/>
      <c r="S67" s="28"/>
      <c r="T67" s="22"/>
      <c r="U67" s="22"/>
      <c r="V67" s="29"/>
    </row>
    <row r="68" spans="4:22" ht="15" thickBot="1" x14ac:dyDescent="0.4">
      <c r="D68" s="19"/>
      <c r="E68" s="20"/>
      <c r="F68" s="21"/>
      <c r="G68" s="22"/>
      <c r="H68" s="21"/>
      <c r="I68" s="22"/>
      <c r="J68" s="23"/>
      <c r="K68" s="21"/>
      <c r="L68" s="24"/>
      <c r="M68" s="25"/>
      <c r="N68" s="26"/>
      <c r="O68" s="26"/>
      <c r="P68" s="22"/>
      <c r="Q68" s="21"/>
      <c r="R68" s="27"/>
      <c r="S68" s="28"/>
      <c r="T68" s="22"/>
      <c r="U68" s="22"/>
      <c r="V68" s="29"/>
    </row>
    <row r="69" spans="4:22" ht="15" thickBot="1" x14ac:dyDescent="0.4">
      <c r="D69" s="19"/>
      <c r="E69" s="20"/>
      <c r="F69" s="21"/>
      <c r="G69" s="22"/>
      <c r="H69" s="21"/>
      <c r="I69" s="22"/>
      <c r="J69" s="23"/>
      <c r="K69" s="21"/>
      <c r="L69" s="24"/>
      <c r="M69" s="25"/>
      <c r="N69" s="26"/>
      <c r="O69" s="26"/>
      <c r="P69" s="22"/>
      <c r="Q69" s="21"/>
      <c r="R69" s="27"/>
      <c r="S69" s="28"/>
      <c r="T69" s="22"/>
      <c r="U69" s="34"/>
      <c r="V69" s="29"/>
    </row>
    <row r="70" spans="4:22" ht="15" thickBot="1" x14ac:dyDescent="0.4">
      <c r="D70" s="19"/>
      <c r="E70" s="20"/>
      <c r="F70" s="21"/>
      <c r="G70" s="22"/>
      <c r="H70" s="21"/>
      <c r="I70" s="22"/>
      <c r="J70" s="23"/>
      <c r="K70" s="21"/>
      <c r="L70" s="24"/>
      <c r="M70" s="25"/>
      <c r="N70" s="26"/>
      <c r="O70" s="26"/>
      <c r="P70" s="22"/>
      <c r="Q70" s="21"/>
      <c r="R70" s="27"/>
      <c r="S70" s="28"/>
      <c r="T70" s="22"/>
      <c r="U70" s="22"/>
      <c r="V70" s="29"/>
    </row>
    <row r="71" spans="4:22" ht="15" thickBot="1" x14ac:dyDescent="0.4">
      <c r="D71" s="19"/>
      <c r="E71" s="20"/>
      <c r="F71" s="21"/>
      <c r="G71" s="22"/>
      <c r="H71" s="21"/>
      <c r="I71" s="22"/>
      <c r="J71" s="23"/>
      <c r="K71" s="21"/>
      <c r="L71" s="24"/>
      <c r="M71" s="25"/>
      <c r="N71" s="26"/>
      <c r="O71" s="26"/>
      <c r="P71" s="22"/>
      <c r="Q71" s="21"/>
      <c r="R71" s="27"/>
      <c r="S71" s="28"/>
      <c r="T71" s="22"/>
      <c r="U71" s="34"/>
      <c r="V71" s="29"/>
    </row>
    <row r="72" spans="4:22" ht="15" thickBot="1" x14ac:dyDescent="0.4">
      <c r="D72" s="19"/>
      <c r="E72" s="20"/>
      <c r="F72" s="21"/>
      <c r="G72" s="22"/>
      <c r="H72" s="21"/>
      <c r="I72" s="22"/>
      <c r="J72" s="23"/>
      <c r="K72" s="21"/>
      <c r="L72" s="24"/>
      <c r="M72" s="25"/>
      <c r="N72" s="26"/>
      <c r="O72" s="26"/>
      <c r="P72" s="22"/>
      <c r="Q72" s="21"/>
      <c r="R72" s="27"/>
      <c r="S72" s="28"/>
      <c r="T72" s="22"/>
      <c r="U72" s="22"/>
      <c r="V72" s="29"/>
    </row>
    <row r="73" spans="4:22" ht="15" thickBot="1" x14ac:dyDescent="0.4">
      <c r="D73" s="19"/>
      <c r="E73" s="20"/>
      <c r="F73" s="21"/>
      <c r="G73" s="22"/>
      <c r="H73" s="21"/>
      <c r="I73" s="22"/>
      <c r="J73" s="23"/>
      <c r="K73" s="21"/>
      <c r="L73" s="24"/>
      <c r="M73" s="25"/>
      <c r="N73" s="26"/>
      <c r="O73" s="26"/>
      <c r="P73" s="22"/>
      <c r="Q73" s="21"/>
      <c r="R73" s="27"/>
      <c r="S73" s="28"/>
      <c r="T73" s="22"/>
      <c r="U73" s="34"/>
      <c r="V73" s="29"/>
    </row>
    <row r="74" spans="4:22" ht="15" thickBot="1" x14ac:dyDescent="0.4">
      <c r="D74" s="19"/>
      <c r="E74" s="20"/>
      <c r="F74" s="21"/>
      <c r="G74" s="22"/>
      <c r="H74" s="21"/>
      <c r="I74" s="22"/>
      <c r="J74" s="23"/>
      <c r="K74" s="21"/>
      <c r="L74" s="24"/>
      <c r="M74" s="25"/>
      <c r="N74" s="26"/>
      <c r="O74" s="26"/>
      <c r="P74" s="22"/>
      <c r="Q74" s="21"/>
      <c r="R74" s="27"/>
      <c r="S74" s="28"/>
      <c r="T74" s="22"/>
      <c r="U74" s="22"/>
      <c r="V74" s="29"/>
    </row>
    <row r="75" spans="4:22" ht="15" thickBot="1" x14ac:dyDescent="0.4">
      <c r="D75" s="19"/>
      <c r="E75" s="20"/>
      <c r="F75" s="21"/>
      <c r="G75" s="22"/>
      <c r="H75" s="21"/>
      <c r="I75" s="22"/>
      <c r="J75" s="23"/>
      <c r="K75" s="21"/>
      <c r="L75" s="24"/>
      <c r="M75" s="25"/>
      <c r="N75" s="26"/>
      <c r="O75" s="26"/>
      <c r="P75" s="22"/>
      <c r="Q75" s="21"/>
      <c r="R75" s="27"/>
      <c r="S75" s="28"/>
      <c r="T75" s="22"/>
      <c r="U75" s="22"/>
      <c r="V75" s="29"/>
    </row>
    <row r="76" spans="4:22" ht="15" thickBot="1" x14ac:dyDescent="0.4">
      <c r="D76" s="19"/>
      <c r="E76" s="20"/>
      <c r="F76" s="21"/>
      <c r="G76" s="22"/>
      <c r="H76" s="21"/>
      <c r="I76" s="22"/>
      <c r="J76" s="23"/>
      <c r="K76" s="21"/>
      <c r="L76" s="24"/>
      <c r="M76" s="25"/>
      <c r="N76" s="26"/>
      <c r="O76" s="26"/>
      <c r="P76" s="22"/>
      <c r="Q76" s="21"/>
      <c r="R76" s="27"/>
      <c r="S76" s="28"/>
      <c r="T76" s="22"/>
      <c r="U76" s="34"/>
      <c r="V76" s="29"/>
    </row>
    <row r="77" spans="4:22" ht="15" thickBot="1" x14ac:dyDescent="0.4">
      <c r="D77" s="19"/>
      <c r="E77" s="20"/>
      <c r="F77" s="21"/>
      <c r="G77" s="22"/>
      <c r="H77" s="21"/>
      <c r="I77" s="22"/>
      <c r="J77" s="23"/>
      <c r="K77" s="21"/>
      <c r="L77" s="24"/>
      <c r="M77" s="25"/>
      <c r="N77" s="26"/>
      <c r="O77" s="26"/>
      <c r="P77" s="22"/>
      <c r="Q77" s="21"/>
      <c r="R77" s="27"/>
      <c r="S77" s="28"/>
      <c r="T77" s="22"/>
      <c r="U77" s="22"/>
      <c r="V77" s="29"/>
    </row>
    <row r="78" spans="4:22" ht="15" thickBot="1" x14ac:dyDescent="0.4">
      <c r="D78" s="19"/>
      <c r="E78" s="20"/>
      <c r="F78" s="21"/>
      <c r="G78" s="22"/>
      <c r="H78" s="21"/>
      <c r="I78" s="22"/>
      <c r="J78" s="23"/>
      <c r="K78" s="21"/>
      <c r="L78" s="24"/>
      <c r="M78" s="25"/>
      <c r="N78" s="26"/>
      <c r="O78" s="26"/>
      <c r="P78" s="22"/>
      <c r="Q78" s="21"/>
      <c r="R78" s="27"/>
      <c r="S78" s="28"/>
      <c r="T78" s="22"/>
      <c r="U78" s="22"/>
      <c r="V78" s="35"/>
    </row>
    <row r="79" spans="4:22" ht="15" thickBot="1" x14ac:dyDescent="0.4">
      <c r="D79" s="19"/>
      <c r="E79" s="20"/>
      <c r="F79" s="21"/>
      <c r="G79" s="22"/>
      <c r="H79" s="21"/>
      <c r="I79" s="22"/>
      <c r="J79" s="23"/>
      <c r="K79" s="21"/>
      <c r="L79" s="24"/>
      <c r="M79" s="25"/>
      <c r="N79" s="26"/>
      <c r="O79" s="26"/>
      <c r="P79" s="22"/>
      <c r="Q79" s="21"/>
      <c r="R79" s="27"/>
      <c r="S79" s="28"/>
      <c r="T79" s="22"/>
      <c r="U79" s="22"/>
      <c r="V79" s="29"/>
    </row>
    <row r="80" spans="4:22" ht="15" thickBot="1" x14ac:dyDescent="0.4">
      <c r="D80" s="19"/>
      <c r="E80" s="20"/>
      <c r="F80" s="21"/>
      <c r="G80" s="22"/>
      <c r="H80" s="21"/>
      <c r="I80" s="22"/>
      <c r="J80" s="23"/>
      <c r="K80" s="21"/>
      <c r="L80" s="24"/>
      <c r="M80" s="25"/>
      <c r="N80" s="26"/>
      <c r="O80" s="26"/>
      <c r="P80" s="22"/>
      <c r="Q80" s="21"/>
      <c r="R80" s="27"/>
      <c r="S80" s="28"/>
      <c r="T80" s="22"/>
      <c r="U80" s="34"/>
      <c r="V80" s="29"/>
    </row>
    <row r="81" spans="4:22" ht="15" thickBot="1" x14ac:dyDescent="0.4">
      <c r="D81" s="19"/>
      <c r="E81" s="20"/>
      <c r="F81" s="21"/>
      <c r="G81" s="22"/>
      <c r="H81" s="21"/>
      <c r="I81" s="22"/>
      <c r="J81" s="23"/>
      <c r="K81" s="21"/>
      <c r="L81" s="24"/>
      <c r="M81" s="25"/>
      <c r="N81" s="26"/>
      <c r="O81" s="26"/>
      <c r="P81" s="22"/>
      <c r="Q81" s="21"/>
      <c r="R81" s="27"/>
      <c r="S81" s="28"/>
      <c r="T81" s="22"/>
      <c r="U81" s="22"/>
      <c r="V81" s="29"/>
    </row>
    <row r="82" spans="4:22" ht="15" thickBot="1" x14ac:dyDescent="0.4">
      <c r="D82" s="19"/>
      <c r="E82" s="20"/>
      <c r="F82" s="21"/>
      <c r="G82" s="22"/>
      <c r="H82" s="21"/>
      <c r="I82" s="22"/>
      <c r="J82" s="23"/>
      <c r="K82" s="21"/>
      <c r="L82" s="24"/>
      <c r="M82" s="25"/>
      <c r="N82" s="26"/>
      <c r="O82" s="26"/>
      <c r="P82" s="22"/>
      <c r="Q82" s="21"/>
      <c r="R82" s="27"/>
      <c r="S82" s="28"/>
      <c r="T82" s="22"/>
      <c r="U82" s="22"/>
      <c r="V82" s="29"/>
    </row>
    <row r="83" spans="4:22" ht="15" thickBot="1" x14ac:dyDescent="0.4">
      <c r="D83" s="19"/>
      <c r="E83" s="20"/>
      <c r="F83" s="21"/>
      <c r="G83" s="22"/>
      <c r="H83" s="21"/>
      <c r="I83" s="22"/>
      <c r="J83" s="23"/>
      <c r="K83" s="21"/>
      <c r="L83" s="24"/>
      <c r="M83" s="25"/>
      <c r="N83" s="26"/>
      <c r="O83" s="26"/>
      <c r="P83" s="22"/>
      <c r="Q83" s="21"/>
      <c r="R83" s="27"/>
      <c r="S83" s="28"/>
      <c r="T83" s="22"/>
      <c r="U83" s="22"/>
      <c r="V83" s="29"/>
    </row>
    <row r="84" spans="4:22" ht="15" thickBot="1" x14ac:dyDescent="0.4">
      <c r="D84" s="19"/>
      <c r="E84" s="20"/>
      <c r="F84" s="21"/>
      <c r="G84" s="22"/>
      <c r="H84" s="21"/>
      <c r="I84" s="22"/>
      <c r="J84" s="23"/>
      <c r="K84" s="21"/>
      <c r="L84" s="24"/>
      <c r="M84" s="25"/>
      <c r="N84" s="26"/>
      <c r="O84" s="26"/>
      <c r="P84" s="22"/>
      <c r="Q84" s="21"/>
      <c r="R84" s="27"/>
      <c r="S84" s="28"/>
      <c r="T84" s="22"/>
      <c r="U84" s="34"/>
      <c r="V84" s="29"/>
    </row>
    <row r="85" spans="4:22" ht="15" thickBot="1" x14ac:dyDescent="0.4">
      <c r="D85" s="19"/>
      <c r="E85" s="20"/>
      <c r="F85" s="21"/>
      <c r="G85" s="22"/>
      <c r="H85" s="21"/>
      <c r="I85" s="22"/>
      <c r="J85" s="23"/>
      <c r="K85" s="21"/>
      <c r="L85" s="24"/>
      <c r="M85" s="25"/>
      <c r="N85" s="26"/>
      <c r="O85" s="26"/>
      <c r="P85" s="22"/>
      <c r="Q85" s="21"/>
      <c r="R85" s="27"/>
      <c r="S85" s="28"/>
      <c r="T85" s="22"/>
      <c r="U85" s="34"/>
      <c r="V85" s="29"/>
    </row>
    <row r="86" spans="4:22" ht="15" thickBot="1" x14ac:dyDescent="0.4">
      <c r="D86" s="19"/>
      <c r="E86" s="20"/>
      <c r="F86" s="21"/>
      <c r="G86" s="22"/>
      <c r="H86" s="21"/>
      <c r="I86" s="22"/>
      <c r="J86" s="23"/>
      <c r="K86" s="21"/>
      <c r="L86" s="24"/>
      <c r="M86" s="25"/>
      <c r="N86" s="26"/>
      <c r="O86" s="26"/>
      <c r="P86" s="22"/>
      <c r="Q86" s="21"/>
      <c r="R86" s="27"/>
      <c r="S86" s="28"/>
      <c r="T86" s="22"/>
      <c r="U86" s="34"/>
      <c r="V86" s="35"/>
    </row>
    <row r="87" spans="4:22" ht="15" thickBot="1" x14ac:dyDescent="0.4">
      <c r="D87" s="19"/>
      <c r="E87" s="20"/>
      <c r="F87" s="21"/>
      <c r="G87" s="22"/>
      <c r="H87" s="21"/>
      <c r="I87" s="22"/>
      <c r="J87" s="23"/>
      <c r="K87" s="21"/>
      <c r="L87" s="24"/>
      <c r="M87" s="25"/>
      <c r="N87" s="26"/>
      <c r="O87" s="26"/>
      <c r="P87" s="22"/>
      <c r="Q87" s="21"/>
      <c r="R87" s="27"/>
      <c r="S87" s="28"/>
      <c r="T87" s="22"/>
      <c r="U87" s="22"/>
      <c r="V87" s="29"/>
    </row>
    <row r="88" spans="4:22" ht="15" thickBot="1" x14ac:dyDescent="0.4">
      <c r="D88" s="19"/>
      <c r="E88" s="20"/>
      <c r="F88" s="21"/>
      <c r="G88" s="22"/>
      <c r="H88" s="21"/>
      <c r="I88" s="22"/>
      <c r="J88" s="23"/>
      <c r="K88" s="21"/>
      <c r="L88" s="24"/>
      <c r="M88" s="25"/>
      <c r="N88" s="26"/>
      <c r="O88" s="26"/>
      <c r="P88" s="22"/>
      <c r="Q88" s="21"/>
      <c r="R88" s="27"/>
      <c r="S88" s="28"/>
      <c r="T88" s="22"/>
      <c r="U88" s="22"/>
      <c r="V88" s="29"/>
    </row>
    <row r="89" spans="4:22" ht="15" thickBot="1" x14ac:dyDescent="0.4">
      <c r="D89" s="19"/>
      <c r="E89" s="20"/>
      <c r="F89" s="21"/>
      <c r="G89" s="22"/>
      <c r="H89" s="21"/>
      <c r="I89" s="22"/>
      <c r="J89" s="23"/>
      <c r="K89" s="21"/>
      <c r="L89" s="24"/>
      <c r="M89" s="25"/>
      <c r="N89" s="26"/>
      <c r="O89" s="26"/>
      <c r="P89" s="22"/>
      <c r="Q89" s="21"/>
      <c r="R89" s="27"/>
      <c r="S89" s="28"/>
      <c r="T89" s="22"/>
      <c r="U89" s="22"/>
      <c r="V89" s="29"/>
    </row>
    <row r="90" spans="4:22" ht="15" thickBot="1" x14ac:dyDescent="0.4">
      <c r="D90" s="19"/>
      <c r="E90" s="20"/>
      <c r="F90" s="21"/>
      <c r="G90" s="22"/>
      <c r="H90" s="21"/>
      <c r="I90" s="22"/>
      <c r="J90" s="23"/>
      <c r="K90" s="21"/>
      <c r="L90" s="24"/>
      <c r="M90" s="25"/>
      <c r="N90" s="26"/>
      <c r="O90" s="26"/>
      <c r="P90" s="22"/>
      <c r="Q90" s="21"/>
      <c r="R90" s="27"/>
      <c r="S90" s="28"/>
      <c r="T90" s="22"/>
      <c r="U90" s="34"/>
      <c r="V90" s="29"/>
    </row>
    <row r="91" spans="4:22" ht="15" thickBot="1" x14ac:dyDescent="0.4">
      <c r="D91" s="19"/>
      <c r="E91" s="20"/>
      <c r="F91" s="21"/>
      <c r="G91" s="22"/>
      <c r="H91" s="21"/>
      <c r="I91" s="22"/>
      <c r="J91" s="23"/>
      <c r="K91" s="21"/>
      <c r="L91" s="24"/>
      <c r="M91" s="25"/>
      <c r="N91" s="26"/>
      <c r="O91" s="26"/>
      <c r="P91" s="22"/>
      <c r="Q91" s="21"/>
      <c r="R91" s="27"/>
      <c r="S91" s="28"/>
      <c r="T91" s="22"/>
      <c r="U91" s="22"/>
      <c r="V91" s="29"/>
    </row>
    <row r="92" spans="4:22" ht="15" thickBot="1" x14ac:dyDescent="0.4">
      <c r="D92" s="19"/>
      <c r="E92" s="20"/>
      <c r="F92" s="21"/>
      <c r="G92" s="22"/>
      <c r="H92" s="21"/>
      <c r="I92" s="22"/>
      <c r="J92" s="23"/>
      <c r="K92" s="21"/>
      <c r="L92" s="24"/>
      <c r="M92" s="25"/>
      <c r="N92" s="26"/>
      <c r="O92" s="26"/>
      <c r="P92" s="22"/>
      <c r="Q92" s="21"/>
      <c r="R92" s="27"/>
      <c r="S92" s="28"/>
      <c r="T92" s="22"/>
      <c r="U92" s="22"/>
      <c r="V92" s="29"/>
    </row>
    <row r="93" spans="4:22" ht="15" thickBot="1" x14ac:dyDescent="0.4">
      <c r="D93" s="19"/>
      <c r="E93" s="20"/>
      <c r="F93" s="21"/>
      <c r="G93" s="22"/>
      <c r="H93" s="21"/>
      <c r="I93" s="22"/>
      <c r="J93" s="23"/>
      <c r="K93" s="21"/>
      <c r="L93" s="24"/>
      <c r="M93" s="25"/>
      <c r="N93" s="26"/>
      <c r="O93" s="26"/>
      <c r="P93" s="22"/>
      <c r="Q93" s="21"/>
      <c r="R93" s="27"/>
      <c r="S93" s="28"/>
      <c r="T93" s="22"/>
      <c r="U93" s="31"/>
      <c r="V93" s="29"/>
    </row>
    <row r="94" spans="4:22" ht="15" thickBot="1" x14ac:dyDescent="0.4">
      <c r="D94" s="19"/>
      <c r="E94" s="20"/>
      <c r="F94" s="21"/>
      <c r="G94" s="22"/>
      <c r="H94" s="21"/>
      <c r="I94" s="22"/>
      <c r="J94" s="23"/>
      <c r="K94" s="21"/>
      <c r="L94" s="24"/>
      <c r="M94" s="25"/>
      <c r="N94" s="26"/>
      <c r="O94" s="26"/>
      <c r="P94" s="22"/>
      <c r="Q94" s="21"/>
      <c r="R94" s="27"/>
      <c r="S94" s="28"/>
      <c r="T94" s="22"/>
      <c r="U94" s="30"/>
      <c r="V94" s="29"/>
    </row>
    <row r="95" spans="4:22" ht="15" thickBot="1" x14ac:dyDescent="0.4">
      <c r="D95" s="19"/>
      <c r="E95" s="20"/>
      <c r="F95" s="21"/>
      <c r="G95" s="22"/>
      <c r="H95" s="21"/>
      <c r="I95" s="22"/>
      <c r="J95" s="23"/>
      <c r="K95" s="21"/>
      <c r="L95" s="24"/>
      <c r="M95" s="25"/>
      <c r="N95" s="26"/>
      <c r="O95" s="26"/>
      <c r="P95" s="22"/>
      <c r="Q95" s="21"/>
      <c r="R95" s="27"/>
      <c r="S95" s="28"/>
      <c r="T95" s="22"/>
      <c r="U95" s="31"/>
      <c r="V95" s="29"/>
    </row>
    <row r="96" spans="4:22" ht="15" thickBot="1" x14ac:dyDescent="0.4">
      <c r="D96" s="19"/>
      <c r="E96" s="20"/>
      <c r="F96" s="21"/>
      <c r="G96" s="22"/>
      <c r="H96" s="21"/>
      <c r="I96" s="22"/>
      <c r="J96" s="23"/>
      <c r="K96" s="21"/>
      <c r="L96" s="24"/>
      <c r="M96" s="25"/>
      <c r="N96" s="26"/>
      <c r="O96" s="26"/>
      <c r="P96" s="22"/>
      <c r="Q96" s="21"/>
      <c r="R96" s="27"/>
      <c r="S96" s="28"/>
      <c r="T96" s="22"/>
      <c r="U96" s="31"/>
      <c r="V96" s="35"/>
    </row>
    <row r="97" spans="4:22" ht="15" thickBot="1" x14ac:dyDescent="0.4">
      <c r="D97" s="19"/>
      <c r="E97" s="20"/>
      <c r="F97" s="21"/>
      <c r="G97" s="22"/>
      <c r="H97" s="21"/>
      <c r="I97" s="22"/>
      <c r="J97" s="23"/>
      <c r="K97" s="21"/>
      <c r="L97" s="24"/>
      <c r="M97" s="25"/>
      <c r="N97" s="26"/>
      <c r="O97" s="26"/>
      <c r="P97" s="22"/>
      <c r="Q97" s="21"/>
      <c r="R97" s="27"/>
      <c r="S97" s="28"/>
      <c r="T97" s="22"/>
      <c r="U97" s="31"/>
      <c r="V97" s="29"/>
    </row>
    <row r="98" spans="4:22" ht="15" thickBot="1" x14ac:dyDescent="0.4">
      <c r="D98" s="19"/>
      <c r="E98" s="20"/>
      <c r="F98" s="21"/>
      <c r="G98" s="22"/>
      <c r="H98" s="21"/>
      <c r="I98" s="22"/>
      <c r="J98" s="23"/>
      <c r="K98" s="21"/>
      <c r="L98" s="24"/>
      <c r="M98" s="25"/>
      <c r="N98" s="26"/>
      <c r="O98" s="26"/>
      <c r="P98" s="22"/>
      <c r="Q98" s="21"/>
      <c r="R98" s="27"/>
      <c r="S98" s="28"/>
      <c r="T98" s="22"/>
      <c r="U98" s="31"/>
      <c r="V98" s="29"/>
    </row>
    <row r="99" spans="4:22" ht="15" thickBot="1" x14ac:dyDescent="0.4">
      <c r="D99" s="19"/>
      <c r="E99" s="20"/>
      <c r="F99" s="21"/>
      <c r="G99" s="22"/>
      <c r="H99" s="21"/>
      <c r="I99" s="22"/>
      <c r="J99" s="23"/>
      <c r="K99" s="21"/>
      <c r="L99" s="24"/>
      <c r="M99" s="25"/>
      <c r="N99" s="26"/>
      <c r="O99" s="26"/>
      <c r="P99" s="22"/>
      <c r="Q99" s="21"/>
      <c r="R99" s="27"/>
      <c r="S99" s="28"/>
      <c r="T99" s="22"/>
      <c r="U99" s="30"/>
      <c r="V99" s="29"/>
    </row>
    <row r="100" spans="4:22" ht="15" thickBot="1" x14ac:dyDescent="0.4">
      <c r="D100" s="19"/>
      <c r="E100" s="20"/>
      <c r="F100" s="21"/>
      <c r="G100" s="22"/>
      <c r="H100" s="21"/>
      <c r="I100" s="22"/>
      <c r="J100" s="23"/>
      <c r="K100" s="21"/>
      <c r="L100" s="24"/>
      <c r="M100" s="25"/>
      <c r="N100" s="26"/>
      <c r="O100" s="26"/>
      <c r="P100" s="22"/>
      <c r="Q100" s="21"/>
      <c r="R100" s="27"/>
      <c r="S100" s="28"/>
      <c r="T100" s="22"/>
      <c r="U100" s="31"/>
      <c r="V100" s="29"/>
    </row>
    <row r="101" spans="4:22" ht="15" thickBot="1" x14ac:dyDescent="0.4">
      <c r="D101" s="19"/>
      <c r="E101" s="20"/>
      <c r="F101" s="21"/>
      <c r="G101" s="22"/>
      <c r="H101" s="21"/>
      <c r="I101" s="22"/>
      <c r="J101" s="23"/>
      <c r="K101" s="21"/>
      <c r="L101" s="24"/>
      <c r="M101" s="25"/>
      <c r="N101" s="26"/>
      <c r="O101" s="26"/>
      <c r="P101" s="22"/>
      <c r="Q101" s="21"/>
      <c r="R101" s="27"/>
      <c r="S101" s="28"/>
      <c r="T101" s="22"/>
      <c r="U101" s="31"/>
      <c r="V101" s="29"/>
    </row>
    <row r="102" spans="4:22" ht="15" thickBot="1" x14ac:dyDescent="0.4">
      <c r="D102" s="19"/>
      <c r="E102" s="20"/>
      <c r="F102" s="21"/>
      <c r="G102" s="22"/>
      <c r="H102" s="21"/>
      <c r="I102" s="22"/>
      <c r="J102" s="23"/>
      <c r="K102" s="21"/>
      <c r="L102" s="24"/>
      <c r="M102" s="25"/>
      <c r="N102" s="26"/>
      <c r="O102" s="26"/>
      <c r="P102" s="22"/>
      <c r="Q102" s="21"/>
      <c r="R102" s="27"/>
      <c r="S102" s="28"/>
      <c r="T102" s="22"/>
      <c r="U102" s="30"/>
      <c r="V102" s="29"/>
    </row>
    <row r="103" spans="4:22" ht="15" thickBot="1" x14ac:dyDescent="0.4">
      <c r="D103" s="19"/>
      <c r="E103" s="20"/>
      <c r="F103" s="21"/>
      <c r="G103" s="22"/>
      <c r="H103" s="21"/>
      <c r="I103" s="22"/>
      <c r="J103" s="23"/>
      <c r="K103" s="21"/>
      <c r="L103" s="24"/>
      <c r="M103" s="25"/>
      <c r="N103" s="26"/>
      <c r="O103" s="26"/>
      <c r="P103" s="22"/>
      <c r="Q103" s="21"/>
      <c r="R103" s="27"/>
      <c r="S103" s="28"/>
      <c r="T103" s="22"/>
      <c r="U103" s="30"/>
      <c r="V103" s="29"/>
    </row>
    <row r="104" spans="4:22" ht="15" thickBot="1" x14ac:dyDescent="0.4">
      <c r="D104" s="19"/>
      <c r="E104" s="20"/>
      <c r="F104" s="21"/>
      <c r="G104" s="22"/>
      <c r="H104" s="21"/>
      <c r="I104" s="22"/>
      <c r="J104" s="23"/>
      <c r="K104" s="21"/>
      <c r="L104" s="24"/>
      <c r="M104" s="25"/>
      <c r="N104" s="26"/>
      <c r="O104" s="26"/>
      <c r="P104" s="22"/>
      <c r="Q104" s="21"/>
      <c r="R104" s="27"/>
      <c r="S104" s="28"/>
      <c r="T104" s="22"/>
      <c r="U104" s="31"/>
      <c r="V104" s="29"/>
    </row>
    <row r="105" spans="4:22" ht="15" thickBot="1" x14ac:dyDescent="0.4">
      <c r="D105" s="19"/>
      <c r="E105" s="20"/>
      <c r="F105" s="21"/>
      <c r="G105" s="22"/>
      <c r="H105" s="21"/>
      <c r="I105" s="22"/>
      <c r="J105" s="23"/>
      <c r="K105" s="21"/>
      <c r="L105" s="24"/>
      <c r="M105" s="25"/>
      <c r="N105" s="26"/>
      <c r="O105" s="26"/>
      <c r="P105" s="22"/>
      <c r="Q105" s="21"/>
      <c r="R105" s="27"/>
      <c r="S105" s="28"/>
      <c r="T105" s="22"/>
      <c r="U105" s="30"/>
      <c r="V105" s="29"/>
    </row>
    <row r="106" spans="4:22" ht="15" thickBot="1" x14ac:dyDescent="0.4">
      <c r="D106" s="19"/>
      <c r="E106" s="20"/>
      <c r="F106" s="21"/>
      <c r="G106" s="22"/>
      <c r="H106" s="21"/>
      <c r="I106" s="22"/>
      <c r="J106" s="23"/>
      <c r="K106" s="21"/>
      <c r="L106" s="24"/>
      <c r="M106" s="25"/>
      <c r="N106" s="26"/>
      <c r="O106" s="26"/>
      <c r="P106" s="22"/>
      <c r="Q106" s="21"/>
      <c r="R106" s="27"/>
      <c r="S106" s="28"/>
      <c r="T106" s="22"/>
      <c r="U106" s="30"/>
      <c r="V106" s="29"/>
    </row>
    <row r="107" spans="4:22" ht="15" thickBot="1" x14ac:dyDescent="0.4">
      <c r="D107" s="19"/>
      <c r="E107" s="20"/>
      <c r="F107" s="21"/>
      <c r="G107" s="22"/>
      <c r="H107" s="21"/>
      <c r="I107" s="22"/>
      <c r="J107" s="23"/>
      <c r="K107" s="21"/>
      <c r="L107" s="24"/>
      <c r="M107" s="25"/>
      <c r="N107" s="26"/>
      <c r="O107" s="26"/>
      <c r="P107" s="22"/>
      <c r="Q107" s="21"/>
      <c r="R107" s="27"/>
      <c r="S107" s="28"/>
      <c r="T107" s="22"/>
      <c r="U107" s="30"/>
      <c r="V107" s="29"/>
    </row>
    <row r="108" spans="4:22" ht="15" thickBot="1" x14ac:dyDescent="0.4">
      <c r="D108" s="19"/>
      <c r="E108" s="20"/>
      <c r="F108" s="21"/>
      <c r="G108" s="22"/>
      <c r="H108" s="21"/>
      <c r="I108" s="22"/>
      <c r="J108" s="23"/>
      <c r="K108" s="21"/>
      <c r="L108" s="24"/>
      <c r="M108" s="25"/>
      <c r="N108" s="26"/>
      <c r="O108" s="26"/>
      <c r="P108" s="22"/>
      <c r="Q108" s="21"/>
      <c r="R108" s="27"/>
      <c r="S108" s="28"/>
      <c r="T108" s="22"/>
      <c r="U108" s="31"/>
      <c r="V108" s="29"/>
    </row>
    <row r="109" spans="4:22" ht="15" thickBot="1" x14ac:dyDescent="0.4">
      <c r="D109" s="19"/>
      <c r="E109" s="20"/>
      <c r="F109" s="21"/>
      <c r="G109" s="22"/>
      <c r="H109" s="21"/>
      <c r="I109" s="22"/>
      <c r="J109" s="23"/>
      <c r="K109" s="21"/>
      <c r="L109" s="24"/>
      <c r="M109" s="25"/>
      <c r="N109" s="26"/>
      <c r="O109" s="26"/>
      <c r="P109" s="22"/>
      <c r="Q109" s="21"/>
      <c r="R109" s="27"/>
      <c r="S109" s="28"/>
      <c r="T109" s="22"/>
      <c r="U109" s="30"/>
      <c r="V109" s="35"/>
    </row>
    <row r="110" spans="4:22" ht="15" thickBot="1" x14ac:dyDescent="0.4">
      <c r="D110" s="19"/>
      <c r="E110" s="20"/>
      <c r="F110" s="21"/>
      <c r="G110" s="22"/>
      <c r="H110" s="21"/>
      <c r="I110" s="22"/>
      <c r="J110" s="23"/>
      <c r="K110" s="21"/>
      <c r="L110" s="24"/>
      <c r="M110" s="25"/>
      <c r="N110" s="26"/>
      <c r="O110" s="26"/>
      <c r="P110" s="22"/>
      <c r="Q110" s="21"/>
      <c r="R110" s="27"/>
      <c r="S110" s="28"/>
      <c r="T110" s="22"/>
      <c r="U110" s="30"/>
      <c r="V110" s="29"/>
    </row>
    <row r="111" spans="4:22" ht="15" thickBot="1" x14ac:dyDescent="0.4">
      <c r="D111" s="19"/>
      <c r="E111" s="20"/>
      <c r="F111" s="21"/>
      <c r="G111" s="22"/>
      <c r="H111" s="21"/>
      <c r="I111" s="22"/>
      <c r="J111" s="23"/>
      <c r="K111" s="21"/>
      <c r="L111" s="24"/>
      <c r="M111" s="25"/>
      <c r="N111" s="26"/>
      <c r="O111" s="26"/>
      <c r="P111" s="22"/>
      <c r="Q111" s="21"/>
      <c r="R111" s="27"/>
      <c r="S111" s="28"/>
      <c r="T111" s="22"/>
      <c r="U111" s="30"/>
      <c r="V111" s="29"/>
    </row>
    <row r="112" spans="4:22" ht="15" thickBot="1" x14ac:dyDescent="0.4">
      <c r="D112" s="19"/>
      <c r="E112" s="20"/>
      <c r="F112" s="21"/>
      <c r="G112" s="22"/>
      <c r="H112" s="21"/>
      <c r="I112" s="22"/>
      <c r="J112" s="23"/>
      <c r="K112" s="21"/>
      <c r="L112" s="24"/>
      <c r="M112" s="25"/>
      <c r="N112" s="26"/>
      <c r="O112" s="26"/>
      <c r="P112" s="22"/>
      <c r="Q112" s="21"/>
      <c r="R112" s="27"/>
      <c r="S112" s="28"/>
      <c r="T112" s="22"/>
      <c r="U112" s="31"/>
      <c r="V112" s="29"/>
    </row>
    <row r="113" spans="4:22" ht="15" thickBot="1" x14ac:dyDescent="0.4">
      <c r="D113" s="19"/>
      <c r="E113" s="20"/>
      <c r="F113" s="21"/>
      <c r="G113" s="22"/>
      <c r="H113" s="21"/>
      <c r="I113" s="22"/>
      <c r="J113" s="23"/>
      <c r="K113" s="21"/>
      <c r="L113" s="24"/>
      <c r="M113" s="25"/>
      <c r="N113" s="26"/>
      <c r="O113" s="26"/>
      <c r="P113" s="22"/>
      <c r="Q113" s="21"/>
      <c r="R113" s="27"/>
      <c r="S113" s="28"/>
      <c r="T113" s="22"/>
      <c r="U113" s="31"/>
      <c r="V113" s="29"/>
    </row>
    <row r="114" spans="4:22" ht="15" thickBot="1" x14ac:dyDescent="0.4">
      <c r="D114" s="19"/>
      <c r="E114" s="20"/>
      <c r="F114" s="21"/>
      <c r="G114" s="22"/>
      <c r="H114" s="21"/>
      <c r="I114" s="22"/>
      <c r="J114" s="23"/>
      <c r="K114" s="21"/>
      <c r="L114" s="24"/>
      <c r="M114" s="25"/>
      <c r="N114" s="26"/>
      <c r="O114" s="26"/>
      <c r="P114" s="22"/>
      <c r="Q114" s="21"/>
      <c r="R114" s="27"/>
      <c r="S114" s="28"/>
      <c r="T114" s="22"/>
      <c r="U114" s="33"/>
      <c r="V114" s="29"/>
    </row>
    <row r="115" spans="4:22" ht="15" thickBot="1" x14ac:dyDescent="0.4">
      <c r="D115" s="19"/>
      <c r="E115" s="20"/>
      <c r="F115" s="21"/>
      <c r="G115" s="22"/>
      <c r="H115" s="21"/>
      <c r="I115" s="22"/>
      <c r="J115" s="23"/>
      <c r="K115" s="21"/>
      <c r="L115" s="24"/>
      <c r="M115" s="25"/>
      <c r="N115" s="26"/>
      <c r="O115" s="26"/>
      <c r="P115" s="22"/>
      <c r="Q115" s="21"/>
      <c r="R115" s="27"/>
      <c r="S115" s="28"/>
      <c r="T115" s="22"/>
      <c r="U115" s="33"/>
      <c r="V115" s="29"/>
    </row>
    <row r="116" spans="4:22" ht="15" thickBot="1" x14ac:dyDescent="0.4">
      <c r="D116" s="19"/>
      <c r="E116" s="20"/>
      <c r="F116" s="21"/>
      <c r="G116" s="22"/>
      <c r="H116" s="21"/>
      <c r="I116" s="22"/>
      <c r="J116" s="23"/>
      <c r="K116" s="21"/>
      <c r="L116" s="24"/>
      <c r="M116" s="25"/>
      <c r="N116" s="26"/>
      <c r="O116" s="26"/>
      <c r="P116" s="22"/>
      <c r="Q116" s="21"/>
      <c r="R116" s="27"/>
      <c r="S116" s="28"/>
      <c r="T116" s="22"/>
      <c r="U116" s="32"/>
      <c r="V116" s="29"/>
    </row>
    <row r="117" spans="4:22" ht="15" thickBot="1" x14ac:dyDescent="0.4">
      <c r="D117" s="19"/>
      <c r="E117" s="20"/>
      <c r="F117" s="21"/>
      <c r="G117" s="22"/>
      <c r="H117" s="21"/>
      <c r="I117" s="22"/>
      <c r="J117" s="23"/>
      <c r="K117" s="21"/>
      <c r="L117" s="24"/>
      <c r="M117" s="25"/>
      <c r="N117" s="26"/>
      <c r="O117" s="26"/>
      <c r="P117" s="22"/>
      <c r="Q117" s="21"/>
      <c r="R117" s="27"/>
      <c r="S117" s="28"/>
      <c r="T117" s="22"/>
      <c r="U117" s="33"/>
      <c r="V117" s="29"/>
    </row>
    <row r="118" spans="4:22" ht="15" thickBot="1" x14ac:dyDescent="0.4">
      <c r="D118" s="19"/>
      <c r="E118" s="20"/>
      <c r="F118" s="21"/>
      <c r="G118" s="22"/>
      <c r="H118" s="21"/>
      <c r="I118" s="22"/>
      <c r="J118" s="23"/>
      <c r="K118" s="21"/>
      <c r="L118" s="24"/>
      <c r="M118" s="25"/>
      <c r="N118" s="26"/>
      <c r="O118" s="26"/>
      <c r="P118" s="22"/>
      <c r="Q118" s="21"/>
      <c r="R118" s="27"/>
      <c r="S118" s="28"/>
      <c r="T118" s="22"/>
      <c r="U118" s="33"/>
      <c r="V118" s="29"/>
    </row>
    <row r="119" spans="4:22" ht="15" thickBot="1" x14ac:dyDescent="0.4">
      <c r="D119" s="19"/>
      <c r="E119" s="20"/>
      <c r="F119" s="21"/>
      <c r="G119" s="22"/>
      <c r="H119" s="21"/>
      <c r="I119" s="22"/>
      <c r="J119" s="23"/>
      <c r="K119" s="21"/>
      <c r="L119" s="24"/>
      <c r="M119" s="25"/>
      <c r="N119" s="26"/>
      <c r="O119" s="26"/>
      <c r="P119" s="22"/>
      <c r="Q119" s="21"/>
      <c r="R119" s="27"/>
      <c r="S119" s="28"/>
      <c r="T119" s="22"/>
      <c r="U119" s="32"/>
      <c r="V119" s="29"/>
    </row>
    <row r="120" spans="4:22" ht="15" thickBot="1" x14ac:dyDescent="0.4">
      <c r="D120" s="19"/>
      <c r="E120" s="20"/>
      <c r="F120" s="21"/>
      <c r="G120" s="22"/>
      <c r="H120" s="21"/>
      <c r="I120" s="22"/>
      <c r="J120" s="23"/>
      <c r="K120" s="21"/>
      <c r="L120" s="24"/>
      <c r="M120" s="25"/>
      <c r="N120" s="26"/>
      <c r="O120" s="26"/>
      <c r="P120" s="22"/>
      <c r="Q120" s="21"/>
      <c r="R120" s="27"/>
      <c r="S120" s="28"/>
      <c r="T120" s="22"/>
      <c r="U120" s="33"/>
      <c r="V120" s="29"/>
    </row>
    <row r="121" spans="4:22" ht="15" thickBot="1" x14ac:dyDescent="0.4">
      <c r="D121" s="19"/>
      <c r="E121" s="20"/>
      <c r="F121" s="21"/>
      <c r="G121" s="22"/>
      <c r="H121" s="21"/>
      <c r="I121" s="22"/>
      <c r="J121" s="23"/>
      <c r="K121" s="21"/>
      <c r="L121" s="24"/>
      <c r="M121" s="25"/>
      <c r="N121" s="26"/>
      <c r="O121" s="26"/>
      <c r="P121" s="22"/>
      <c r="Q121" s="21"/>
      <c r="R121" s="27"/>
      <c r="S121" s="28"/>
      <c r="T121" s="22"/>
      <c r="U121" s="33"/>
      <c r="V121" s="29"/>
    </row>
    <row r="122" spans="4:22" ht="15" thickBot="1" x14ac:dyDescent="0.4">
      <c r="D122" s="19"/>
      <c r="E122" s="20"/>
      <c r="F122" s="21"/>
      <c r="G122" s="22"/>
      <c r="H122" s="21"/>
      <c r="I122" s="22"/>
      <c r="J122" s="23"/>
      <c r="K122" s="21"/>
      <c r="L122" s="24"/>
      <c r="M122" s="25"/>
      <c r="N122" s="26"/>
      <c r="O122" s="26"/>
      <c r="P122" s="22"/>
      <c r="Q122" s="21"/>
      <c r="R122" s="27"/>
      <c r="S122" s="28"/>
      <c r="T122" s="22"/>
      <c r="U122" s="33"/>
      <c r="V122" s="29"/>
    </row>
    <row r="123" spans="4:22" ht="15" thickBot="1" x14ac:dyDescent="0.4">
      <c r="D123" s="19"/>
      <c r="E123" s="20"/>
      <c r="F123" s="21"/>
      <c r="G123" s="22"/>
      <c r="H123" s="21"/>
      <c r="I123" s="22"/>
      <c r="J123" s="23"/>
      <c r="K123" s="21"/>
      <c r="L123" s="24"/>
      <c r="M123" s="25"/>
      <c r="N123" s="26"/>
      <c r="O123" s="26"/>
      <c r="P123" s="22"/>
      <c r="Q123" s="21"/>
      <c r="R123" s="27"/>
      <c r="S123" s="28"/>
      <c r="T123" s="22"/>
      <c r="U123" s="33"/>
      <c r="V123" s="29"/>
    </row>
    <row r="124" spans="4:22" ht="15" thickBot="1" x14ac:dyDescent="0.4">
      <c r="D124" s="19"/>
      <c r="E124" s="20"/>
      <c r="F124" s="21"/>
      <c r="G124" s="22"/>
      <c r="H124" s="21"/>
      <c r="I124" s="22"/>
      <c r="J124" s="23"/>
      <c r="K124" s="21"/>
      <c r="L124" s="24"/>
      <c r="M124" s="25"/>
      <c r="N124" s="26"/>
      <c r="O124" s="26"/>
      <c r="P124" s="22"/>
      <c r="Q124" s="21"/>
      <c r="R124" s="27"/>
      <c r="S124" s="28"/>
      <c r="T124" s="22"/>
      <c r="U124" s="33"/>
      <c r="V124" s="29"/>
    </row>
    <row r="125" spans="4:22" ht="15" thickBot="1" x14ac:dyDescent="0.4">
      <c r="D125" s="19"/>
      <c r="E125" s="20"/>
      <c r="F125" s="21"/>
      <c r="G125" s="22"/>
      <c r="H125" s="21"/>
      <c r="I125" s="22"/>
      <c r="J125" s="23"/>
      <c r="K125" s="21"/>
      <c r="L125" s="24"/>
      <c r="M125" s="25"/>
      <c r="N125" s="26"/>
      <c r="O125" s="26"/>
      <c r="P125" s="22"/>
      <c r="Q125" s="21"/>
      <c r="R125" s="27"/>
      <c r="S125" s="28"/>
      <c r="T125" s="22"/>
      <c r="U125" s="33"/>
      <c r="V125" s="35"/>
    </row>
    <row r="126" spans="4:22" ht="15" thickBot="1" x14ac:dyDescent="0.4">
      <c r="D126" s="19"/>
      <c r="E126" s="20"/>
      <c r="F126" s="21"/>
      <c r="G126" s="22"/>
      <c r="H126" s="21"/>
      <c r="I126" s="22"/>
      <c r="J126" s="23"/>
      <c r="K126" s="21"/>
      <c r="L126" s="24"/>
      <c r="M126" s="25"/>
      <c r="N126" s="26"/>
      <c r="O126" s="26"/>
      <c r="P126" s="22"/>
      <c r="Q126" s="21"/>
      <c r="R126" s="27"/>
      <c r="S126" s="28"/>
      <c r="T126" s="22"/>
      <c r="U126" s="32"/>
      <c r="V126" s="29"/>
    </row>
    <row r="127" spans="4:22" ht="15" thickBot="1" x14ac:dyDescent="0.4">
      <c r="D127" s="19"/>
      <c r="E127" s="20"/>
      <c r="F127" s="21"/>
      <c r="G127" s="22"/>
      <c r="H127" s="21"/>
      <c r="I127" s="22"/>
      <c r="J127" s="23"/>
      <c r="K127" s="21"/>
      <c r="L127" s="24"/>
      <c r="M127" s="25"/>
      <c r="N127" s="26"/>
      <c r="O127" s="26"/>
      <c r="P127" s="22"/>
      <c r="Q127" s="21"/>
      <c r="R127" s="27"/>
      <c r="S127" s="28"/>
      <c r="T127" s="22"/>
      <c r="U127" s="32"/>
      <c r="V127" s="35"/>
    </row>
    <row r="128" spans="4:22" ht="15" thickBot="1" x14ac:dyDescent="0.4">
      <c r="D128" s="19"/>
      <c r="E128" s="20"/>
      <c r="F128" s="21"/>
      <c r="G128" s="22"/>
      <c r="H128" s="21"/>
      <c r="I128" s="22"/>
      <c r="J128" s="23"/>
      <c r="K128" s="21"/>
      <c r="L128" s="24"/>
      <c r="M128" s="25"/>
      <c r="N128" s="26"/>
      <c r="O128" s="26"/>
      <c r="P128" s="22"/>
      <c r="Q128" s="21"/>
      <c r="R128" s="27"/>
      <c r="S128" s="28"/>
      <c r="T128" s="22"/>
      <c r="U128" s="33"/>
      <c r="V128" s="29"/>
    </row>
    <row r="129" spans="4:22" ht="15" thickBot="1" x14ac:dyDescent="0.4">
      <c r="D129" s="19"/>
      <c r="E129" s="20"/>
      <c r="F129" s="21"/>
      <c r="G129" s="22"/>
      <c r="H129" s="21"/>
      <c r="I129" s="22"/>
      <c r="J129" s="23"/>
      <c r="K129" s="21"/>
      <c r="L129" s="24"/>
      <c r="M129" s="25"/>
      <c r="N129" s="26"/>
      <c r="O129" s="26"/>
      <c r="P129" s="22"/>
      <c r="Q129" s="21"/>
      <c r="R129" s="27"/>
      <c r="S129" s="28"/>
      <c r="T129" s="22"/>
      <c r="U129" s="33"/>
      <c r="V129" s="29"/>
    </row>
    <row r="130" spans="4:22" ht="15" thickBot="1" x14ac:dyDescent="0.4">
      <c r="D130" s="19"/>
      <c r="E130" s="20"/>
      <c r="F130" s="21"/>
      <c r="G130" s="22"/>
      <c r="H130" s="21"/>
      <c r="I130" s="22"/>
      <c r="J130" s="23"/>
      <c r="K130" s="21"/>
      <c r="L130" s="24"/>
      <c r="M130" s="25"/>
      <c r="N130" s="26"/>
      <c r="O130" s="26"/>
      <c r="P130" s="22"/>
      <c r="Q130" s="21"/>
      <c r="R130" s="27"/>
      <c r="S130" s="28"/>
      <c r="T130" s="22"/>
      <c r="U130" s="32"/>
      <c r="V130" s="35"/>
    </row>
    <row r="131" spans="4:22" ht="15" thickBot="1" x14ac:dyDescent="0.4">
      <c r="D131" s="19"/>
      <c r="E131" s="20"/>
      <c r="F131" s="21"/>
      <c r="G131" s="22"/>
      <c r="H131" s="21"/>
      <c r="I131" s="22"/>
      <c r="J131" s="23"/>
      <c r="K131" s="21"/>
      <c r="L131" s="24"/>
      <c r="M131" s="25"/>
      <c r="N131" s="26"/>
      <c r="O131" s="26"/>
      <c r="P131" s="22"/>
      <c r="Q131" s="21"/>
      <c r="R131" s="27"/>
      <c r="S131" s="28"/>
      <c r="T131" s="22"/>
      <c r="U131" s="33"/>
      <c r="V131" s="35"/>
    </row>
    <row r="132" spans="4:22" ht="15" thickBot="1" x14ac:dyDescent="0.4">
      <c r="D132" s="19"/>
      <c r="E132" s="20"/>
      <c r="F132" s="21"/>
      <c r="G132" s="22"/>
      <c r="H132" s="21"/>
      <c r="I132" s="22"/>
      <c r="J132" s="23"/>
      <c r="K132" s="21"/>
      <c r="L132" s="24"/>
      <c r="M132" s="25"/>
      <c r="N132" s="26"/>
      <c r="O132" s="26"/>
      <c r="P132" s="22"/>
      <c r="Q132" s="21"/>
      <c r="R132" s="27"/>
      <c r="S132" s="28"/>
      <c r="T132" s="22"/>
      <c r="U132" s="32"/>
      <c r="V132" s="35"/>
    </row>
    <row r="133" spans="4:22" ht="15" thickBot="1" x14ac:dyDescent="0.4">
      <c r="D133" s="19"/>
      <c r="E133" s="20"/>
      <c r="F133" s="21"/>
      <c r="G133" s="22"/>
      <c r="H133" s="21"/>
      <c r="I133" s="22"/>
      <c r="J133" s="23"/>
      <c r="K133" s="21"/>
      <c r="L133" s="24"/>
      <c r="M133" s="25"/>
      <c r="N133" s="26"/>
      <c r="O133" s="26"/>
      <c r="P133" s="22"/>
      <c r="Q133" s="21"/>
      <c r="R133" s="27"/>
      <c r="S133" s="28"/>
      <c r="T133" s="22"/>
      <c r="U133" s="32"/>
      <c r="V133" s="35"/>
    </row>
    <row r="134" spans="4:22" ht="15" thickBot="1" x14ac:dyDescent="0.4">
      <c r="D134" s="19"/>
      <c r="E134" s="20"/>
      <c r="F134" s="21"/>
      <c r="G134" s="22"/>
      <c r="H134" s="21"/>
      <c r="I134" s="22"/>
      <c r="J134" s="23"/>
      <c r="K134" s="21"/>
      <c r="L134" s="24"/>
      <c r="M134" s="25"/>
      <c r="N134" s="26"/>
      <c r="O134" s="26"/>
      <c r="P134" s="22"/>
      <c r="Q134" s="21"/>
      <c r="R134" s="27"/>
      <c r="S134" s="28"/>
      <c r="T134" s="22"/>
      <c r="U134" s="33"/>
      <c r="V134" s="35"/>
    </row>
    <row r="135" spans="4:22" ht="15" thickBot="1" x14ac:dyDescent="0.4">
      <c r="D135" s="19"/>
      <c r="E135" s="20"/>
      <c r="F135" s="21"/>
      <c r="G135" s="22"/>
      <c r="H135" s="21"/>
      <c r="I135" s="22"/>
      <c r="J135" s="23"/>
      <c r="K135" s="21"/>
      <c r="L135" s="24"/>
      <c r="M135" s="25"/>
      <c r="N135" s="26"/>
      <c r="O135" s="26"/>
      <c r="P135" s="22"/>
      <c r="Q135" s="21"/>
      <c r="R135" s="27"/>
      <c r="S135" s="28"/>
      <c r="T135" s="22"/>
      <c r="U135" s="32"/>
      <c r="V135" s="35"/>
    </row>
    <row r="136" spans="4:22" ht="15" thickBot="1" x14ac:dyDescent="0.4">
      <c r="D136" s="19"/>
      <c r="E136" s="20"/>
      <c r="F136" s="21"/>
      <c r="G136" s="22"/>
      <c r="H136" s="21"/>
      <c r="I136" s="22"/>
      <c r="J136" s="23"/>
      <c r="K136" s="21"/>
      <c r="L136" s="24"/>
      <c r="M136" s="25"/>
      <c r="N136" s="26"/>
      <c r="O136" s="26"/>
      <c r="P136" s="22"/>
      <c r="Q136" s="21"/>
      <c r="R136" s="27"/>
      <c r="S136" s="28"/>
      <c r="T136" s="22"/>
      <c r="U136" s="33"/>
      <c r="V136" s="29"/>
    </row>
    <row r="137" spans="4:22" ht="15" thickBot="1" x14ac:dyDescent="0.4">
      <c r="D137" s="19"/>
      <c r="E137" s="20"/>
      <c r="F137" s="21"/>
      <c r="G137" s="22"/>
      <c r="H137" s="21"/>
      <c r="I137" s="22"/>
      <c r="J137" s="23"/>
      <c r="K137" s="21"/>
      <c r="L137" s="24"/>
      <c r="M137" s="25"/>
      <c r="N137" s="26"/>
      <c r="O137" s="26"/>
      <c r="P137" s="22"/>
      <c r="Q137" s="21"/>
      <c r="R137" s="27"/>
      <c r="S137" s="28"/>
      <c r="T137" s="22"/>
      <c r="U137" s="32"/>
      <c r="V137" s="35"/>
    </row>
    <row r="138" spans="4:22" ht="15" thickBot="1" x14ac:dyDescent="0.4">
      <c r="D138" s="19"/>
      <c r="E138" s="20"/>
      <c r="F138" s="21"/>
      <c r="G138" s="22"/>
      <c r="H138" s="21"/>
      <c r="I138" s="22"/>
      <c r="J138" s="23"/>
      <c r="K138" s="21"/>
      <c r="L138" s="24"/>
      <c r="M138" s="25"/>
      <c r="N138" s="26"/>
      <c r="O138" s="26"/>
      <c r="P138" s="22"/>
      <c r="Q138" s="21"/>
      <c r="R138" s="27"/>
      <c r="S138" s="28"/>
      <c r="T138" s="22"/>
      <c r="U138" s="33"/>
      <c r="V138" s="35"/>
    </row>
    <row r="139" spans="4:22" ht="15" thickBot="1" x14ac:dyDescent="0.4">
      <c r="D139" s="19"/>
      <c r="E139" s="20"/>
      <c r="F139" s="21"/>
      <c r="G139" s="22"/>
      <c r="H139" s="21"/>
      <c r="I139" s="22"/>
      <c r="J139" s="23"/>
      <c r="K139" s="21"/>
      <c r="L139" s="24"/>
      <c r="M139" s="25"/>
      <c r="N139" s="26"/>
      <c r="O139" s="26"/>
      <c r="P139" s="22"/>
      <c r="Q139" s="21"/>
      <c r="R139" s="27"/>
      <c r="S139" s="28"/>
      <c r="T139" s="22"/>
      <c r="U139" s="33"/>
      <c r="V139" s="35"/>
    </row>
    <row r="140" spans="4:22" ht="15" thickBot="1" x14ac:dyDescent="0.4">
      <c r="D140" s="19"/>
      <c r="E140" s="20"/>
      <c r="F140" s="21"/>
      <c r="G140" s="22"/>
      <c r="H140" s="21"/>
      <c r="I140" s="22"/>
      <c r="J140" s="23"/>
      <c r="K140" s="21"/>
      <c r="L140" s="24"/>
      <c r="M140" s="25"/>
      <c r="N140" s="26"/>
      <c r="O140" s="26"/>
      <c r="P140" s="22"/>
      <c r="Q140" s="21"/>
      <c r="R140" s="27"/>
      <c r="S140" s="28"/>
      <c r="T140" s="22"/>
      <c r="U140" s="33"/>
      <c r="V140" s="29"/>
    </row>
    <row r="141" spans="4:22" ht="15" thickBot="1" x14ac:dyDescent="0.4">
      <c r="D141" s="19"/>
      <c r="E141" s="20"/>
      <c r="F141" s="21"/>
      <c r="G141" s="22"/>
      <c r="H141" s="21"/>
      <c r="I141" s="22"/>
      <c r="J141" s="23"/>
      <c r="K141" s="21"/>
      <c r="L141" s="24"/>
      <c r="M141" s="25"/>
      <c r="N141" s="26"/>
      <c r="O141" s="26"/>
      <c r="P141" s="22"/>
      <c r="Q141" s="21"/>
      <c r="R141" s="27"/>
      <c r="S141" s="28"/>
      <c r="T141" s="22"/>
      <c r="U141" s="33"/>
      <c r="V141" s="35"/>
    </row>
    <row r="142" spans="4:22" ht="15" thickBot="1" x14ac:dyDescent="0.4">
      <c r="D142" s="19"/>
      <c r="E142" s="20"/>
      <c r="F142" s="21"/>
      <c r="G142" s="22"/>
      <c r="H142" s="21"/>
      <c r="I142" s="22"/>
      <c r="J142" s="23"/>
      <c r="K142" s="21"/>
      <c r="L142" s="24"/>
      <c r="M142" s="25"/>
      <c r="N142" s="26"/>
      <c r="O142" s="26"/>
      <c r="P142" s="22"/>
      <c r="Q142" s="21"/>
      <c r="R142" s="27"/>
      <c r="S142" s="28"/>
      <c r="T142" s="22"/>
      <c r="U142" s="32"/>
      <c r="V142" s="35"/>
    </row>
    <row r="143" spans="4:22" ht="15" thickBot="1" x14ac:dyDescent="0.4">
      <c r="D143" s="19"/>
      <c r="E143" s="20"/>
      <c r="F143" s="21"/>
      <c r="G143" s="22"/>
      <c r="H143" s="21"/>
      <c r="I143" s="22"/>
      <c r="J143" s="23"/>
      <c r="K143" s="21"/>
      <c r="L143" s="24"/>
      <c r="M143" s="25"/>
      <c r="N143" s="26"/>
      <c r="O143" s="26"/>
      <c r="P143" s="22"/>
      <c r="Q143" s="21"/>
      <c r="R143" s="27"/>
      <c r="S143" s="28"/>
      <c r="T143" s="22"/>
      <c r="U143" s="32"/>
      <c r="V143" s="35"/>
    </row>
    <row r="144" spans="4:22" ht="15" thickBot="1" x14ac:dyDescent="0.4">
      <c r="D144" s="19"/>
      <c r="E144" s="20"/>
      <c r="F144" s="21"/>
      <c r="G144" s="22"/>
      <c r="H144" s="21"/>
      <c r="I144" s="22"/>
      <c r="J144" s="23"/>
      <c r="K144" s="21"/>
      <c r="L144" s="24"/>
      <c r="M144" s="25"/>
      <c r="N144" s="26"/>
      <c r="O144" s="26"/>
      <c r="P144" s="22"/>
      <c r="Q144" s="21"/>
      <c r="R144" s="27"/>
      <c r="S144" s="28"/>
      <c r="T144" s="22"/>
      <c r="U144" s="33"/>
      <c r="V144" s="29"/>
    </row>
    <row r="145" spans="4:22" ht="15" thickBot="1" x14ac:dyDescent="0.4">
      <c r="D145" s="19"/>
      <c r="E145" s="20"/>
      <c r="F145" s="21"/>
      <c r="G145" s="22"/>
      <c r="H145" s="21"/>
      <c r="I145" s="22"/>
      <c r="J145" s="23"/>
      <c r="K145" s="21"/>
      <c r="L145" s="24"/>
      <c r="M145" s="25"/>
      <c r="N145" s="26"/>
      <c r="O145" s="26"/>
      <c r="P145" s="22"/>
      <c r="Q145" s="21"/>
      <c r="R145" s="27"/>
      <c r="S145" s="28"/>
      <c r="T145" s="22"/>
      <c r="U145" s="33"/>
      <c r="V145" s="35"/>
    </row>
    <row r="146" spans="4:22" ht="15" thickBot="1" x14ac:dyDescent="0.4">
      <c r="D146" s="19"/>
      <c r="E146" s="20"/>
      <c r="F146" s="21"/>
      <c r="G146" s="22"/>
      <c r="H146" s="21"/>
      <c r="I146" s="22"/>
      <c r="J146" s="23"/>
      <c r="K146" s="21"/>
      <c r="L146" s="24"/>
      <c r="M146" s="25"/>
      <c r="N146" s="26"/>
      <c r="O146" s="26"/>
      <c r="P146" s="22"/>
      <c r="Q146" s="21"/>
      <c r="R146" s="27"/>
      <c r="S146" s="28"/>
      <c r="T146" s="22"/>
      <c r="U146" s="32"/>
      <c r="V146" s="35"/>
    </row>
    <row r="147" spans="4:22" ht="15" thickBot="1" x14ac:dyDescent="0.4">
      <c r="D147" s="19"/>
      <c r="E147" s="20"/>
      <c r="F147" s="21"/>
      <c r="G147" s="22"/>
      <c r="H147" s="21"/>
      <c r="I147" s="22"/>
      <c r="J147" s="23"/>
      <c r="K147" s="21"/>
      <c r="L147" s="24"/>
      <c r="M147" s="25"/>
      <c r="N147" s="26"/>
      <c r="O147" s="26"/>
      <c r="P147" s="22"/>
      <c r="Q147" s="21"/>
      <c r="R147" s="27"/>
      <c r="S147" s="28"/>
      <c r="T147" s="22"/>
      <c r="U147" s="33"/>
      <c r="V147" s="35"/>
    </row>
    <row r="148" spans="4:22" ht="15" thickBot="1" x14ac:dyDescent="0.4">
      <c r="D148" s="19"/>
      <c r="E148" s="20"/>
      <c r="F148" s="21"/>
      <c r="G148" s="22"/>
      <c r="H148" s="21"/>
      <c r="I148" s="22"/>
      <c r="J148" s="23"/>
      <c r="K148" s="21"/>
      <c r="L148" s="24"/>
      <c r="M148" s="25"/>
      <c r="N148" s="26"/>
      <c r="O148" s="26"/>
      <c r="P148" s="22"/>
      <c r="Q148" s="21"/>
      <c r="R148" s="27"/>
      <c r="S148" s="28"/>
      <c r="T148" s="22"/>
      <c r="U148" s="33"/>
      <c r="V148" s="29"/>
    </row>
    <row r="149" spans="4:22" ht="15" thickBot="1" x14ac:dyDescent="0.4">
      <c r="D149" s="19"/>
      <c r="E149" s="20"/>
      <c r="F149" s="21"/>
      <c r="G149" s="22"/>
      <c r="H149" s="21"/>
      <c r="I149" s="22"/>
      <c r="J149" s="23"/>
      <c r="K149" s="21"/>
      <c r="L149" s="24"/>
      <c r="M149" s="25"/>
      <c r="N149" s="26"/>
      <c r="O149" s="26"/>
      <c r="P149" s="22"/>
      <c r="Q149" s="21"/>
      <c r="R149" s="27"/>
      <c r="S149" s="28"/>
      <c r="T149" s="22"/>
      <c r="U149" s="33"/>
      <c r="V149" s="35"/>
    </row>
    <row r="150" spans="4:22" ht="15" thickBot="1" x14ac:dyDescent="0.4">
      <c r="D150" s="19"/>
      <c r="E150" s="20"/>
      <c r="F150" s="21"/>
      <c r="G150" s="22"/>
      <c r="H150" s="21"/>
      <c r="I150" s="22"/>
      <c r="J150" s="23"/>
      <c r="K150" s="21"/>
      <c r="L150" s="24"/>
      <c r="M150" s="25"/>
      <c r="N150" s="26"/>
      <c r="O150" s="26"/>
      <c r="P150" s="22"/>
      <c r="Q150" s="21"/>
      <c r="R150" s="27"/>
      <c r="S150" s="28"/>
      <c r="T150" s="22"/>
      <c r="U150" s="33"/>
      <c r="V150" s="35"/>
    </row>
    <row r="151" spans="4:22" ht="15" thickBot="1" x14ac:dyDescent="0.4">
      <c r="D151" s="19"/>
      <c r="E151" s="20"/>
      <c r="F151" s="21"/>
      <c r="G151" s="22"/>
      <c r="H151" s="21"/>
      <c r="I151" s="22"/>
      <c r="J151" s="23"/>
      <c r="K151" s="21"/>
      <c r="L151" s="24"/>
      <c r="M151" s="25"/>
      <c r="N151" s="26"/>
      <c r="O151" s="26"/>
      <c r="P151" s="22"/>
      <c r="Q151" s="21"/>
      <c r="R151" s="27"/>
      <c r="S151" s="28"/>
      <c r="T151" s="22"/>
      <c r="U151" s="32"/>
      <c r="V151" s="29"/>
    </row>
    <row r="152" spans="4:22" ht="15" thickBot="1" x14ac:dyDescent="0.4">
      <c r="D152" s="19"/>
      <c r="E152" s="20"/>
      <c r="F152" s="21"/>
      <c r="G152" s="22"/>
      <c r="H152" s="21"/>
      <c r="I152" s="22"/>
      <c r="J152" s="23"/>
      <c r="K152" s="21"/>
      <c r="L152" s="24"/>
      <c r="M152" s="25"/>
      <c r="N152" s="26"/>
      <c r="O152" s="26"/>
      <c r="P152" s="22"/>
      <c r="Q152" s="21"/>
      <c r="R152" s="27"/>
      <c r="S152" s="28"/>
      <c r="T152" s="22"/>
      <c r="U152" s="32"/>
      <c r="V152" s="35"/>
    </row>
    <row r="153" spans="4:22" ht="15" thickBot="1" x14ac:dyDescent="0.4">
      <c r="D153" s="19"/>
      <c r="E153" s="20"/>
      <c r="F153" s="21"/>
      <c r="G153" s="22"/>
      <c r="H153" s="21"/>
      <c r="I153" s="22"/>
      <c r="J153" s="23"/>
      <c r="K153" s="21"/>
      <c r="L153" s="24"/>
      <c r="M153" s="25"/>
      <c r="N153" s="26"/>
      <c r="O153" s="26"/>
      <c r="P153" s="22"/>
      <c r="Q153" s="21"/>
      <c r="R153" s="27"/>
      <c r="S153" s="28"/>
      <c r="T153" s="22"/>
      <c r="U153" s="32"/>
      <c r="V153" s="35"/>
    </row>
    <row r="154" spans="4:22" ht="15" thickBot="1" x14ac:dyDescent="0.4">
      <c r="D154" s="19"/>
      <c r="E154" s="20"/>
      <c r="F154" s="21"/>
      <c r="G154" s="22"/>
      <c r="H154" s="21"/>
      <c r="I154" s="22"/>
      <c r="J154" s="23"/>
      <c r="K154" s="21"/>
      <c r="L154" s="24"/>
      <c r="M154" s="25"/>
      <c r="N154" s="26"/>
      <c r="O154" s="26"/>
      <c r="P154" s="22"/>
      <c r="Q154" s="21"/>
      <c r="R154" s="27"/>
      <c r="S154" s="28"/>
      <c r="T154" s="22"/>
      <c r="U154" s="33"/>
      <c r="V154" s="35"/>
    </row>
    <row r="155" spans="4:22" ht="15" thickBot="1" x14ac:dyDescent="0.4">
      <c r="D155" s="19"/>
      <c r="E155" s="20"/>
      <c r="F155" s="21"/>
      <c r="G155" s="22"/>
      <c r="H155" s="21"/>
      <c r="I155" s="22"/>
      <c r="J155" s="23"/>
      <c r="K155" s="21"/>
      <c r="L155" s="24"/>
      <c r="M155" s="25"/>
      <c r="N155" s="26"/>
      <c r="O155" s="26"/>
      <c r="P155" s="22"/>
      <c r="Q155" s="21"/>
      <c r="R155" s="27"/>
      <c r="S155" s="28"/>
      <c r="T155" s="22"/>
      <c r="U155" s="32"/>
      <c r="V155" s="35"/>
    </row>
    <row r="156" spans="4:22" ht="15" thickBot="1" x14ac:dyDescent="0.4">
      <c r="D156" s="19"/>
      <c r="E156" s="20"/>
      <c r="F156" s="21"/>
      <c r="G156" s="22"/>
      <c r="H156" s="21"/>
      <c r="I156" s="22"/>
      <c r="J156" s="23"/>
      <c r="K156" s="21"/>
      <c r="L156" s="24"/>
      <c r="M156" s="25"/>
      <c r="N156" s="26"/>
      <c r="O156" s="26"/>
      <c r="P156" s="22"/>
      <c r="Q156" s="21"/>
      <c r="R156" s="27"/>
      <c r="S156" s="28"/>
      <c r="T156" s="22"/>
      <c r="U156" s="33"/>
      <c r="V156" s="35"/>
    </row>
    <row r="157" spans="4:22" ht="15" thickBot="1" x14ac:dyDescent="0.4">
      <c r="D157" s="19"/>
      <c r="E157" s="20"/>
      <c r="F157" s="21"/>
      <c r="G157" s="22"/>
      <c r="H157" s="21"/>
      <c r="I157" s="22"/>
      <c r="J157" s="23"/>
      <c r="K157" s="21"/>
      <c r="L157" s="24"/>
      <c r="M157" s="25"/>
      <c r="N157" s="26"/>
      <c r="O157" s="26"/>
      <c r="P157" s="22"/>
      <c r="Q157" s="21"/>
      <c r="R157" s="27"/>
      <c r="S157" s="28"/>
      <c r="T157" s="22"/>
      <c r="U157" s="33"/>
      <c r="V157" s="29"/>
    </row>
    <row r="158" spans="4:22" ht="15" thickBot="1" x14ac:dyDescent="0.4">
      <c r="D158" s="19"/>
      <c r="E158" s="20"/>
      <c r="F158" s="21"/>
      <c r="G158" s="22"/>
      <c r="H158" s="21"/>
      <c r="I158" s="22"/>
      <c r="J158" s="23"/>
      <c r="K158" s="21"/>
      <c r="L158" s="24"/>
      <c r="M158" s="25"/>
      <c r="N158" s="26"/>
      <c r="O158" s="26"/>
      <c r="P158" s="22"/>
      <c r="Q158" s="21"/>
      <c r="R158" s="27"/>
      <c r="S158" s="28"/>
      <c r="T158" s="22"/>
      <c r="U158" s="33"/>
      <c r="V158" s="35"/>
    </row>
    <row r="159" spans="4:22" ht="15" thickBot="1" x14ac:dyDescent="0.4">
      <c r="D159" s="19"/>
      <c r="E159" s="20"/>
      <c r="F159" s="21"/>
      <c r="G159" s="22"/>
      <c r="H159" s="21"/>
      <c r="I159" s="22"/>
      <c r="J159" s="23"/>
      <c r="K159" s="21"/>
      <c r="L159" s="24"/>
      <c r="M159" s="25"/>
      <c r="N159" s="26"/>
      <c r="O159" s="26"/>
      <c r="P159" s="22"/>
      <c r="Q159" s="21"/>
      <c r="R159" s="27"/>
      <c r="S159" s="28"/>
      <c r="T159" s="22"/>
      <c r="U159" s="33"/>
      <c r="V159" s="29"/>
    </row>
    <row r="160" spans="4:22" ht="15" thickBot="1" x14ac:dyDescent="0.4">
      <c r="D160" s="19"/>
      <c r="E160" s="20"/>
      <c r="F160" s="21"/>
      <c r="G160" s="22"/>
      <c r="H160" s="21"/>
      <c r="I160" s="22"/>
      <c r="J160" s="23"/>
      <c r="K160" s="21"/>
      <c r="L160" s="24"/>
      <c r="M160" s="25"/>
      <c r="N160" s="26"/>
      <c r="O160" s="26"/>
      <c r="P160" s="22"/>
      <c r="Q160" s="21"/>
      <c r="R160" s="27"/>
      <c r="S160" s="28"/>
      <c r="T160" s="22"/>
      <c r="U160" s="33"/>
      <c r="V160" s="35"/>
    </row>
    <row r="161" spans="4:22" ht="15" thickBot="1" x14ac:dyDescent="0.4">
      <c r="D161" s="19"/>
      <c r="E161" s="36"/>
      <c r="F161" s="21"/>
      <c r="G161" s="22"/>
      <c r="H161" s="21"/>
      <c r="I161" s="22"/>
      <c r="J161" s="23"/>
      <c r="K161" s="21"/>
      <c r="L161" s="24"/>
      <c r="M161" s="25"/>
      <c r="N161" s="26"/>
      <c r="O161" s="26"/>
      <c r="P161" s="22"/>
      <c r="Q161" s="21"/>
      <c r="R161" s="27"/>
      <c r="S161" s="28"/>
      <c r="T161" s="22"/>
      <c r="U161" s="32"/>
      <c r="V161" s="35"/>
    </row>
    <row r="162" spans="4:22" ht="15" thickBot="1" x14ac:dyDescent="0.4">
      <c r="D162" s="19"/>
      <c r="E162" s="36"/>
      <c r="F162" s="21"/>
      <c r="G162" s="22"/>
      <c r="H162" s="21"/>
      <c r="I162" s="22"/>
      <c r="J162" s="23"/>
      <c r="K162" s="21"/>
      <c r="L162" s="24"/>
      <c r="M162" s="25"/>
      <c r="N162" s="26"/>
      <c r="O162" s="26"/>
      <c r="P162" s="22"/>
      <c r="Q162" s="21"/>
      <c r="R162" s="27"/>
      <c r="S162" s="28"/>
      <c r="T162" s="22"/>
      <c r="U162" s="32"/>
      <c r="V162" s="35"/>
    </row>
    <row r="163" spans="4:22" ht="15" thickBot="1" x14ac:dyDescent="0.4">
      <c r="D163" s="19"/>
      <c r="E163" s="36"/>
      <c r="F163" s="21"/>
      <c r="G163" s="22"/>
      <c r="H163" s="21"/>
      <c r="I163" s="22"/>
      <c r="J163" s="23"/>
      <c r="K163" s="21"/>
      <c r="L163" s="24"/>
      <c r="M163" s="25"/>
      <c r="N163" s="26"/>
      <c r="O163" s="26"/>
      <c r="P163" s="22"/>
      <c r="Q163" s="21"/>
      <c r="R163" s="27"/>
      <c r="S163" s="28"/>
      <c r="T163" s="22"/>
      <c r="U163" s="33"/>
      <c r="V163" s="35"/>
    </row>
    <row r="164" spans="4:22" ht="15" thickBot="1" x14ac:dyDescent="0.4">
      <c r="D164" s="19"/>
      <c r="E164" s="36"/>
      <c r="F164" s="21"/>
      <c r="G164" s="22"/>
      <c r="H164" s="21"/>
      <c r="I164" s="22"/>
      <c r="J164" s="23"/>
      <c r="K164" s="21"/>
      <c r="L164" s="24"/>
      <c r="M164" s="25"/>
      <c r="N164" s="26"/>
      <c r="O164" s="26"/>
      <c r="P164" s="22"/>
      <c r="Q164" s="21"/>
      <c r="R164" s="27"/>
      <c r="S164" s="28"/>
      <c r="T164" s="22"/>
      <c r="U164" s="33"/>
      <c r="V164" s="29"/>
    </row>
    <row r="165" spans="4:22" ht="15" thickBot="1" x14ac:dyDescent="0.4">
      <c r="D165" s="19"/>
      <c r="E165" s="36"/>
      <c r="F165" s="21"/>
      <c r="G165" s="22"/>
      <c r="H165" s="21"/>
      <c r="I165" s="22"/>
      <c r="J165" s="23"/>
      <c r="K165" s="21"/>
      <c r="L165" s="24"/>
      <c r="M165" s="25"/>
      <c r="N165" s="26"/>
      <c r="O165" s="26"/>
      <c r="P165" s="22"/>
      <c r="Q165" s="21"/>
      <c r="R165" s="27"/>
      <c r="S165" s="28"/>
      <c r="T165" s="22"/>
      <c r="U165" s="32"/>
      <c r="V165" s="35"/>
    </row>
    <row r="166" spans="4:22" ht="15" thickBot="1" x14ac:dyDescent="0.4">
      <c r="D166" s="19"/>
      <c r="E166" s="36"/>
      <c r="F166" s="21"/>
      <c r="G166" s="22"/>
      <c r="H166" s="21"/>
      <c r="I166" s="22"/>
      <c r="J166" s="23"/>
      <c r="K166" s="21"/>
      <c r="L166" s="24"/>
      <c r="M166" s="25"/>
      <c r="N166" s="26"/>
      <c r="O166" s="26"/>
      <c r="P166" s="22"/>
      <c r="Q166" s="21"/>
      <c r="R166" s="27"/>
      <c r="S166" s="28"/>
      <c r="T166" s="22"/>
      <c r="U166" s="32"/>
      <c r="V166" s="35"/>
    </row>
    <row r="167" spans="4:22" ht="15" thickBot="1" x14ac:dyDescent="0.4">
      <c r="D167" s="19"/>
      <c r="E167" s="36"/>
      <c r="F167" s="21"/>
      <c r="G167" s="22"/>
      <c r="H167" s="21"/>
      <c r="I167" s="22"/>
      <c r="J167" s="23"/>
      <c r="K167" s="21"/>
      <c r="L167" s="24"/>
      <c r="M167" s="25"/>
      <c r="N167" s="26"/>
      <c r="O167" s="26"/>
      <c r="P167" s="22"/>
      <c r="Q167" s="21"/>
      <c r="R167" s="27"/>
      <c r="S167" s="28"/>
      <c r="T167" s="22"/>
      <c r="U167" s="32"/>
      <c r="V167" s="35"/>
    </row>
    <row r="168" spans="4:22" ht="15" thickBot="1" x14ac:dyDescent="0.4">
      <c r="D168" s="19"/>
      <c r="E168" s="36"/>
      <c r="F168" s="21"/>
      <c r="G168" s="22"/>
      <c r="H168" s="21"/>
      <c r="I168" s="22"/>
      <c r="J168" s="23"/>
      <c r="K168" s="21"/>
      <c r="L168" s="24"/>
      <c r="M168" s="25"/>
      <c r="N168" s="26"/>
      <c r="O168" s="26"/>
      <c r="P168" s="22"/>
      <c r="Q168" s="21"/>
      <c r="R168" s="27"/>
      <c r="S168" s="28"/>
      <c r="T168" s="22"/>
      <c r="U168" s="33"/>
      <c r="V168" s="35"/>
    </row>
    <row r="169" spans="4:22" ht="15" thickBot="1" x14ac:dyDescent="0.4">
      <c r="D169" s="19"/>
      <c r="E169" s="36"/>
      <c r="F169" s="21"/>
      <c r="G169" s="22"/>
      <c r="H169" s="21"/>
      <c r="I169" s="22"/>
      <c r="J169" s="23"/>
      <c r="K169" s="21"/>
      <c r="L169" s="24"/>
      <c r="M169" s="25"/>
      <c r="N169" s="26"/>
      <c r="O169" s="26"/>
      <c r="P169" s="22"/>
      <c r="Q169" s="21"/>
      <c r="R169" s="27"/>
      <c r="S169" s="28"/>
      <c r="T169" s="22"/>
      <c r="U169" s="32"/>
      <c r="V169" s="35"/>
    </row>
    <row r="170" spans="4:22" ht="15" thickBot="1" x14ac:dyDescent="0.4">
      <c r="D170" s="19"/>
      <c r="E170" s="36"/>
      <c r="F170" s="21"/>
      <c r="G170" s="22"/>
      <c r="H170" s="21"/>
      <c r="I170" s="22"/>
      <c r="J170" s="23"/>
      <c r="K170" s="21"/>
      <c r="L170" s="24"/>
      <c r="M170" s="25"/>
      <c r="N170" s="26"/>
      <c r="O170" s="26"/>
      <c r="P170" s="22"/>
      <c r="Q170" s="21"/>
      <c r="R170" s="27"/>
      <c r="S170" s="28"/>
      <c r="T170" s="22"/>
      <c r="U170" s="34"/>
      <c r="V170" s="35"/>
    </row>
    <row r="171" spans="4:22" ht="15" thickBot="1" x14ac:dyDescent="0.4">
      <c r="D171" s="19"/>
      <c r="E171" s="36"/>
      <c r="F171" s="21"/>
      <c r="G171" s="22"/>
      <c r="H171" s="21"/>
      <c r="I171" s="22"/>
      <c r="J171" s="23"/>
      <c r="K171" s="21"/>
      <c r="L171" s="24"/>
      <c r="M171" s="25"/>
      <c r="N171" s="26"/>
      <c r="O171" s="26"/>
      <c r="P171" s="22"/>
      <c r="Q171" s="21"/>
      <c r="R171" s="27"/>
      <c r="S171" s="28"/>
      <c r="T171" s="22"/>
      <c r="U171" s="34"/>
      <c r="V171" s="35"/>
    </row>
    <row r="172" spans="4:22" ht="15" thickBot="1" x14ac:dyDescent="0.4">
      <c r="D172" s="19"/>
      <c r="E172" s="36"/>
      <c r="F172" s="21"/>
      <c r="G172" s="22"/>
      <c r="H172" s="21"/>
      <c r="I172" s="22"/>
      <c r="J172" s="23"/>
      <c r="K172" s="21"/>
      <c r="L172" s="24"/>
      <c r="M172" s="25"/>
      <c r="N172" s="26"/>
      <c r="O172" s="26"/>
      <c r="P172" s="22"/>
      <c r="Q172" s="21"/>
      <c r="R172" s="27"/>
      <c r="S172" s="28"/>
      <c r="T172" s="22"/>
      <c r="U172" s="22"/>
      <c r="V172" s="35"/>
    </row>
    <row r="173" spans="4:22" ht="15" thickBot="1" x14ac:dyDescent="0.4">
      <c r="D173" s="19"/>
      <c r="E173" s="36"/>
      <c r="F173" s="21"/>
      <c r="G173" s="22"/>
      <c r="H173" s="21"/>
      <c r="I173" s="22"/>
      <c r="J173" s="23"/>
      <c r="K173" s="21"/>
      <c r="L173" s="24"/>
      <c r="M173" s="25"/>
      <c r="N173" s="26"/>
      <c r="O173" s="26"/>
      <c r="P173" s="22"/>
      <c r="Q173" s="21"/>
      <c r="R173" s="27"/>
      <c r="S173" s="28"/>
      <c r="T173" s="22"/>
      <c r="U173" s="34"/>
      <c r="V173" s="35"/>
    </row>
    <row r="174" spans="4:22" ht="15" thickBot="1" x14ac:dyDescent="0.4">
      <c r="D174" s="19"/>
      <c r="E174" s="36"/>
      <c r="F174" s="21"/>
      <c r="G174" s="22"/>
      <c r="H174" s="21"/>
      <c r="I174" s="22"/>
      <c r="J174" s="23"/>
      <c r="K174" s="21"/>
      <c r="L174" s="24"/>
      <c r="M174" s="25"/>
      <c r="N174" s="26"/>
      <c r="O174" s="26"/>
      <c r="P174" s="22"/>
      <c r="Q174" s="21"/>
      <c r="R174" s="27"/>
      <c r="S174" s="28"/>
      <c r="T174" s="22"/>
      <c r="U174" s="22"/>
      <c r="V174" s="35"/>
    </row>
    <row r="175" spans="4:22" ht="15" thickBot="1" x14ac:dyDescent="0.4">
      <c r="D175" s="19"/>
      <c r="E175" s="36"/>
      <c r="F175" s="21"/>
      <c r="G175" s="22"/>
      <c r="H175" s="21"/>
      <c r="I175" s="22"/>
      <c r="J175" s="23"/>
      <c r="K175" s="21"/>
      <c r="L175" s="24"/>
      <c r="M175" s="25"/>
      <c r="N175" s="26"/>
      <c r="O175" s="26"/>
      <c r="P175" s="22"/>
      <c r="Q175" s="21"/>
      <c r="R175" s="27"/>
      <c r="S175" s="28"/>
      <c r="T175" s="22"/>
      <c r="U175" s="34"/>
      <c r="V175" s="35"/>
    </row>
    <row r="176" spans="4:22" ht="15" thickBot="1" x14ac:dyDescent="0.4">
      <c r="D176" s="19"/>
      <c r="E176" s="36"/>
      <c r="F176" s="21"/>
      <c r="G176" s="22"/>
      <c r="H176" s="21"/>
      <c r="I176" s="22"/>
      <c r="J176" s="23"/>
      <c r="K176" s="21"/>
      <c r="L176" s="24"/>
      <c r="M176" s="25"/>
      <c r="N176" s="26"/>
      <c r="O176" s="26"/>
      <c r="P176" s="22"/>
      <c r="Q176" s="21"/>
      <c r="R176" s="27"/>
      <c r="S176" s="28"/>
      <c r="T176" s="22"/>
      <c r="U176" s="22"/>
      <c r="V176" s="35"/>
    </row>
    <row r="177" spans="4:22" ht="15" thickBot="1" x14ac:dyDescent="0.4">
      <c r="D177" s="19"/>
      <c r="E177" s="36"/>
      <c r="F177" s="21"/>
      <c r="G177" s="22"/>
      <c r="H177" s="21"/>
      <c r="I177" s="22"/>
      <c r="J177" s="23"/>
      <c r="K177" s="21"/>
      <c r="L177" s="24"/>
      <c r="M177" s="25"/>
      <c r="N177" s="26"/>
      <c r="O177" s="26"/>
      <c r="P177" s="22"/>
      <c r="Q177" s="21"/>
      <c r="R177" s="27"/>
      <c r="S177" s="28"/>
      <c r="T177" s="22"/>
      <c r="U177" s="22"/>
      <c r="V177" s="35"/>
    </row>
    <row r="178" spans="4:22" ht="15" thickBot="1" x14ac:dyDescent="0.4">
      <c r="D178" s="19"/>
      <c r="E178" s="36"/>
      <c r="F178" s="21"/>
      <c r="G178" s="22"/>
      <c r="H178" s="21"/>
      <c r="I178" s="22"/>
      <c r="J178" s="23"/>
      <c r="K178" s="21"/>
      <c r="L178" s="24"/>
      <c r="M178" s="25"/>
      <c r="N178" s="26"/>
      <c r="O178" s="26"/>
      <c r="P178" s="22"/>
      <c r="Q178" s="21"/>
      <c r="R178" s="27"/>
      <c r="S178" s="28"/>
      <c r="T178" s="22"/>
      <c r="U178" s="22"/>
      <c r="V178" s="35"/>
    </row>
    <row r="179" spans="4:22" ht="15" thickBot="1" x14ac:dyDescent="0.4">
      <c r="D179" s="19"/>
      <c r="E179" s="36"/>
      <c r="F179" s="21"/>
      <c r="G179" s="22"/>
      <c r="H179" s="21"/>
      <c r="I179" s="22"/>
      <c r="J179" s="23"/>
      <c r="K179" s="21"/>
      <c r="L179" s="24"/>
      <c r="M179" s="25"/>
      <c r="N179" s="26"/>
      <c r="O179" s="26"/>
      <c r="P179" s="22"/>
      <c r="Q179" s="21"/>
      <c r="R179" s="27"/>
      <c r="S179" s="28"/>
      <c r="T179" s="22"/>
      <c r="U179" s="22"/>
      <c r="V179" s="35"/>
    </row>
    <row r="180" spans="4:22" ht="15" thickBot="1" x14ac:dyDescent="0.4">
      <c r="D180" s="19"/>
      <c r="F180" s="21"/>
      <c r="G180" s="22"/>
      <c r="H180" s="21"/>
      <c r="I180" s="22"/>
      <c r="J180" s="23"/>
      <c r="K180" s="21"/>
      <c r="L180" s="24"/>
      <c r="M180" s="25"/>
      <c r="N180" s="26"/>
      <c r="O180" s="26"/>
      <c r="P180" s="22"/>
      <c r="Q180" s="21"/>
      <c r="R180" s="27"/>
      <c r="S180" s="28"/>
      <c r="T180" s="22"/>
      <c r="U180" s="34"/>
      <c r="V180" s="35"/>
    </row>
    <row r="181" spans="4:22" ht="15" thickBot="1" x14ac:dyDescent="0.4">
      <c r="D181" s="19"/>
      <c r="E181" s="36"/>
      <c r="F181" s="21"/>
      <c r="G181" s="22"/>
      <c r="H181" s="21"/>
      <c r="I181" s="22"/>
      <c r="J181" s="23"/>
      <c r="K181" s="21"/>
      <c r="L181" s="24"/>
      <c r="M181" s="25"/>
      <c r="N181" s="26"/>
      <c r="O181" s="26"/>
      <c r="P181" s="22"/>
      <c r="Q181" s="21"/>
      <c r="R181" s="27"/>
      <c r="S181" s="28"/>
      <c r="T181" s="22"/>
      <c r="U181" s="34"/>
      <c r="V181" s="35"/>
    </row>
    <row r="182" spans="4:22" ht="15" thickBot="1" x14ac:dyDescent="0.4">
      <c r="D182" s="19"/>
      <c r="F182" s="21"/>
      <c r="G182" s="22"/>
      <c r="H182" s="21"/>
      <c r="I182" s="22"/>
      <c r="J182" s="23"/>
      <c r="K182" s="21"/>
      <c r="L182" s="24"/>
      <c r="M182" s="25"/>
      <c r="N182" s="26"/>
      <c r="O182" s="26"/>
      <c r="P182" s="22"/>
      <c r="Q182" s="21"/>
      <c r="R182" s="27"/>
      <c r="S182" s="28"/>
      <c r="T182" s="22"/>
      <c r="U182" s="22"/>
      <c r="V182" s="35"/>
    </row>
    <row r="183" spans="4:22" ht="15" thickBot="1" x14ac:dyDescent="0.4">
      <c r="D183" s="19"/>
      <c r="E183" s="36"/>
      <c r="F183" s="21"/>
      <c r="G183" s="22"/>
      <c r="H183" s="21"/>
      <c r="I183" s="22"/>
      <c r="J183" s="23"/>
      <c r="K183" s="21"/>
      <c r="L183" s="24"/>
      <c r="M183" s="25"/>
      <c r="N183" s="26"/>
      <c r="O183" s="26"/>
      <c r="P183" s="22"/>
      <c r="Q183" s="21"/>
      <c r="R183" s="27"/>
      <c r="S183" s="28"/>
      <c r="T183" s="22"/>
      <c r="U183" s="22"/>
      <c r="V183" s="35"/>
    </row>
    <row r="184" spans="4:22" ht="15" thickBot="1" x14ac:dyDescent="0.4">
      <c r="D184" s="19"/>
      <c r="E184" s="36"/>
      <c r="F184" s="21"/>
      <c r="G184" s="22"/>
      <c r="H184" s="21"/>
      <c r="I184" s="22"/>
      <c r="J184" s="23"/>
      <c r="K184" s="21"/>
      <c r="L184" s="24"/>
      <c r="M184" s="25"/>
      <c r="N184" s="26"/>
      <c r="O184" s="26"/>
      <c r="P184" s="22"/>
      <c r="Q184" s="21"/>
      <c r="R184" s="27"/>
      <c r="S184" s="28"/>
      <c r="T184" s="22"/>
      <c r="U184" s="34"/>
      <c r="V184" s="35"/>
    </row>
    <row r="185" spans="4:22" ht="15" thickBot="1" x14ac:dyDescent="0.4">
      <c r="D185" s="19"/>
      <c r="E185" s="36"/>
      <c r="F185" s="21"/>
      <c r="G185" s="22"/>
      <c r="H185" s="21"/>
      <c r="I185" s="22"/>
      <c r="J185" s="23"/>
      <c r="K185" s="21"/>
      <c r="L185" s="24"/>
      <c r="M185" s="25"/>
      <c r="N185" s="26"/>
      <c r="O185" s="26"/>
      <c r="P185" s="22"/>
      <c r="Q185" s="21"/>
      <c r="R185" s="27"/>
      <c r="S185" s="28"/>
      <c r="T185" s="22"/>
      <c r="U185" s="34"/>
      <c r="V185" s="35"/>
    </row>
    <row r="186" spans="4:22" ht="15" thickBot="1" x14ac:dyDescent="0.4">
      <c r="D186" s="19"/>
      <c r="E186" s="36"/>
      <c r="F186" s="21"/>
      <c r="G186" s="22"/>
      <c r="H186" s="21"/>
      <c r="I186" s="22"/>
      <c r="J186" s="23"/>
      <c r="K186" s="21"/>
      <c r="L186" s="24"/>
      <c r="M186" s="25"/>
      <c r="N186" s="26"/>
      <c r="O186" s="26"/>
      <c r="P186" s="22"/>
      <c r="Q186" s="21"/>
      <c r="R186" s="27"/>
      <c r="S186" s="28"/>
      <c r="T186" s="22"/>
      <c r="U186" s="34"/>
      <c r="V186" s="35"/>
    </row>
    <row r="187" spans="4:22" ht="15" thickBot="1" x14ac:dyDescent="0.4">
      <c r="D187" s="19"/>
      <c r="E187" s="36"/>
      <c r="F187" s="21"/>
      <c r="G187" s="22"/>
      <c r="H187" s="21"/>
      <c r="I187" s="22"/>
      <c r="J187" s="23"/>
      <c r="K187" s="21"/>
      <c r="L187" s="24"/>
      <c r="M187" s="25"/>
      <c r="N187" s="26"/>
      <c r="O187" s="26"/>
      <c r="P187" s="22"/>
      <c r="Q187" s="21"/>
      <c r="R187" s="27"/>
      <c r="S187" s="28"/>
      <c r="T187" s="22"/>
      <c r="U187" s="22"/>
      <c r="V187" s="35"/>
    </row>
    <row r="188" spans="4:22" ht="15" thickBot="1" x14ac:dyDescent="0.4">
      <c r="D188" s="19"/>
      <c r="E188" s="36"/>
      <c r="F188" s="21"/>
      <c r="G188" s="22"/>
      <c r="H188" s="21"/>
      <c r="I188" s="22"/>
      <c r="J188" s="23"/>
      <c r="K188" s="21"/>
      <c r="L188" s="24"/>
      <c r="M188" s="25"/>
      <c r="N188" s="26"/>
      <c r="O188" s="26"/>
      <c r="P188" s="22"/>
      <c r="Q188" s="21"/>
      <c r="R188" s="27"/>
      <c r="S188" s="28"/>
      <c r="T188" s="22"/>
      <c r="U188" s="22"/>
      <c r="V188" s="35"/>
    </row>
    <row r="189" spans="4:22" ht="15" thickBot="1" x14ac:dyDescent="0.4">
      <c r="D189" s="19"/>
      <c r="E189" s="36"/>
      <c r="F189" s="21"/>
      <c r="G189" s="22"/>
      <c r="H189" s="21"/>
      <c r="I189" s="22"/>
      <c r="J189" s="23"/>
      <c r="K189" s="21"/>
      <c r="L189" s="24"/>
      <c r="M189" s="25"/>
      <c r="N189" s="26"/>
      <c r="O189" s="26"/>
      <c r="P189" s="22"/>
      <c r="Q189" s="21"/>
      <c r="R189" s="27"/>
      <c r="S189" s="28"/>
      <c r="T189" s="22"/>
      <c r="U189" s="34"/>
      <c r="V189" s="35"/>
    </row>
    <row r="190" spans="4:22" ht="15" thickBot="1" x14ac:dyDescent="0.4">
      <c r="D190" s="19"/>
      <c r="E190" s="36"/>
      <c r="F190" s="21"/>
      <c r="G190" s="22"/>
      <c r="H190" s="21"/>
      <c r="I190" s="22"/>
      <c r="J190" s="23"/>
      <c r="K190" s="21"/>
      <c r="L190" s="24"/>
      <c r="M190" s="25"/>
      <c r="N190" s="26"/>
      <c r="O190" s="26"/>
      <c r="P190" s="22"/>
      <c r="Q190" s="21"/>
      <c r="R190" s="27"/>
      <c r="S190" s="28"/>
      <c r="T190" s="22"/>
      <c r="U190" s="22"/>
      <c r="V190" s="35"/>
    </row>
    <row r="191" spans="4:22" ht="15" thickBot="1" x14ac:dyDescent="0.4">
      <c r="D191" s="19"/>
      <c r="E191" s="36"/>
      <c r="F191" s="21"/>
      <c r="G191" s="22"/>
      <c r="H191" s="21"/>
      <c r="I191" s="22"/>
      <c r="J191" s="23"/>
      <c r="K191" s="21"/>
      <c r="L191" s="24"/>
      <c r="M191" s="25"/>
      <c r="N191" s="26"/>
      <c r="O191" s="26"/>
      <c r="P191" s="22"/>
      <c r="Q191" s="21"/>
      <c r="R191" s="27"/>
      <c r="S191" s="28"/>
      <c r="T191" s="22"/>
      <c r="U191" s="22"/>
      <c r="V191" s="35"/>
    </row>
    <row r="192" spans="4:22" ht="15" thickBot="1" x14ac:dyDescent="0.4">
      <c r="D192" s="19"/>
      <c r="E192" s="36"/>
      <c r="F192" s="21"/>
      <c r="G192" s="22"/>
      <c r="H192" s="21"/>
      <c r="I192" s="22"/>
      <c r="J192" s="23"/>
      <c r="K192" s="21"/>
      <c r="L192" s="24"/>
      <c r="M192" s="25"/>
      <c r="N192" s="26"/>
      <c r="O192" s="26"/>
      <c r="P192" s="22"/>
      <c r="Q192" s="21"/>
      <c r="R192" s="27"/>
      <c r="S192" s="28"/>
      <c r="T192" s="22"/>
      <c r="U192" s="34"/>
      <c r="V192" s="35"/>
    </row>
    <row r="193" spans="4:22" ht="15" thickBot="1" x14ac:dyDescent="0.4">
      <c r="D193" s="19"/>
      <c r="F193" s="21"/>
      <c r="G193" s="22"/>
      <c r="H193" s="21"/>
      <c r="I193" s="22"/>
      <c r="J193" s="23"/>
      <c r="K193" s="21"/>
      <c r="L193" s="24"/>
      <c r="M193" s="25"/>
      <c r="N193" s="26"/>
      <c r="O193" s="26"/>
      <c r="P193" s="22"/>
      <c r="Q193" s="21"/>
      <c r="R193" s="27"/>
      <c r="S193" s="28"/>
      <c r="T193" s="22"/>
      <c r="U193" s="34"/>
      <c r="V193" s="35"/>
    </row>
    <row r="194" spans="4:22" ht="15" thickBot="1" x14ac:dyDescent="0.4">
      <c r="D194" s="19"/>
      <c r="E194" s="36"/>
      <c r="F194" s="21"/>
      <c r="G194" s="22"/>
      <c r="H194" s="21"/>
      <c r="I194" s="22"/>
      <c r="J194" s="23"/>
      <c r="K194" s="21"/>
      <c r="L194" s="24"/>
      <c r="M194" s="25"/>
      <c r="N194" s="26"/>
      <c r="O194" s="26"/>
      <c r="P194" s="22"/>
      <c r="Q194" s="21"/>
      <c r="R194" s="27"/>
      <c r="S194" s="28"/>
      <c r="T194" s="22"/>
      <c r="U194" s="22"/>
      <c r="V194" s="35"/>
    </row>
    <row r="195" spans="4:22" ht="15" thickBot="1" x14ac:dyDescent="0.4">
      <c r="D195" s="19"/>
      <c r="E195" s="36"/>
      <c r="F195" s="21"/>
      <c r="G195" s="22"/>
      <c r="H195" s="21"/>
      <c r="I195" s="22"/>
      <c r="J195" s="23"/>
      <c r="K195" s="21"/>
      <c r="L195" s="24"/>
      <c r="M195" s="25"/>
      <c r="N195" s="26"/>
      <c r="O195" s="26"/>
      <c r="P195" s="22"/>
      <c r="Q195" s="21"/>
      <c r="R195" s="27"/>
      <c r="S195" s="28"/>
      <c r="T195" s="22"/>
      <c r="U195" s="34"/>
      <c r="V195" s="35"/>
    </row>
    <row r="196" spans="4:22" ht="15" thickBot="1" x14ac:dyDescent="0.4">
      <c r="D196" s="19"/>
      <c r="E196" s="36"/>
      <c r="F196" s="21"/>
      <c r="G196" s="22"/>
      <c r="H196" s="21"/>
      <c r="I196" s="22"/>
      <c r="J196" s="23"/>
      <c r="K196" s="21"/>
      <c r="L196" s="24"/>
      <c r="M196" s="25"/>
      <c r="N196" s="26"/>
      <c r="O196" s="26"/>
      <c r="P196" s="22"/>
      <c r="Q196" s="21"/>
      <c r="R196" s="27"/>
      <c r="S196" s="28"/>
      <c r="T196" s="22"/>
      <c r="U196" s="22"/>
      <c r="V196" s="35"/>
    </row>
    <row r="197" spans="4:22" ht="15" thickBot="1" x14ac:dyDescent="0.4">
      <c r="D197" s="19"/>
      <c r="E197" s="20"/>
      <c r="F197" s="21"/>
      <c r="G197" s="22"/>
      <c r="H197" s="21"/>
      <c r="I197" s="22"/>
      <c r="J197" s="23"/>
      <c r="K197" s="21"/>
      <c r="L197" s="24"/>
      <c r="M197" s="25"/>
      <c r="N197" s="26"/>
      <c r="O197" s="26"/>
      <c r="P197" s="22"/>
      <c r="Q197" s="21"/>
      <c r="R197" s="27"/>
      <c r="S197" s="28"/>
      <c r="T197" s="22"/>
      <c r="U197" s="22"/>
      <c r="V197" s="35"/>
    </row>
    <row r="198" spans="4:22" ht="15" thickBot="1" x14ac:dyDescent="0.4">
      <c r="D198" s="19"/>
      <c r="E198" s="20"/>
      <c r="F198" s="21"/>
      <c r="G198" s="22"/>
      <c r="H198" s="21"/>
      <c r="I198" s="22"/>
      <c r="J198" s="23"/>
      <c r="K198" s="21"/>
      <c r="L198" s="24"/>
      <c r="M198" s="25"/>
      <c r="N198" s="26"/>
      <c r="O198" s="26"/>
      <c r="P198" s="22"/>
      <c r="Q198" s="21"/>
      <c r="R198" s="27"/>
      <c r="S198" s="28"/>
      <c r="T198" s="22"/>
      <c r="U198" s="22"/>
      <c r="V198" s="35"/>
    </row>
    <row r="199" spans="4:22" ht="15" thickBot="1" x14ac:dyDescent="0.4">
      <c r="D199" s="19"/>
      <c r="E199" s="20"/>
      <c r="F199" s="21"/>
      <c r="G199" s="22"/>
      <c r="H199" s="21"/>
      <c r="I199" s="22"/>
      <c r="J199" s="23"/>
      <c r="K199" s="21"/>
      <c r="L199" s="24"/>
      <c r="M199" s="25"/>
      <c r="N199" s="26"/>
      <c r="O199" s="26"/>
      <c r="P199" s="22"/>
      <c r="Q199" s="21"/>
      <c r="R199" s="27"/>
      <c r="S199" s="28"/>
      <c r="T199" s="22"/>
      <c r="U199" s="22"/>
      <c r="V199" s="35"/>
    </row>
    <row r="200" spans="4:22" ht="15" thickBot="1" x14ac:dyDescent="0.4">
      <c r="D200" s="19"/>
      <c r="E200" s="20"/>
      <c r="F200" s="21"/>
      <c r="G200" s="22"/>
      <c r="H200" s="21"/>
      <c r="I200" s="22"/>
      <c r="J200" s="23"/>
      <c r="K200" s="21"/>
      <c r="L200" s="24"/>
      <c r="M200" s="25"/>
      <c r="N200" s="26"/>
      <c r="O200" s="26"/>
      <c r="P200" s="22"/>
      <c r="Q200" s="21"/>
      <c r="R200" s="27"/>
      <c r="S200" s="28"/>
      <c r="T200" s="22"/>
      <c r="U200" s="22"/>
      <c r="V200" s="35"/>
    </row>
    <row r="201" spans="4:22" ht="15" thickBot="1" x14ac:dyDescent="0.4">
      <c r="D201" s="19"/>
      <c r="E201" s="20"/>
      <c r="F201" s="21"/>
      <c r="G201" s="22"/>
      <c r="H201" s="21"/>
      <c r="I201" s="22"/>
      <c r="J201" s="23"/>
      <c r="K201" s="21"/>
      <c r="L201" s="24"/>
      <c r="M201" s="25"/>
      <c r="N201" s="26"/>
      <c r="O201" s="26"/>
      <c r="P201" s="22"/>
      <c r="Q201" s="21"/>
      <c r="R201" s="27"/>
      <c r="S201" s="28"/>
      <c r="T201" s="22"/>
      <c r="U201" s="22"/>
      <c r="V201" s="35"/>
    </row>
    <row r="202" spans="4:22" ht="15" thickBot="1" x14ac:dyDescent="0.4">
      <c r="D202" s="19"/>
      <c r="E202" s="20"/>
      <c r="F202" s="21"/>
      <c r="G202" s="22"/>
      <c r="H202" s="21"/>
      <c r="I202" s="22"/>
      <c r="J202" s="23"/>
      <c r="K202" s="21"/>
      <c r="L202" s="24"/>
      <c r="M202" s="25"/>
      <c r="N202" s="26"/>
      <c r="O202" s="26"/>
      <c r="P202" s="22"/>
      <c r="Q202" s="21"/>
      <c r="R202" s="27"/>
      <c r="S202" s="28"/>
      <c r="T202" s="22"/>
      <c r="U202" s="34"/>
      <c r="V202" s="35"/>
    </row>
    <row r="203" spans="4:22" ht="15" thickBot="1" x14ac:dyDescent="0.4">
      <c r="D203" s="19"/>
      <c r="E203" s="20"/>
      <c r="F203" s="21"/>
      <c r="G203" s="22"/>
      <c r="H203" s="21"/>
      <c r="I203" s="22"/>
      <c r="J203" s="23"/>
      <c r="K203" s="21"/>
      <c r="L203" s="24"/>
      <c r="M203" s="25"/>
      <c r="N203" s="26"/>
      <c r="O203" s="26"/>
      <c r="P203" s="22"/>
      <c r="Q203" s="21"/>
      <c r="R203" s="27"/>
      <c r="S203" s="28"/>
      <c r="T203" s="22"/>
      <c r="U203" s="22"/>
      <c r="V203" s="35"/>
    </row>
    <row r="204" spans="4:22" ht="15" thickBot="1" x14ac:dyDescent="0.4">
      <c r="D204" s="19"/>
      <c r="E204" s="20"/>
      <c r="F204" s="21"/>
      <c r="G204" s="22"/>
      <c r="H204" s="21"/>
      <c r="I204" s="22"/>
      <c r="J204" s="23"/>
      <c r="K204" s="21"/>
      <c r="L204" s="24"/>
      <c r="M204" s="25"/>
      <c r="N204" s="26"/>
      <c r="O204" s="26"/>
      <c r="P204" s="22"/>
      <c r="Q204" s="21"/>
      <c r="R204" s="27"/>
      <c r="S204" s="28"/>
      <c r="T204" s="22"/>
      <c r="U204" s="22"/>
      <c r="V204" s="35"/>
    </row>
    <row r="205" spans="4:22" ht="15" thickBot="1" x14ac:dyDescent="0.4">
      <c r="D205" s="19"/>
      <c r="E205" s="20"/>
      <c r="F205" s="21"/>
      <c r="G205" s="22"/>
      <c r="H205" s="21"/>
      <c r="I205" s="22"/>
      <c r="J205" s="23"/>
      <c r="K205" s="21"/>
      <c r="L205" s="24"/>
      <c r="M205" s="25"/>
      <c r="N205" s="26"/>
      <c r="O205" s="26"/>
      <c r="P205" s="22"/>
      <c r="Q205" s="21"/>
      <c r="R205" s="27"/>
      <c r="S205" s="28"/>
      <c r="T205" s="22"/>
      <c r="U205" s="22"/>
      <c r="V205" s="35"/>
    </row>
    <row r="206" spans="4:22" ht="15" thickBot="1" x14ac:dyDescent="0.4">
      <c r="D206" s="19"/>
      <c r="E206" s="20"/>
      <c r="F206" s="21"/>
      <c r="G206" s="22"/>
      <c r="H206" s="21"/>
      <c r="I206" s="22"/>
      <c r="J206" s="23"/>
      <c r="K206" s="21"/>
      <c r="L206" s="24"/>
      <c r="M206" s="25"/>
      <c r="N206" s="26"/>
      <c r="O206" s="26"/>
      <c r="P206" s="22"/>
      <c r="Q206" s="21"/>
      <c r="R206" s="27"/>
      <c r="S206" s="28"/>
      <c r="T206" s="22"/>
      <c r="U206" s="22"/>
      <c r="V206" s="35"/>
    </row>
    <row r="207" spans="4:22" ht="15" thickBot="1" x14ac:dyDescent="0.4">
      <c r="D207" s="19"/>
      <c r="E207" s="20"/>
      <c r="F207" s="21"/>
      <c r="G207" s="22"/>
      <c r="H207" s="21"/>
      <c r="I207" s="22"/>
      <c r="J207" s="23"/>
      <c r="K207" s="21"/>
      <c r="L207" s="24"/>
      <c r="M207" s="25"/>
      <c r="N207" s="26"/>
      <c r="O207" s="26"/>
      <c r="P207" s="22"/>
      <c r="Q207" s="21"/>
      <c r="R207" s="27"/>
      <c r="S207" s="28"/>
      <c r="T207" s="22"/>
      <c r="U207" s="22"/>
      <c r="V207" s="35"/>
    </row>
    <row r="208" spans="4:22" ht="15" thickBot="1" x14ac:dyDescent="0.4">
      <c r="D208" s="19"/>
      <c r="E208" s="20"/>
      <c r="F208" s="21"/>
      <c r="G208" s="22"/>
      <c r="H208" s="21"/>
      <c r="I208" s="22"/>
      <c r="J208" s="23"/>
      <c r="K208" s="21"/>
      <c r="L208" s="24"/>
      <c r="M208" s="25"/>
      <c r="N208" s="26"/>
      <c r="O208" s="26"/>
      <c r="P208" s="22"/>
      <c r="Q208" s="21"/>
      <c r="R208" s="27"/>
      <c r="S208" s="28"/>
      <c r="T208" s="22"/>
      <c r="U208" s="34"/>
      <c r="V208" s="35"/>
    </row>
    <row r="209" spans="4:22" ht="15" thickBot="1" x14ac:dyDescent="0.4">
      <c r="D209" s="19"/>
      <c r="E209" s="20"/>
      <c r="F209" s="21"/>
      <c r="G209" s="22"/>
      <c r="H209" s="21"/>
      <c r="I209" s="22"/>
      <c r="J209" s="23"/>
      <c r="K209" s="21"/>
      <c r="L209" s="24"/>
      <c r="M209" s="25"/>
      <c r="N209" s="26"/>
      <c r="O209" s="26"/>
      <c r="P209" s="22"/>
      <c r="Q209" s="21"/>
      <c r="R209" s="27"/>
      <c r="S209" s="28"/>
      <c r="T209" s="22"/>
      <c r="U209" s="34"/>
      <c r="V209" s="35"/>
    </row>
    <row r="210" spans="4:22" ht="15" thickBot="1" x14ac:dyDescent="0.4">
      <c r="D210" s="19"/>
      <c r="E210" s="20"/>
      <c r="F210" s="21"/>
      <c r="G210" s="22"/>
      <c r="H210" s="21"/>
      <c r="I210" s="22"/>
      <c r="J210" s="23"/>
      <c r="K210" s="21"/>
      <c r="L210" s="24"/>
      <c r="M210" s="25"/>
      <c r="N210" s="26"/>
      <c r="O210" s="26"/>
      <c r="P210" s="22"/>
      <c r="Q210" s="21"/>
      <c r="R210" s="27"/>
      <c r="S210" s="28"/>
      <c r="T210" s="22"/>
      <c r="U210" s="22"/>
      <c r="V210" s="35"/>
    </row>
    <row r="211" spans="4:22" ht="15" thickBot="1" x14ac:dyDescent="0.4">
      <c r="D211" s="19"/>
      <c r="E211" s="20"/>
      <c r="F211" s="21"/>
      <c r="G211" s="22"/>
      <c r="H211" s="21"/>
      <c r="I211" s="22"/>
      <c r="J211" s="23"/>
      <c r="K211" s="21"/>
      <c r="L211" s="24"/>
      <c r="M211" s="25"/>
      <c r="N211" s="26"/>
      <c r="O211" s="26"/>
      <c r="P211" s="22"/>
      <c r="Q211" s="21"/>
      <c r="R211" s="27"/>
      <c r="S211" s="28"/>
      <c r="T211" s="22"/>
      <c r="U211" s="22"/>
      <c r="V211" s="35"/>
    </row>
    <row r="212" spans="4:22" ht="15" thickBot="1" x14ac:dyDescent="0.4">
      <c r="D212" s="19"/>
      <c r="E212" s="20"/>
      <c r="F212" s="21"/>
      <c r="G212" s="22"/>
      <c r="H212" s="21"/>
      <c r="I212" s="22"/>
      <c r="J212" s="23"/>
      <c r="K212" s="21"/>
      <c r="L212" s="24"/>
      <c r="M212" s="25"/>
      <c r="N212" s="26"/>
      <c r="O212" s="26"/>
      <c r="P212" s="22"/>
      <c r="Q212" s="21"/>
      <c r="R212" s="27"/>
      <c r="S212" s="28"/>
      <c r="T212" s="22"/>
      <c r="U212" s="34"/>
      <c r="V212" s="35"/>
    </row>
    <row r="213" spans="4:22" ht="15" thickBot="1" x14ac:dyDescent="0.4">
      <c r="D213" s="19"/>
      <c r="E213" s="20"/>
      <c r="F213" s="21"/>
      <c r="G213" s="22"/>
      <c r="H213" s="21"/>
      <c r="I213" s="22"/>
      <c r="J213" s="23"/>
      <c r="K213" s="21"/>
      <c r="L213" s="24"/>
      <c r="M213" s="25"/>
      <c r="N213" s="26"/>
      <c r="O213" s="26"/>
      <c r="P213" s="22"/>
      <c r="Q213" s="21"/>
      <c r="R213" s="27"/>
      <c r="S213" s="28"/>
      <c r="T213" s="22"/>
      <c r="U213" s="34"/>
      <c r="V213" s="35"/>
    </row>
    <row r="214" spans="4:22" ht="15" thickBot="1" x14ac:dyDescent="0.4">
      <c r="D214" s="19"/>
      <c r="E214" s="20"/>
      <c r="F214" s="21"/>
      <c r="G214" s="22"/>
      <c r="H214" s="21"/>
      <c r="I214" s="22"/>
      <c r="J214" s="23"/>
      <c r="K214" s="21"/>
      <c r="L214" s="24"/>
      <c r="M214" s="25"/>
      <c r="N214" s="26"/>
      <c r="O214" s="26"/>
      <c r="P214" s="22"/>
      <c r="Q214" s="21"/>
      <c r="R214" s="27"/>
      <c r="S214" s="28"/>
      <c r="T214" s="22"/>
      <c r="U214" s="22"/>
      <c r="V214" s="35"/>
    </row>
    <row r="215" spans="4:22" ht="15" thickBot="1" x14ac:dyDescent="0.4">
      <c r="D215" s="19"/>
      <c r="E215" s="20"/>
      <c r="F215" s="21"/>
      <c r="G215" s="22"/>
      <c r="H215" s="21"/>
      <c r="I215" s="22"/>
      <c r="J215" s="23"/>
      <c r="K215" s="21"/>
      <c r="L215" s="24"/>
      <c r="M215" s="25"/>
      <c r="N215" s="26"/>
      <c r="O215" s="26"/>
      <c r="P215" s="22"/>
      <c r="Q215" s="21"/>
      <c r="R215" s="27"/>
      <c r="S215" s="28"/>
      <c r="T215" s="22"/>
      <c r="U215" s="22"/>
      <c r="V215" s="35"/>
    </row>
    <row r="216" spans="4:22" ht="15" thickBot="1" x14ac:dyDescent="0.4">
      <c r="D216" s="19"/>
      <c r="E216" s="20"/>
      <c r="F216" s="21"/>
      <c r="G216" s="22"/>
      <c r="H216" s="21"/>
      <c r="I216" s="22"/>
      <c r="J216" s="23"/>
      <c r="K216" s="21"/>
      <c r="L216" s="24"/>
      <c r="M216" s="25"/>
      <c r="N216" s="26"/>
      <c r="O216" s="26"/>
      <c r="P216" s="22"/>
      <c r="Q216" s="21"/>
      <c r="R216" s="27"/>
      <c r="S216" s="28"/>
      <c r="T216" s="22"/>
      <c r="U216" s="22"/>
      <c r="V216" s="35"/>
    </row>
    <row r="217" spans="4:22" ht="15" thickBot="1" x14ac:dyDescent="0.4">
      <c r="D217" s="19"/>
      <c r="E217" s="20"/>
      <c r="F217" s="21"/>
      <c r="G217" s="22"/>
      <c r="H217" s="21"/>
      <c r="I217" s="22"/>
      <c r="J217" s="23"/>
      <c r="K217" s="21"/>
      <c r="L217" s="24"/>
      <c r="M217" s="25"/>
      <c r="N217" s="26"/>
      <c r="O217" s="26"/>
      <c r="P217" s="22"/>
      <c r="Q217" s="21"/>
      <c r="R217" s="27"/>
      <c r="S217" s="28"/>
      <c r="T217" s="22"/>
      <c r="U217" s="22"/>
      <c r="V217" s="35"/>
    </row>
    <row r="218" spans="4:22" ht="15" thickBot="1" x14ac:dyDescent="0.4">
      <c r="D218" s="19"/>
      <c r="E218" s="20"/>
      <c r="F218" s="21"/>
      <c r="G218" s="22"/>
      <c r="H218" s="21"/>
      <c r="I218" s="22"/>
      <c r="J218" s="23"/>
      <c r="K218" s="21"/>
      <c r="L218" s="24"/>
      <c r="M218" s="25"/>
      <c r="N218" s="26"/>
      <c r="O218" s="26"/>
      <c r="P218" s="22"/>
      <c r="Q218" s="21"/>
      <c r="R218" s="27"/>
      <c r="S218" s="28"/>
      <c r="T218" s="22"/>
      <c r="U218" s="22"/>
      <c r="V218" s="35"/>
    </row>
    <row r="219" spans="4:22" ht="15" thickBot="1" x14ac:dyDescent="0.4">
      <c r="D219" s="19"/>
      <c r="E219" s="20"/>
      <c r="F219" s="21"/>
      <c r="G219" s="22"/>
      <c r="H219" s="21"/>
      <c r="I219" s="22"/>
      <c r="J219" s="23"/>
      <c r="K219" s="21"/>
      <c r="L219" s="24"/>
      <c r="M219" s="25"/>
      <c r="N219" s="26"/>
      <c r="O219" s="26"/>
      <c r="P219" s="22"/>
      <c r="Q219" s="21"/>
      <c r="R219" s="27"/>
      <c r="S219" s="28"/>
      <c r="T219" s="22"/>
      <c r="U219" s="34"/>
      <c r="V219" s="35"/>
    </row>
    <row r="220" spans="4:22" ht="15" thickBot="1" x14ac:dyDescent="0.4">
      <c r="D220" s="19"/>
      <c r="E220" s="20"/>
      <c r="F220" s="21"/>
      <c r="G220" s="22"/>
      <c r="H220" s="21"/>
      <c r="I220" s="22"/>
      <c r="J220" s="23"/>
      <c r="K220" s="21"/>
      <c r="L220" s="24"/>
      <c r="M220" s="25"/>
      <c r="N220" s="26"/>
      <c r="O220" s="26"/>
      <c r="P220" s="22"/>
      <c r="Q220" s="21"/>
      <c r="R220" s="27"/>
      <c r="S220" s="28"/>
      <c r="T220" s="22"/>
      <c r="U220" s="34"/>
      <c r="V220" s="35"/>
    </row>
    <row r="221" spans="4:22" ht="15" thickBot="1" x14ac:dyDescent="0.4">
      <c r="D221" s="19"/>
      <c r="E221" s="20"/>
      <c r="F221" s="21"/>
      <c r="G221" s="22"/>
      <c r="H221" s="21"/>
      <c r="I221" s="22"/>
      <c r="J221" s="23"/>
      <c r="K221" s="21"/>
      <c r="L221" s="24"/>
      <c r="M221" s="25"/>
      <c r="N221" s="26"/>
      <c r="O221" s="26"/>
      <c r="P221" s="22"/>
      <c r="Q221" s="21"/>
      <c r="R221" s="27"/>
      <c r="S221" s="28"/>
      <c r="T221" s="22"/>
      <c r="U221" s="34"/>
      <c r="V221" s="35"/>
    </row>
    <row r="222" spans="4:22" ht="15" thickBot="1" x14ac:dyDescent="0.4">
      <c r="D222" s="19"/>
      <c r="E222" s="20"/>
      <c r="F222" s="21"/>
      <c r="G222" s="22"/>
      <c r="H222" s="21"/>
      <c r="I222" s="22"/>
      <c r="J222" s="23"/>
      <c r="K222" s="21"/>
      <c r="L222" s="24"/>
      <c r="M222" s="25"/>
      <c r="N222" s="26"/>
      <c r="O222" s="26"/>
      <c r="P222" s="22"/>
      <c r="Q222" s="21"/>
      <c r="R222" s="27"/>
      <c r="S222" s="28"/>
      <c r="T222" s="22"/>
      <c r="U222" s="22"/>
      <c r="V222" s="35"/>
    </row>
    <row r="223" spans="4:22" ht="15" thickBot="1" x14ac:dyDescent="0.4">
      <c r="D223" s="19"/>
      <c r="E223" s="20"/>
      <c r="F223" s="21"/>
      <c r="G223" s="22"/>
      <c r="H223" s="21"/>
      <c r="I223" s="22"/>
      <c r="J223" s="23"/>
      <c r="K223" s="21"/>
      <c r="L223" s="24"/>
      <c r="M223" s="25"/>
      <c r="N223" s="26"/>
      <c r="O223" s="26"/>
      <c r="P223" s="22"/>
      <c r="Q223" s="21"/>
      <c r="R223" s="27"/>
      <c r="S223" s="28"/>
      <c r="T223" s="22"/>
      <c r="U223" s="22"/>
      <c r="V223" s="35"/>
    </row>
    <row r="224" spans="4:22" ht="15" thickBot="1" x14ac:dyDescent="0.4">
      <c r="D224" s="19"/>
      <c r="E224" s="20"/>
      <c r="F224" s="21"/>
      <c r="G224" s="22"/>
      <c r="H224" s="21"/>
      <c r="I224" s="22"/>
      <c r="J224" s="23"/>
      <c r="K224" s="21"/>
      <c r="L224" s="24"/>
      <c r="M224" s="25"/>
      <c r="N224" s="26"/>
      <c r="O224" s="26"/>
      <c r="P224" s="22"/>
      <c r="Q224" s="21"/>
      <c r="R224" s="27"/>
      <c r="S224" s="28"/>
      <c r="T224" s="22"/>
      <c r="U224" s="34"/>
      <c r="V224" s="35"/>
    </row>
    <row r="225" spans="4:22" ht="15" thickBot="1" x14ac:dyDescent="0.4">
      <c r="D225" s="19"/>
      <c r="E225" s="20"/>
      <c r="F225" s="21"/>
      <c r="G225" s="22"/>
      <c r="H225" s="21"/>
      <c r="I225" s="22"/>
      <c r="J225" s="23"/>
      <c r="K225" s="21"/>
      <c r="L225" s="24"/>
      <c r="M225" s="25"/>
      <c r="N225" s="26"/>
      <c r="O225" s="26"/>
      <c r="P225" s="22"/>
      <c r="Q225" s="21"/>
      <c r="R225" s="27"/>
      <c r="S225" s="28"/>
      <c r="T225" s="22"/>
      <c r="U225" s="34"/>
      <c r="V225" s="35"/>
    </row>
    <row r="226" spans="4:22" ht="15" thickBot="1" x14ac:dyDescent="0.4">
      <c r="D226" s="19"/>
      <c r="E226" s="20"/>
      <c r="F226" s="21"/>
      <c r="G226" s="22"/>
      <c r="H226" s="21"/>
      <c r="I226" s="22"/>
      <c r="J226" s="23"/>
      <c r="K226" s="21"/>
      <c r="L226" s="24"/>
      <c r="M226" s="25"/>
      <c r="N226" s="26"/>
      <c r="O226" s="26"/>
      <c r="P226" s="22"/>
      <c r="Q226" s="21"/>
      <c r="R226" s="27"/>
      <c r="S226" s="28"/>
      <c r="T226" s="22"/>
      <c r="U226" s="22"/>
      <c r="V226" s="35"/>
    </row>
    <row r="227" spans="4:22" ht="15" thickBot="1" x14ac:dyDescent="0.4">
      <c r="D227" s="19"/>
      <c r="E227" s="20"/>
      <c r="F227" s="21"/>
      <c r="G227" s="22"/>
      <c r="H227" s="21"/>
      <c r="I227" s="22"/>
      <c r="J227" s="23"/>
      <c r="K227" s="21"/>
      <c r="L227" s="24"/>
      <c r="M227" s="25"/>
      <c r="N227" s="26"/>
      <c r="O227" s="26"/>
      <c r="P227" s="22"/>
      <c r="Q227" s="21"/>
      <c r="R227" s="27"/>
      <c r="S227" s="28"/>
      <c r="T227" s="22"/>
      <c r="U227" s="22"/>
      <c r="V227" s="35"/>
    </row>
    <row r="228" spans="4:22" ht="15" thickBot="1" x14ac:dyDescent="0.4">
      <c r="D228" s="19"/>
      <c r="E228" s="20"/>
      <c r="F228" s="21"/>
      <c r="G228" s="22"/>
      <c r="H228" s="21"/>
      <c r="I228" s="22"/>
      <c r="J228" s="23"/>
      <c r="K228" s="21"/>
      <c r="L228" s="24"/>
      <c r="M228" s="25"/>
      <c r="N228" s="26"/>
      <c r="O228" s="26"/>
      <c r="P228" s="22"/>
      <c r="Q228" s="21"/>
      <c r="R228" s="27"/>
      <c r="S228" s="28"/>
      <c r="T228" s="22"/>
      <c r="U228" s="34"/>
      <c r="V228" s="35"/>
    </row>
    <row r="229" spans="4:22" ht="15" thickBot="1" x14ac:dyDescent="0.4">
      <c r="D229" s="19"/>
      <c r="E229" s="20"/>
      <c r="F229" s="21"/>
      <c r="G229" s="22"/>
      <c r="H229" s="21"/>
      <c r="I229" s="22"/>
      <c r="J229" s="23"/>
      <c r="K229" s="21"/>
      <c r="L229" s="24"/>
      <c r="M229" s="25"/>
      <c r="N229" s="26"/>
      <c r="O229" s="26"/>
      <c r="P229" s="22"/>
      <c r="Q229" s="21"/>
      <c r="R229" s="27"/>
      <c r="S229" s="28"/>
      <c r="T229" s="22"/>
      <c r="U229" s="22"/>
      <c r="V229" s="35"/>
    </row>
    <row r="230" spans="4:22" ht="15" thickBot="1" x14ac:dyDescent="0.4">
      <c r="D230" s="19"/>
      <c r="E230" s="20"/>
      <c r="F230" s="21"/>
      <c r="G230" s="22"/>
      <c r="H230" s="21"/>
      <c r="I230" s="22"/>
      <c r="J230" s="23"/>
      <c r="K230" s="21"/>
      <c r="L230" s="24"/>
      <c r="M230" s="25"/>
      <c r="N230" s="26"/>
      <c r="O230" s="26"/>
      <c r="P230" s="22"/>
      <c r="Q230" s="21"/>
      <c r="R230" s="27"/>
      <c r="S230" s="28"/>
      <c r="T230" s="22"/>
      <c r="U230" s="33"/>
      <c r="V230" s="35"/>
    </row>
    <row r="231" spans="4:22" ht="15" thickBot="1" x14ac:dyDescent="0.4">
      <c r="D231" s="19"/>
      <c r="E231" s="20"/>
      <c r="F231" s="21"/>
      <c r="G231" s="22"/>
      <c r="H231" s="21"/>
      <c r="I231" s="22"/>
      <c r="J231" s="23"/>
      <c r="K231" s="21"/>
      <c r="L231" s="24"/>
      <c r="M231" s="25"/>
      <c r="N231" s="26"/>
      <c r="O231" s="26"/>
      <c r="P231" s="22"/>
      <c r="Q231" s="21"/>
      <c r="R231" s="27"/>
      <c r="S231" s="28"/>
      <c r="T231" s="22"/>
      <c r="U231" s="32"/>
      <c r="V231" s="35"/>
    </row>
    <row r="232" spans="4:22" ht="15" thickBot="1" x14ac:dyDescent="0.4">
      <c r="D232" s="19"/>
      <c r="E232" s="20"/>
      <c r="F232" s="21"/>
      <c r="G232" s="22"/>
      <c r="H232" s="21"/>
      <c r="I232" s="22"/>
      <c r="J232" s="23"/>
      <c r="K232" s="21"/>
      <c r="L232" s="24"/>
      <c r="M232" s="25"/>
      <c r="N232" s="26"/>
      <c r="O232" s="26"/>
      <c r="P232" s="22"/>
      <c r="Q232" s="21"/>
      <c r="R232" s="27"/>
      <c r="S232" s="28"/>
      <c r="T232" s="22"/>
      <c r="U232" s="33"/>
      <c r="V232" s="35"/>
    </row>
    <row r="233" spans="4:22" ht="15" thickBot="1" x14ac:dyDescent="0.4">
      <c r="D233" s="19"/>
      <c r="E233" s="20"/>
      <c r="F233" s="21"/>
      <c r="G233" s="22"/>
      <c r="H233" s="21"/>
      <c r="I233" s="22"/>
      <c r="J233" s="23"/>
      <c r="K233" s="21"/>
      <c r="L233" s="24"/>
      <c r="M233" s="25"/>
      <c r="N233" s="26"/>
      <c r="O233" s="26"/>
      <c r="P233" s="22"/>
      <c r="Q233" s="21"/>
      <c r="R233" s="27"/>
      <c r="S233" s="28"/>
      <c r="T233" s="22"/>
      <c r="U233" s="33"/>
      <c r="V233" s="35"/>
    </row>
    <row r="234" spans="4:22" ht="15" thickBot="1" x14ac:dyDescent="0.4">
      <c r="D234" s="19"/>
      <c r="E234" s="20"/>
      <c r="F234" s="21"/>
      <c r="G234" s="22"/>
      <c r="H234" s="21"/>
      <c r="I234" s="22"/>
      <c r="J234" s="23"/>
      <c r="K234" s="21"/>
      <c r="L234" s="24"/>
      <c r="M234" s="25"/>
      <c r="N234" s="26"/>
      <c r="O234" s="26"/>
      <c r="P234" s="22"/>
      <c r="Q234" s="21"/>
      <c r="R234" s="27"/>
      <c r="S234" s="28"/>
      <c r="T234" s="22"/>
      <c r="U234" s="33"/>
      <c r="V234" s="35"/>
    </row>
    <row r="235" spans="4:22" ht="15" thickBot="1" x14ac:dyDescent="0.4">
      <c r="D235" s="19"/>
      <c r="E235" s="20"/>
      <c r="F235" s="21"/>
      <c r="G235" s="22"/>
      <c r="H235" s="21"/>
      <c r="I235" s="22"/>
      <c r="J235" s="23"/>
      <c r="K235" s="21"/>
      <c r="L235" s="24"/>
      <c r="M235" s="25"/>
      <c r="N235" s="26"/>
      <c r="O235" s="26"/>
      <c r="P235" s="22"/>
      <c r="Q235" s="21"/>
      <c r="R235" s="27"/>
      <c r="S235" s="28"/>
      <c r="T235" s="22"/>
      <c r="U235" s="32"/>
      <c r="V235" s="35"/>
    </row>
    <row r="236" spans="4:22" ht="15" thickBot="1" x14ac:dyDescent="0.4">
      <c r="D236" s="19"/>
      <c r="E236" s="20"/>
      <c r="F236" s="21"/>
      <c r="G236" s="22"/>
      <c r="H236" s="21"/>
      <c r="I236" s="22"/>
      <c r="J236" s="23"/>
      <c r="K236" s="21"/>
      <c r="L236" s="24"/>
      <c r="M236" s="25"/>
      <c r="N236" s="26"/>
      <c r="O236" s="26"/>
      <c r="P236" s="22"/>
      <c r="Q236" s="21"/>
      <c r="R236" s="27"/>
      <c r="S236" s="28"/>
      <c r="T236" s="22"/>
      <c r="U236" s="32"/>
      <c r="V236" s="35"/>
    </row>
    <row r="237" spans="4:22" ht="15" thickBot="1" x14ac:dyDescent="0.4">
      <c r="D237" s="19"/>
      <c r="E237" s="20"/>
      <c r="F237" s="21"/>
      <c r="G237" s="22"/>
      <c r="H237" s="21"/>
      <c r="I237" s="22"/>
      <c r="J237" s="23"/>
      <c r="K237" s="21"/>
      <c r="L237" s="24"/>
      <c r="M237" s="25"/>
      <c r="N237" s="26"/>
      <c r="O237" s="26"/>
      <c r="P237" s="22"/>
      <c r="Q237" s="21"/>
      <c r="R237" s="27"/>
      <c r="S237" s="28"/>
      <c r="T237" s="22"/>
      <c r="U237" s="33"/>
      <c r="V237" s="35"/>
    </row>
    <row r="238" spans="4:22" ht="15" thickBot="1" x14ac:dyDescent="0.4">
      <c r="D238" s="19"/>
      <c r="E238" s="20"/>
      <c r="F238" s="21"/>
      <c r="G238" s="22"/>
      <c r="H238" s="21"/>
      <c r="I238" s="22"/>
      <c r="J238" s="23"/>
      <c r="K238" s="21"/>
      <c r="L238" s="24"/>
      <c r="M238" s="25"/>
      <c r="N238" s="26"/>
      <c r="O238" s="26"/>
      <c r="P238" s="22"/>
      <c r="Q238" s="21"/>
      <c r="R238" s="27"/>
      <c r="S238" s="28"/>
      <c r="T238" s="22"/>
      <c r="U238" s="32"/>
      <c r="V238" s="35"/>
    </row>
    <row r="239" spans="4:22" ht="15" thickBot="1" x14ac:dyDescent="0.4">
      <c r="D239" s="19"/>
      <c r="E239" s="20"/>
      <c r="F239" s="21"/>
      <c r="G239" s="22"/>
      <c r="H239" s="21"/>
      <c r="I239" s="22"/>
      <c r="J239" s="23"/>
      <c r="K239" s="21"/>
      <c r="L239" s="24"/>
      <c r="M239" s="25"/>
      <c r="N239" s="26"/>
      <c r="O239" s="26"/>
      <c r="P239" s="22"/>
      <c r="Q239" s="21"/>
      <c r="R239" s="27"/>
      <c r="S239" s="28"/>
      <c r="T239" s="22"/>
      <c r="U239" s="32"/>
      <c r="V239" s="35"/>
    </row>
    <row r="240" spans="4:22" ht="15" thickBot="1" x14ac:dyDescent="0.4">
      <c r="D240" s="19"/>
      <c r="E240" s="20"/>
      <c r="F240" s="21"/>
      <c r="G240" s="22"/>
      <c r="H240" s="21"/>
      <c r="I240" s="22"/>
      <c r="J240" s="23"/>
      <c r="K240" s="21"/>
      <c r="L240" s="24"/>
      <c r="M240" s="25"/>
      <c r="N240" s="26"/>
      <c r="O240" s="26"/>
      <c r="P240" s="22"/>
      <c r="Q240" s="21"/>
      <c r="R240" s="27"/>
      <c r="S240" s="28"/>
      <c r="T240" s="22"/>
      <c r="U240" s="33"/>
      <c r="V240" s="35"/>
    </row>
    <row r="241" spans="4:25" ht="15" thickBot="1" x14ac:dyDescent="0.4">
      <c r="D241" s="19"/>
      <c r="E241" s="20"/>
      <c r="F241" s="21"/>
      <c r="G241" s="22"/>
      <c r="H241" s="21"/>
      <c r="I241" s="22"/>
      <c r="J241" s="23"/>
      <c r="K241" s="21"/>
      <c r="L241" s="24"/>
      <c r="M241" s="25"/>
      <c r="N241" s="26"/>
      <c r="O241" s="26"/>
      <c r="P241" s="22"/>
      <c r="Q241" s="21"/>
      <c r="R241" s="27"/>
      <c r="S241" s="28"/>
      <c r="T241" s="22"/>
      <c r="U241" s="32"/>
      <c r="V241" s="35"/>
    </row>
    <row r="242" spans="4:25" ht="15" thickBot="1" x14ac:dyDescent="0.4">
      <c r="D242" s="19"/>
      <c r="E242" s="20"/>
      <c r="F242" s="21"/>
      <c r="G242" s="22"/>
      <c r="H242" s="21"/>
      <c r="I242" s="22"/>
      <c r="J242" s="23"/>
      <c r="K242" s="21"/>
      <c r="L242" s="24"/>
      <c r="M242" s="25"/>
      <c r="N242" s="26"/>
      <c r="O242" s="26"/>
      <c r="P242" s="22"/>
      <c r="Q242" s="21"/>
      <c r="R242" s="27"/>
      <c r="S242" s="28"/>
      <c r="T242" s="22"/>
      <c r="U242" s="32"/>
      <c r="V242" s="35"/>
    </row>
    <row r="243" spans="4:25" ht="15" thickBot="1" x14ac:dyDescent="0.4">
      <c r="D243" s="19"/>
      <c r="E243" s="20"/>
      <c r="F243" s="21"/>
      <c r="G243" s="22"/>
      <c r="H243" s="21"/>
      <c r="I243" s="22"/>
      <c r="J243" s="23"/>
      <c r="K243" s="21"/>
      <c r="L243" s="24"/>
      <c r="M243" s="25"/>
      <c r="N243" s="26"/>
      <c r="O243" s="26"/>
      <c r="P243" s="22"/>
      <c r="Q243" s="21"/>
      <c r="R243" s="27"/>
      <c r="S243" s="28"/>
      <c r="T243" s="22"/>
      <c r="U243" s="32"/>
      <c r="V243" s="35"/>
    </row>
    <row r="244" spans="4:25" ht="15" thickBot="1" x14ac:dyDescent="0.4">
      <c r="D244" s="19"/>
      <c r="E244" s="20"/>
      <c r="F244" s="21"/>
      <c r="G244" s="22"/>
      <c r="H244" s="21"/>
      <c r="I244" s="22"/>
      <c r="J244" s="23"/>
      <c r="K244" s="21"/>
      <c r="L244" s="24"/>
      <c r="M244" s="25"/>
      <c r="N244" s="26"/>
      <c r="O244" s="26"/>
      <c r="P244" s="22"/>
      <c r="Q244" s="21"/>
      <c r="R244" s="27"/>
      <c r="S244" s="28"/>
      <c r="T244" s="22"/>
      <c r="U244" s="33"/>
      <c r="V244" s="35"/>
    </row>
    <row r="245" spans="4:25" ht="15" thickBot="1" x14ac:dyDescent="0.4">
      <c r="D245" s="19"/>
      <c r="E245" s="20"/>
      <c r="F245" s="21"/>
      <c r="G245" s="22"/>
      <c r="H245" s="21"/>
      <c r="I245" s="22"/>
      <c r="J245" s="23"/>
      <c r="K245" s="21"/>
      <c r="L245" s="24"/>
      <c r="M245" s="25"/>
      <c r="N245" s="26"/>
      <c r="O245" s="26"/>
      <c r="P245" s="22"/>
      <c r="Q245" s="21"/>
      <c r="R245" s="27"/>
      <c r="S245" s="28"/>
      <c r="T245" s="22"/>
      <c r="U245" s="32"/>
      <c r="V245" s="35"/>
    </row>
    <row r="246" spans="4:25" ht="15" thickBot="1" x14ac:dyDescent="0.4">
      <c r="D246" s="19"/>
      <c r="E246" s="20"/>
      <c r="F246" s="21"/>
      <c r="G246" s="22"/>
      <c r="H246" s="21"/>
      <c r="I246" s="22"/>
      <c r="J246" s="23"/>
      <c r="K246" s="21"/>
      <c r="L246" s="24"/>
      <c r="M246" s="25"/>
      <c r="N246" s="26"/>
      <c r="O246" s="26"/>
      <c r="P246" s="22"/>
      <c r="Q246" s="21"/>
      <c r="R246" s="27"/>
      <c r="S246" s="28"/>
      <c r="T246" s="22"/>
      <c r="U246" s="33"/>
      <c r="V246" s="35"/>
    </row>
    <row r="247" spans="4:25" ht="15" thickBot="1" x14ac:dyDescent="0.4">
      <c r="D247" s="19"/>
      <c r="E247" s="20"/>
      <c r="F247" s="21"/>
      <c r="G247" s="22"/>
      <c r="H247" s="21"/>
      <c r="I247" s="22"/>
      <c r="J247" s="23"/>
      <c r="K247" s="21"/>
      <c r="L247" s="24"/>
      <c r="M247" s="25"/>
      <c r="N247" s="26"/>
      <c r="O247" s="26"/>
      <c r="P247" s="22"/>
      <c r="Q247" s="21"/>
      <c r="R247" s="27"/>
      <c r="S247" s="28"/>
      <c r="T247" s="22"/>
      <c r="U247" s="33"/>
      <c r="V247" s="35"/>
    </row>
    <row r="248" spans="4:25" ht="15" thickBot="1" x14ac:dyDescent="0.4">
      <c r="D248" s="19"/>
      <c r="E248" s="20"/>
      <c r="F248" s="21"/>
      <c r="G248" s="22"/>
      <c r="H248" s="21"/>
      <c r="I248" s="22"/>
      <c r="J248" s="23"/>
      <c r="K248" s="21"/>
      <c r="L248" s="24"/>
      <c r="M248" s="25"/>
      <c r="N248" s="26"/>
      <c r="O248" s="26"/>
      <c r="P248" s="22"/>
      <c r="Q248" s="21"/>
      <c r="R248" s="27"/>
      <c r="S248" s="28"/>
      <c r="T248" s="22"/>
      <c r="U248" s="32"/>
      <c r="V248" s="35"/>
    </row>
    <row r="249" spans="4:25" ht="15" thickBot="1" x14ac:dyDescent="0.4">
      <c r="D249" s="19"/>
      <c r="E249" s="20"/>
      <c r="F249" s="21"/>
      <c r="G249" s="22"/>
      <c r="H249" s="21"/>
      <c r="I249" s="22"/>
      <c r="J249" s="23"/>
      <c r="K249" s="21"/>
      <c r="L249" s="24"/>
      <c r="M249" s="25"/>
      <c r="N249" s="26"/>
      <c r="O249" s="26"/>
      <c r="P249" s="22"/>
      <c r="Q249" s="21"/>
      <c r="R249" s="27"/>
      <c r="S249" s="28"/>
      <c r="T249" s="22"/>
      <c r="U249" s="33"/>
      <c r="V249" s="35"/>
    </row>
    <row r="250" spans="4:25" ht="15" thickBot="1" x14ac:dyDescent="0.4">
      <c r="D250" s="19"/>
      <c r="E250" s="20"/>
      <c r="F250" s="21"/>
      <c r="G250" s="22"/>
      <c r="H250" s="21"/>
      <c r="I250" s="22"/>
      <c r="J250" s="23"/>
      <c r="K250" s="21"/>
      <c r="L250" s="24"/>
      <c r="M250" s="25"/>
      <c r="N250" s="26"/>
      <c r="O250" s="26"/>
      <c r="P250" s="22"/>
      <c r="Q250" s="21"/>
      <c r="R250" s="27"/>
      <c r="S250" s="28"/>
      <c r="T250" s="22"/>
      <c r="U250" s="33"/>
      <c r="V250" s="35"/>
    </row>
    <row r="251" spans="4:25" ht="15" thickBot="1" x14ac:dyDescent="0.4">
      <c r="D251" s="19"/>
      <c r="E251" s="20"/>
      <c r="F251" s="21"/>
      <c r="G251" s="22"/>
      <c r="H251" s="21"/>
      <c r="I251" s="22"/>
      <c r="J251" s="23"/>
      <c r="K251" s="21"/>
      <c r="L251" s="24"/>
      <c r="M251" s="25"/>
      <c r="N251" s="26"/>
      <c r="O251" s="26"/>
      <c r="P251" s="22"/>
      <c r="Q251" s="21"/>
      <c r="R251" s="27"/>
      <c r="S251" s="28"/>
      <c r="T251" s="22"/>
      <c r="U251" s="32"/>
      <c r="V251" s="35"/>
    </row>
    <row r="252" spans="4:25" ht="15" thickBot="1" x14ac:dyDescent="0.4">
      <c r="D252" s="19"/>
      <c r="E252" s="20"/>
      <c r="F252" s="21"/>
      <c r="G252" s="22"/>
      <c r="H252" s="21"/>
      <c r="I252" s="22"/>
      <c r="J252" s="23"/>
      <c r="K252" s="21"/>
      <c r="L252" s="24"/>
      <c r="M252" s="25"/>
      <c r="N252" s="26"/>
      <c r="O252" s="26"/>
      <c r="P252" s="22"/>
      <c r="Q252" s="21"/>
      <c r="R252" s="27"/>
      <c r="S252" s="28"/>
      <c r="T252" s="22"/>
      <c r="U252" s="33"/>
      <c r="V252" s="35"/>
    </row>
    <row r="253" spans="4:25" ht="15" thickBot="1" x14ac:dyDescent="0.4">
      <c r="D253" s="19"/>
      <c r="E253" s="20"/>
      <c r="F253" s="21"/>
      <c r="G253" s="22"/>
      <c r="H253" s="21"/>
      <c r="I253" s="22"/>
      <c r="J253" s="23"/>
      <c r="K253" s="21"/>
      <c r="L253" s="24"/>
      <c r="M253" s="25"/>
      <c r="N253" s="26"/>
      <c r="O253" s="26"/>
      <c r="P253" s="22"/>
      <c r="Q253" s="21"/>
      <c r="R253" s="27"/>
      <c r="S253" s="28"/>
      <c r="T253" s="22"/>
      <c r="U253" s="32"/>
      <c r="V253" s="35"/>
    </row>
    <row r="254" spans="4:25" ht="15" thickBot="1" x14ac:dyDescent="0.4">
      <c r="D254" s="19"/>
      <c r="E254" s="20"/>
      <c r="F254" s="21"/>
      <c r="G254" s="22"/>
      <c r="H254" s="21"/>
      <c r="I254" s="22"/>
      <c r="J254" s="23"/>
      <c r="K254" s="21"/>
      <c r="L254" s="24"/>
      <c r="M254" s="25"/>
      <c r="N254" s="26"/>
      <c r="O254" s="26"/>
      <c r="P254" s="22"/>
      <c r="Q254" s="21"/>
      <c r="R254" s="27"/>
      <c r="S254" s="28"/>
      <c r="T254" s="22"/>
      <c r="U254" s="33"/>
      <c r="V254" s="35"/>
      <c r="X254" s="22" t="e">
        <f>Z254*#REF!</f>
        <v>#REF!</v>
      </c>
      <c r="Y254" s="132"/>
    </row>
    <row r="255" spans="4:25" ht="15" thickBot="1" x14ac:dyDescent="0.4">
      <c r="D255" s="19"/>
      <c r="E255" s="20"/>
      <c r="F255" s="21"/>
      <c r="G255" s="22"/>
      <c r="H255" s="21"/>
      <c r="I255" s="22"/>
      <c r="J255" s="23"/>
      <c r="K255" s="21"/>
      <c r="L255" s="24"/>
      <c r="M255" s="25"/>
      <c r="N255" s="26"/>
      <c r="O255" s="26"/>
      <c r="P255" s="22"/>
      <c r="Q255" s="21"/>
      <c r="R255" s="27"/>
      <c r="S255" s="28"/>
      <c r="T255" s="22"/>
      <c r="U255" s="33"/>
      <c r="V255" s="35"/>
    </row>
    <row r="256" spans="4:25" ht="15" thickBot="1" x14ac:dyDescent="0.4">
      <c r="D256" s="19"/>
      <c r="E256" s="20"/>
      <c r="F256" s="21"/>
      <c r="G256" s="22"/>
      <c r="H256" s="21"/>
      <c r="I256" s="22"/>
      <c r="J256" s="23"/>
      <c r="K256" s="21"/>
      <c r="L256" s="24"/>
      <c r="M256" s="25"/>
      <c r="N256" s="26"/>
      <c r="O256" s="26"/>
      <c r="P256" s="22"/>
      <c r="Q256" s="21"/>
      <c r="R256" s="27"/>
      <c r="S256" s="28"/>
      <c r="T256" s="22"/>
      <c r="U256" s="33"/>
      <c r="V256" s="35"/>
    </row>
    <row r="257" spans="4:22" ht="15" thickBot="1" x14ac:dyDescent="0.4">
      <c r="D257" s="19"/>
      <c r="E257" s="20"/>
      <c r="F257" s="21"/>
      <c r="G257" s="22"/>
      <c r="H257" s="21"/>
      <c r="I257" s="22"/>
      <c r="J257" s="23"/>
      <c r="K257" s="21"/>
      <c r="L257" s="24"/>
      <c r="M257" s="25"/>
      <c r="N257" s="26"/>
      <c r="O257" s="26"/>
      <c r="P257" s="22"/>
      <c r="Q257" s="21"/>
      <c r="R257" s="27"/>
      <c r="S257" s="28"/>
      <c r="T257" s="22"/>
      <c r="U257" s="33"/>
      <c r="V257" s="35"/>
    </row>
    <row r="258" spans="4:22" ht="15" thickBot="1" x14ac:dyDescent="0.4">
      <c r="D258" s="19"/>
      <c r="E258" s="20"/>
      <c r="F258" s="21"/>
      <c r="G258" s="22"/>
      <c r="H258" s="21"/>
      <c r="I258" s="22"/>
      <c r="J258" s="23"/>
      <c r="K258" s="21"/>
      <c r="L258" s="24"/>
      <c r="M258" s="25"/>
      <c r="N258" s="26"/>
      <c r="O258" s="26"/>
      <c r="P258" s="22"/>
      <c r="Q258" s="21"/>
      <c r="R258" s="27"/>
      <c r="S258" s="28"/>
      <c r="T258" s="22"/>
      <c r="U258" s="33"/>
      <c r="V258" s="35"/>
    </row>
    <row r="259" spans="4:22" ht="15" thickBot="1" x14ac:dyDescent="0.4">
      <c r="D259" s="19"/>
      <c r="E259" s="20"/>
      <c r="F259" s="21"/>
      <c r="G259" s="22"/>
      <c r="H259" s="21"/>
      <c r="I259" s="22"/>
      <c r="J259" s="23"/>
      <c r="K259" s="21"/>
      <c r="L259" s="24"/>
      <c r="M259" s="25"/>
      <c r="N259" s="26"/>
      <c r="O259" s="26"/>
      <c r="P259" s="22"/>
      <c r="Q259" s="21"/>
      <c r="R259" s="27"/>
      <c r="S259" s="28"/>
      <c r="T259" s="22"/>
      <c r="U259" s="32"/>
      <c r="V259" s="35"/>
    </row>
    <row r="260" spans="4:22" ht="15" thickBot="1" x14ac:dyDescent="0.4">
      <c r="D260" s="19"/>
      <c r="E260" s="20"/>
      <c r="F260" s="21"/>
      <c r="G260" s="22"/>
      <c r="H260" s="21"/>
      <c r="I260" s="22"/>
      <c r="J260" s="23"/>
      <c r="K260" s="21"/>
      <c r="L260" s="24"/>
      <c r="M260" s="25"/>
      <c r="N260" s="26"/>
      <c r="O260" s="26"/>
      <c r="P260" s="22"/>
      <c r="Q260" s="21"/>
      <c r="R260" s="27"/>
      <c r="S260" s="28"/>
      <c r="T260" s="22"/>
      <c r="U260" s="33"/>
      <c r="V260" s="35"/>
    </row>
    <row r="261" spans="4:22" ht="15" thickBot="1" x14ac:dyDescent="0.4">
      <c r="D261" s="19"/>
      <c r="E261" s="20"/>
      <c r="F261" s="21"/>
      <c r="G261" s="22"/>
      <c r="H261" s="21"/>
      <c r="I261" s="22"/>
      <c r="J261" s="23"/>
      <c r="K261" s="21"/>
      <c r="L261" s="24"/>
      <c r="M261" s="25"/>
      <c r="N261" s="26"/>
      <c r="O261" s="26"/>
      <c r="P261" s="22"/>
      <c r="Q261" s="21"/>
      <c r="R261" s="27"/>
      <c r="S261" s="28"/>
      <c r="T261" s="22"/>
      <c r="U261" s="32"/>
      <c r="V261" s="35"/>
    </row>
    <row r="262" spans="4:22" ht="15" thickBot="1" x14ac:dyDescent="0.4">
      <c r="D262" s="19"/>
      <c r="E262" s="20"/>
      <c r="F262" s="21"/>
      <c r="G262" s="22"/>
      <c r="H262" s="21"/>
      <c r="I262" s="22"/>
      <c r="J262" s="23"/>
      <c r="K262" s="21"/>
      <c r="L262" s="24"/>
      <c r="M262" s="25"/>
      <c r="N262" s="26"/>
      <c r="O262" s="26"/>
      <c r="P262" s="22"/>
      <c r="Q262" s="21"/>
      <c r="R262" s="27"/>
      <c r="S262" s="28"/>
      <c r="T262" s="22"/>
      <c r="U262" s="33"/>
      <c r="V262" s="35"/>
    </row>
    <row r="263" spans="4:22" ht="15" thickBot="1" x14ac:dyDescent="0.4">
      <c r="D263" s="19"/>
      <c r="E263" s="20"/>
      <c r="F263" s="21"/>
      <c r="G263" s="22"/>
      <c r="H263" s="21"/>
      <c r="I263" s="22"/>
      <c r="J263" s="23"/>
      <c r="K263" s="21"/>
      <c r="L263" s="24"/>
      <c r="M263" s="25"/>
      <c r="N263" s="26"/>
      <c r="O263" s="26"/>
      <c r="P263" s="22"/>
      <c r="Q263" s="21"/>
      <c r="R263" s="27"/>
      <c r="S263" s="28"/>
      <c r="T263" s="22"/>
      <c r="U263" s="33"/>
      <c r="V263" s="35"/>
    </row>
    <row r="264" spans="4:22" ht="15" thickBot="1" x14ac:dyDescent="0.4">
      <c r="D264" s="19"/>
      <c r="E264" s="20"/>
      <c r="F264" s="21"/>
      <c r="G264" s="22"/>
      <c r="H264" s="21"/>
      <c r="I264" s="22"/>
      <c r="J264" s="23"/>
      <c r="K264" s="21"/>
      <c r="L264" s="24"/>
      <c r="M264" s="25"/>
      <c r="N264" s="26"/>
      <c r="O264" s="26"/>
      <c r="P264" s="22"/>
      <c r="Q264" s="21"/>
      <c r="R264" s="27"/>
      <c r="S264" s="28"/>
      <c r="T264" s="22"/>
      <c r="U264" s="33"/>
      <c r="V264" s="35"/>
    </row>
    <row r="265" spans="4:22" ht="15" thickBot="1" x14ac:dyDescent="0.4">
      <c r="D265" s="19"/>
      <c r="E265" s="20"/>
      <c r="F265" s="21"/>
      <c r="G265" s="22"/>
      <c r="H265" s="21"/>
      <c r="I265" s="22"/>
      <c r="J265" s="23"/>
      <c r="K265" s="21"/>
      <c r="L265" s="24"/>
      <c r="M265" s="25"/>
      <c r="N265" s="26"/>
      <c r="O265" s="26"/>
      <c r="P265" s="22"/>
      <c r="Q265" s="21"/>
      <c r="R265" s="27"/>
      <c r="S265" s="28"/>
      <c r="T265" s="22"/>
      <c r="U265" s="32"/>
      <c r="V265" s="35"/>
    </row>
    <row r="266" spans="4:22" ht="15" thickBot="1" x14ac:dyDescent="0.4">
      <c r="D266" s="19"/>
      <c r="E266" s="20"/>
      <c r="F266" s="21"/>
      <c r="G266" s="22"/>
      <c r="H266" s="21"/>
      <c r="I266" s="22"/>
      <c r="J266" s="23"/>
      <c r="K266" s="21"/>
      <c r="L266" s="24"/>
      <c r="M266" s="25"/>
      <c r="N266" s="26"/>
      <c r="O266" s="26"/>
      <c r="P266" s="22"/>
      <c r="Q266" s="21"/>
      <c r="R266" s="27"/>
      <c r="S266" s="28"/>
      <c r="T266" s="22"/>
      <c r="U266" s="33"/>
      <c r="V266" s="35"/>
    </row>
    <row r="267" spans="4:22" ht="15" thickBot="1" x14ac:dyDescent="0.4">
      <c r="D267" s="19"/>
      <c r="E267" s="20"/>
      <c r="F267" s="21"/>
      <c r="G267" s="22"/>
      <c r="H267" s="21"/>
      <c r="I267" s="22"/>
      <c r="J267" s="23"/>
      <c r="K267" s="21"/>
      <c r="L267" s="24"/>
      <c r="M267" s="25"/>
      <c r="N267" s="26"/>
      <c r="O267" s="26"/>
      <c r="P267" s="22"/>
      <c r="Q267" s="21"/>
      <c r="R267" s="27"/>
      <c r="S267" s="28"/>
      <c r="T267" s="22"/>
      <c r="U267" s="32"/>
      <c r="V267" s="35"/>
    </row>
    <row r="268" spans="4:22" ht="15" thickBot="1" x14ac:dyDescent="0.4">
      <c r="D268" s="19"/>
      <c r="E268" s="20"/>
      <c r="F268" s="21"/>
      <c r="G268" s="22"/>
      <c r="H268" s="21"/>
      <c r="I268" s="22"/>
      <c r="J268" s="23"/>
      <c r="K268" s="21"/>
      <c r="L268" s="24"/>
      <c r="M268" s="25"/>
      <c r="N268" s="26"/>
      <c r="O268" s="26"/>
      <c r="P268" s="22"/>
      <c r="Q268" s="21"/>
      <c r="R268" s="27"/>
      <c r="S268" s="28"/>
      <c r="T268" s="22"/>
      <c r="U268" s="22"/>
      <c r="V268" s="35"/>
    </row>
    <row r="269" spans="4:22" ht="15" thickBot="1" x14ac:dyDescent="0.4">
      <c r="D269" s="19"/>
      <c r="E269" s="20"/>
      <c r="F269" s="21"/>
      <c r="G269" s="22"/>
      <c r="H269" s="21"/>
      <c r="I269" s="22"/>
      <c r="J269" s="23"/>
      <c r="K269" s="21"/>
      <c r="L269" s="24"/>
      <c r="M269" s="25"/>
      <c r="N269" s="26"/>
      <c r="O269" s="26"/>
      <c r="P269" s="22"/>
      <c r="Q269" s="21"/>
      <c r="R269" s="27"/>
      <c r="S269" s="28"/>
      <c r="T269" s="22"/>
      <c r="U269" s="22"/>
      <c r="V269" s="35"/>
    </row>
    <row r="270" spans="4:22" ht="15" thickBot="1" x14ac:dyDescent="0.4">
      <c r="D270" s="19"/>
      <c r="E270" s="20"/>
      <c r="F270" s="21"/>
      <c r="G270" s="22"/>
      <c r="H270" s="21"/>
      <c r="I270" s="22"/>
      <c r="J270" s="23"/>
      <c r="K270" s="21"/>
      <c r="L270" s="24"/>
      <c r="M270" s="25"/>
      <c r="N270" s="26"/>
      <c r="O270" s="26"/>
      <c r="P270" s="22"/>
      <c r="Q270" s="21"/>
      <c r="R270" s="27"/>
      <c r="S270" s="28"/>
      <c r="T270" s="22"/>
      <c r="U270" s="22"/>
      <c r="V270" s="35"/>
    </row>
    <row r="271" spans="4:22" ht="15" thickBot="1" x14ac:dyDescent="0.4">
      <c r="D271" s="19"/>
      <c r="E271" s="20"/>
      <c r="F271" s="21"/>
      <c r="G271" s="22"/>
      <c r="H271" s="21"/>
      <c r="I271" s="22"/>
      <c r="J271" s="23"/>
      <c r="K271" s="21"/>
      <c r="L271" s="24"/>
      <c r="M271" s="25"/>
      <c r="N271" s="26"/>
      <c r="O271" s="26"/>
      <c r="P271" s="22"/>
      <c r="Q271" s="21"/>
      <c r="R271" s="27"/>
      <c r="S271" s="28"/>
      <c r="T271" s="22"/>
      <c r="U271" s="34"/>
      <c r="V271" s="35"/>
    </row>
    <row r="272" spans="4:22" ht="15" thickBot="1" x14ac:dyDescent="0.4">
      <c r="D272" s="19"/>
      <c r="E272" s="20"/>
      <c r="F272" s="21"/>
      <c r="G272" s="22"/>
      <c r="H272" s="21"/>
      <c r="I272" s="22"/>
      <c r="J272" s="23"/>
      <c r="K272" s="21"/>
      <c r="L272" s="24"/>
      <c r="M272" s="25"/>
      <c r="N272" s="26"/>
      <c r="O272" s="26"/>
      <c r="P272" s="22"/>
      <c r="Q272" s="21"/>
      <c r="R272" s="27"/>
      <c r="S272" s="28"/>
      <c r="T272" s="22"/>
      <c r="U272" s="34"/>
      <c r="V272" s="35"/>
    </row>
    <row r="273" spans="4:22" ht="15" thickBot="1" x14ac:dyDescent="0.4">
      <c r="D273" s="19"/>
      <c r="E273" s="20"/>
      <c r="F273" s="21"/>
      <c r="G273" s="22"/>
      <c r="H273" s="21"/>
      <c r="I273" s="22"/>
      <c r="J273" s="23"/>
      <c r="K273" s="21"/>
      <c r="L273" s="24"/>
      <c r="M273" s="25"/>
      <c r="N273" s="26"/>
      <c r="O273" s="26"/>
      <c r="P273" s="22"/>
      <c r="Q273" s="21"/>
      <c r="R273" s="27"/>
      <c r="S273" s="28"/>
      <c r="T273" s="22"/>
      <c r="U273" s="34"/>
      <c r="V273" s="35"/>
    </row>
    <row r="274" spans="4:22" ht="15" thickBot="1" x14ac:dyDescent="0.4">
      <c r="D274" s="19"/>
      <c r="E274" s="20"/>
      <c r="F274" s="21"/>
      <c r="G274" s="22"/>
      <c r="H274" s="21"/>
      <c r="I274" s="22"/>
      <c r="J274" s="23"/>
      <c r="K274" s="21"/>
      <c r="L274" s="24"/>
      <c r="M274" s="25"/>
      <c r="N274" s="26"/>
      <c r="O274" s="26"/>
      <c r="P274" s="22"/>
      <c r="Q274" s="21"/>
      <c r="R274" s="27"/>
      <c r="S274" s="28"/>
      <c r="T274" s="22"/>
      <c r="U274" s="22"/>
      <c r="V274" s="35"/>
    </row>
    <row r="275" spans="4:22" ht="15" thickBot="1" x14ac:dyDescent="0.4">
      <c r="D275" s="19"/>
      <c r="E275" s="20"/>
      <c r="F275" s="21"/>
      <c r="G275" s="22"/>
      <c r="H275" s="21"/>
      <c r="I275" s="22"/>
      <c r="J275" s="23"/>
      <c r="K275" s="21"/>
      <c r="L275" s="24"/>
      <c r="M275" s="25"/>
      <c r="N275" s="26"/>
      <c r="O275" s="26"/>
      <c r="P275" s="22"/>
      <c r="Q275" s="21"/>
      <c r="R275" s="27"/>
      <c r="S275" s="28"/>
      <c r="T275" s="22"/>
      <c r="U275" s="22"/>
      <c r="V275" s="35"/>
    </row>
    <row r="276" spans="4:22" ht="15" thickBot="1" x14ac:dyDescent="0.4">
      <c r="D276" s="19"/>
      <c r="E276" s="20"/>
      <c r="F276" s="21"/>
      <c r="G276" s="22"/>
      <c r="H276" s="21"/>
      <c r="I276" s="22"/>
      <c r="J276" s="23"/>
      <c r="K276" s="21"/>
      <c r="L276" s="24"/>
      <c r="M276" s="25"/>
      <c r="N276" s="26"/>
      <c r="O276" s="26"/>
      <c r="P276" s="22"/>
      <c r="Q276" s="21"/>
      <c r="R276" s="27"/>
      <c r="S276" s="28"/>
      <c r="T276" s="22"/>
      <c r="U276" s="22"/>
      <c r="V276" s="35"/>
    </row>
    <row r="277" spans="4:22" ht="15" thickBot="1" x14ac:dyDescent="0.4">
      <c r="D277" s="19"/>
      <c r="E277" s="20"/>
      <c r="F277" s="21"/>
      <c r="G277" s="22"/>
      <c r="H277" s="21"/>
      <c r="I277" s="22"/>
      <c r="J277" s="23"/>
      <c r="K277" s="21"/>
      <c r="L277" s="24"/>
      <c r="M277" s="25"/>
      <c r="N277" s="26"/>
      <c r="O277" s="26"/>
      <c r="P277" s="22"/>
      <c r="Q277" s="21"/>
      <c r="R277" s="27"/>
      <c r="S277" s="28"/>
      <c r="T277" s="22"/>
      <c r="U277" s="22"/>
      <c r="V277" s="35"/>
    </row>
    <row r="278" spans="4:22" ht="15" thickBot="1" x14ac:dyDescent="0.4">
      <c r="D278" s="19"/>
      <c r="E278" s="20"/>
      <c r="F278" s="21"/>
      <c r="G278" s="22"/>
      <c r="H278" s="21"/>
      <c r="I278" s="22"/>
      <c r="J278" s="23"/>
      <c r="K278" s="21"/>
      <c r="L278" s="24"/>
      <c r="M278" s="25"/>
      <c r="N278" s="26"/>
      <c r="O278" s="26"/>
      <c r="P278" s="22"/>
      <c r="Q278" s="21"/>
      <c r="R278" s="27"/>
      <c r="S278" s="28"/>
      <c r="T278" s="22"/>
      <c r="U278" s="34"/>
      <c r="V278" s="35"/>
    </row>
    <row r="279" spans="4:22" ht="15" thickBot="1" x14ac:dyDescent="0.4">
      <c r="D279" s="19"/>
      <c r="E279" s="20"/>
      <c r="F279" s="21"/>
      <c r="G279" s="22"/>
      <c r="H279" s="21"/>
      <c r="I279" s="22"/>
      <c r="J279" s="23"/>
      <c r="K279" s="21"/>
      <c r="L279" s="24"/>
      <c r="M279" s="25"/>
      <c r="N279" s="26"/>
      <c r="O279" s="26"/>
      <c r="P279" s="22"/>
      <c r="Q279" s="21"/>
      <c r="R279" s="27"/>
      <c r="S279" s="28"/>
      <c r="T279" s="22"/>
      <c r="U279" s="22"/>
      <c r="V279" s="35"/>
    </row>
    <row r="280" spans="4:22" ht="15" thickBot="1" x14ac:dyDescent="0.4">
      <c r="D280" s="19"/>
      <c r="E280" s="20"/>
      <c r="F280" s="21"/>
      <c r="G280" s="22"/>
      <c r="H280" s="21"/>
      <c r="I280" s="22"/>
      <c r="J280" s="23"/>
      <c r="K280" s="21"/>
      <c r="L280" s="24"/>
      <c r="M280" s="25"/>
      <c r="N280" s="26"/>
      <c r="O280" s="26"/>
      <c r="P280" s="22"/>
      <c r="Q280" s="21"/>
      <c r="R280" s="27"/>
      <c r="S280" s="28"/>
      <c r="T280" s="22"/>
      <c r="U280" s="22"/>
      <c r="V280" s="35"/>
    </row>
    <row r="281" spans="4:22" ht="15" thickBot="1" x14ac:dyDescent="0.4">
      <c r="D281" s="19"/>
      <c r="E281" s="20"/>
      <c r="F281" s="21"/>
      <c r="G281" s="22"/>
      <c r="H281" s="21"/>
      <c r="I281" s="22"/>
      <c r="J281" s="23"/>
      <c r="K281" s="21"/>
      <c r="L281" s="24"/>
      <c r="M281" s="25"/>
      <c r="N281" s="26"/>
      <c r="O281" s="26"/>
      <c r="P281" s="22"/>
      <c r="Q281" s="21"/>
      <c r="R281" s="27"/>
      <c r="S281" s="28"/>
      <c r="T281" s="22"/>
      <c r="U281" s="22"/>
      <c r="V281" s="35"/>
    </row>
    <row r="282" spans="4:22" ht="15" thickBot="1" x14ac:dyDescent="0.4">
      <c r="D282" s="19"/>
      <c r="E282" s="20"/>
      <c r="F282" s="21"/>
      <c r="G282" s="22"/>
      <c r="H282" s="21"/>
      <c r="I282" s="22"/>
      <c r="J282" s="23"/>
      <c r="K282" s="21"/>
      <c r="L282" s="24"/>
      <c r="M282" s="25"/>
      <c r="N282" s="26"/>
      <c r="O282" s="26"/>
      <c r="P282" s="22"/>
      <c r="Q282" s="21"/>
      <c r="R282" s="27"/>
      <c r="S282" s="28"/>
      <c r="T282" s="22"/>
      <c r="U282" s="34"/>
      <c r="V282" s="35"/>
    </row>
    <row r="283" spans="4:22" ht="15" thickBot="1" x14ac:dyDescent="0.4">
      <c r="D283" s="19"/>
      <c r="E283" s="20"/>
      <c r="F283" s="21"/>
      <c r="G283" s="22"/>
      <c r="H283" s="21"/>
      <c r="I283" s="22"/>
      <c r="J283" s="23"/>
      <c r="K283" s="21"/>
      <c r="L283" s="24"/>
      <c r="M283" s="25"/>
      <c r="N283" s="26"/>
      <c r="O283" s="26"/>
      <c r="P283" s="22"/>
      <c r="Q283" s="21"/>
      <c r="R283" s="27"/>
      <c r="S283" s="28"/>
      <c r="T283" s="22"/>
      <c r="U283" s="22"/>
      <c r="V283" s="35"/>
    </row>
    <row r="284" spans="4:22" ht="15" thickBot="1" x14ac:dyDescent="0.4">
      <c r="D284" s="19"/>
      <c r="E284" s="20"/>
      <c r="F284" s="21"/>
      <c r="G284" s="22"/>
      <c r="H284" s="21"/>
      <c r="I284" s="22"/>
      <c r="J284" s="23"/>
      <c r="K284" s="21"/>
      <c r="L284" s="24"/>
      <c r="M284" s="25"/>
      <c r="N284" s="26"/>
      <c r="O284" s="26"/>
      <c r="P284" s="22"/>
      <c r="Q284" s="21"/>
      <c r="R284" s="27"/>
      <c r="S284" s="28"/>
      <c r="T284" s="22"/>
      <c r="U284" s="22"/>
      <c r="V284" s="35"/>
    </row>
    <row r="285" spans="4:22" ht="15" thickBot="1" x14ac:dyDescent="0.4">
      <c r="D285" s="19"/>
      <c r="E285" s="20"/>
      <c r="F285" s="21"/>
      <c r="G285" s="22"/>
      <c r="H285" s="21"/>
      <c r="I285" s="22"/>
      <c r="J285" s="23"/>
      <c r="K285" s="21"/>
      <c r="L285" s="24"/>
      <c r="M285" s="25"/>
      <c r="N285" s="26"/>
      <c r="O285" s="26"/>
      <c r="P285" s="22"/>
      <c r="Q285" s="21"/>
      <c r="R285" s="27"/>
      <c r="S285" s="28"/>
      <c r="T285" s="22"/>
      <c r="U285" s="22"/>
      <c r="V285" s="35"/>
    </row>
    <row r="286" spans="4:22" ht="15" thickBot="1" x14ac:dyDescent="0.4">
      <c r="D286" s="19"/>
      <c r="E286" s="20"/>
      <c r="F286" s="21"/>
      <c r="G286" s="22"/>
      <c r="H286" s="21"/>
      <c r="I286" s="22"/>
      <c r="J286" s="23"/>
      <c r="K286" s="21"/>
      <c r="L286" s="24"/>
      <c r="M286" s="25"/>
      <c r="N286" s="26"/>
      <c r="O286" s="26"/>
      <c r="P286" s="22"/>
      <c r="Q286" s="21"/>
      <c r="R286" s="27"/>
      <c r="S286" s="28"/>
      <c r="T286" s="22"/>
      <c r="U286" s="34"/>
      <c r="V286" s="35"/>
    </row>
    <row r="287" spans="4:22" ht="15" thickBot="1" x14ac:dyDescent="0.4">
      <c r="D287" s="19"/>
      <c r="E287" s="20"/>
      <c r="F287" s="21"/>
      <c r="G287" s="22"/>
      <c r="H287" s="21"/>
      <c r="I287" s="22"/>
      <c r="J287" s="23"/>
      <c r="K287" s="21"/>
      <c r="L287" s="24"/>
      <c r="M287" s="25"/>
      <c r="N287" s="26"/>
      <c r="O287" s="26"/>
      <c r="P287" s="22"/>
      <c r="Q287" s="21"/>
      <c r="R287" s="27"/>
      <c r="S287" s="28"/>
      <c r="T287" s="22"/>
      <c r="U287" s="22"/>
      <c r="V287" s="35"/>
    </row>
    <row r="288" spans="4:22" ht="15" thickBot="1" x14ac:dyDescent="0.4">
      <c r="D288" s="19"/>
      <c r="E288" s="20"/>
      <c r="F288" s="21"/>
      <c r="G288" s="22"/>
      <c r="H288" s="21"/>
      <c r="I288" s="22"/>
      <c r="J288" s="23"/>
      <c r="K288" s="21"/>
      <c r="L288" s="24"/>
      <c r="M288" s="25"/>
      <c r="N288" s="26"/>
      <c r="O288" s="26"/>
      <c r="P288" s="22"/>
      <c r="Q288" s="21"/>
      <c r="R288" s="27"/>
      <c r="S288" s="28"/>
      <c r="T288" s="22"/>
      <c r="U288" s="34"/>
      <c r="V288" s="35"/>
    </row>
    <row r="289" spans="4:22" ht="15" thickBot="1" x14ac:dyDescent="0.4">
      <c r="D289" s="19"/>
      <c r="E289" s="20"/>
      <c r="F289" s="21"/>
      <c r="G289" s="22"/>
      <c r="H289" s="21"/>
      <c r="I289" s="22"/>
      <c r="J289" s="23"/>
      <c r="K289" s="21"/>
      <c r="L289" s="24"/>
      <c r="M289" s="25"/>
      <c r="N289" s="26"/>
      <c r="O289" s="26"/>
      <c r="P289" s="22"/>
      <c r="Q289" s="21"/>
      <c r="R289" s="27"/>
      <c r="S289" s="28"/>
      <c r="T289" s="22"/>
      <c r="U289" s="34"/>
      <c r="V289" s="35"/>
    </row>
    <row r="290" spans="4:22" ht="15" thickBot="1" x14ac:dyDescent="0.4">
      <c r="D290" s="19"/>
      <c r="E290" s="20"/>
      <c r="F290" s="21"/>
      <c r="G290" s="22"/>
      <c r="H290" s="21"/>
      <c r="I290" s="22"/>
      <c r="J290" s="23"/>
      <c r="K290" s="21"/>
      <c r="L290" s="24"/>
      <c r="M290" s="25"/>
      <c r="N290" s="26"/>
      <c r="O290" s="26"/>
      <c r="P290" s="22"/>
      <c r="Q290" s="21"/>
      <c r="R290" s="27"/>
      <c r="S290" s="28"/>
      <c r="T290" s="22"/>
      <c r="U290" s="22"/>
      <c r="V290" s="35"/>
    </row>
    <row r="291" spans="4:22" ht="15" thickBot="1" x14ac:dyDescent="0.4">
      <c r="D291" s="19"/>
      <c r="E291" s="20"/>
      <c r="F291" s="21"/>
      <c r="G291" s="22"/>
      <c r="H291" s="21"/>
      <c r="I291" s="22"/>
      <c r="J291" s="23"/>
      <c r="K291" s="21"/>
      <c r="L291" s="24"/>
      <c r="M291" s="25"/>
      <c r="N291" s="26"/>
      <c r="O291" s="26"/>
      <c r="P291" s="22"/>
      <c r="Q291" s="21"/>
      <c r="R291" s="27"/>
      <c r="S291" s="28"/>
      <c r="T291" s="22"/>
      <c r="U291" s="31"/>
      <c r="V291" s="35"/>
    </row>
    <row r="292" spans="4:22" ht="15" thickBot="1" x14ac:dyDescent="0.4">
      <c r="D292" s="19"/>
      <c r="E292" s="20"/>
      <c r="F292" s="21"/>
      <c r="G292" s="22"/>
      <c r="H292" s="21"/>
      <c r="I292" s="22"/>
      <c r="J292" s="23"/>
      <c r="K292" s="21"/>
      <c r="L292" s="24"/>
      <c r="M292" s="25"/>
      <c r="N292" s="26"/>
      <c r="O292" s="26"/>
      <c r="P292" s="22"/>
      <c r="Q292" s="21"/>
      <c r="R292" s="27"/>
      <c r="S292" s="28"/>
      <c r="T292" s="22"/>
      <c r="U292" s="18"/>
      <c r="V292" s="35"/>
    </row>
    <row r="293" spans="4:22" ht="15" thickBot="1" x14ac:dyDescent="0.4">
      <c r="D293" s="19"/>
      <c r="E293" s="20"/>
      <c r="F293" s="21"/>
      <c r="G293" s="22"/>
      <c r="H293" s="21"/>
      <c r="I293" s="22"/>
      <c r="J293" s="23"/>
      <c r="K293" s="21"/>
      <c r="L293" s="24"/>
      <c r="M293" s="25"/>
      <c r="N293" s="26"/>
      <c r="O293" s="26"/>
      <c r="P293" s="22"/>
      <c r="Q293" s="21"/>
      <c r="R293" s="27"/>
      <c r="S293" s="28"/>
      <c r="T293" s="22"/>
      <c r="U293" s="37"/>
      <c r="V293" s="35"/>
    </row>
    <row r="294" spans="4:22" ht="15" thickBot="1" x14ac:dyDescent="0.4">
      <c r="D294" s="19"/>
      <c r="E294" s="20"/>
      <c r="F294" s="21"/>
      <c r="G294" s="22"/>
      <c r="H294" s="21"/>
      <c r="I294" s="22"/>
      <c r="J294" s="23"/>
      <c r="K294" s="21"/>
      <c r="L294" s="24"/>
      <c r="M294" s="25"/>
      <c r="N294" s="26"/>
      <c r="O294" s="26"/>
      <c r="P294" s="22"/>
      <c r="Q294" s="21"/>
      <c r="R294" s="27"/>
      <c r="S294" s="28"/>
      <c r="T294" s="22"/>
      <c r="U294" s="30"/>
      <c r="V294" s="35"/>
    </row>
    <row r="295" spans="4:22" ht="15" thickBot="1" x14ac:dyDescent="0.4">
      <c r="D295" s="19"/>
      <c r="E295" s="20"/>
      <c r="F295" s="21"/>
      <c r="G295" s="22"/>
      <c r="H295" s="21"/>
      <c r="I295" s="22"/>
      <c r="J295" s="23"/>
      <c r="K295" s="21"/>
      <c r="L295" s="24"/>
      <c r="M295" s="25"/>
      <c r="N295" s="26"/>
      <c r="O295" s="26"/>
      <c r="P295" s="22"/>
      <c r="Q295" s="21"/>
      <c r="R295" s="27"/>
      <c r="S295" s="28"/>
      <c r="T295" s="22"/>
      <c r="U295" s="30"/>
      <c r="V295" s="35"/>
    </row>
    <row r="296" spans="4:22" ht="15" thickBot="1" x14ac:dyDescent="0.4">
      <c r="D296" s="19"/>
      <c r="E296" s="20"/>
      <c r="F296" s="21"/>
      <c r="G296" s="22"/>
      <c r="H296" s="21"/>
      <c r="I296" s="22"/>
      <c r="J296" s="23"/>
      <c r="K296" s="21"/>
      <c r="L296" s="24"/>
      <c r="M296" s="25"/>
      <c r="N296" s="26"/>
      <c r="O296" s="26"/>
      <c r="P296" s="22"/>
      <c r="Q296" s="21"/>
      <c r="R296" s="27"/>
      <c r="S296" s="28"/>
      <c r="T296" s="22"/>
      <c r="U296" s="30"/>
      <c r="V296" s="35"/>
    </row>
    <row r="297" spans="4:22" ht="15" thickBot="1" x14ac:dyDescent="0.4">
      <c r="D297" s="19"/>
      <c r="E297" s="20"/>
      <c r="F297" s="21"/>
      <c r="G297" s="22"/>
      <c r="H297" s="21"/>
      <c r="I297" s="22"/>
      <c r="J297" s="23"/>
      <c r="K297" s="21"/>
      <c r="L297" s="24"/>
      <c r="M297" s="25"/>
      <c r="N297" s="26"/>
      <c r="O297" s="26"/>
      <c r="P297" s="22"/>
      <c r="Q297" s="21"/>
      <c r="R297" s="27"/>
      <c r="S297" s="28"/>
      <c r="T297" s="22"/>
      <c r="U297" s="31"/>
      <c r="V297" s="35"/>
    </row>
    <row r="298" spans="4:22" ht="15" thickBot="1" x14ac:dyDescent="0.4">
      <c r="D298" s="19"/>
      <c r="E298" s="20"/>
      <c r="F298" s="21"/>
      <c r="G298" s="22"/>
      <c r="H298" s="21"/>
      <c r="I298" s="22"/>
      <c r="J298" s="23"/>
      <c r="K298" s="21"/>
      <c r="L298" s="24"/>
      <c r="M298" s="25"/>
      <c r="N298" s="26"/>
      <c r="O298" s="26"/>
      <c r="P298" s="22"/>
      <c r="Q298" s="21"/>
      <c r="R298" s="27"/>
      <c r="S298" s="28"/>
      <c r="T298" s="22"/>
      <c r="U298" s="30"/>
      <c r="V298" s="35"/>
    </row>
    <row r="299" spans="4:22" ht="15" thickBot="1" x14ac:dyDescent="0.4">
      <c r="D299" s="19"/>
      <c r="E299" s="20"/>
      <c r="F299" s="21"/>
      <c r="G299" s="22"/>
      <c r="H299" s="21"/>
      <c r="I299" s="22"/>
      <c r="J299" s="23"/>
      <c r="K299" s="21"/>
      <c r="L299" s="24"/>
      <c r="M299" s="25"/>
      <c r="N299" s="26"/>
      <c r="O299" s="26"/>
      <c r="P299" s="22"/>
      <c r="Q299" s="21"/>
      <c r="R299" s="27"/>
      <c r="S299" s="28"/>
      <c r="T299" s="22"/>
      <c r="U299" s="30"/>
      <c r="V299" s="35"/>
    </row>
    <row r="300" spans="4:22" ht="15" thickBot="1" x14ac:dyDescent="0.4">
      <c r="D300" s="19"/>
      <c r="E300" s="20"/>
      <c r="F300" s="21"/>
      <c r="G300" s="22"/>
      <c r="H300" s="21"/>
      <c r="I300" s="22"/>
      <c r="J300" s="23"/>
      <c r="K300" s="21"/>
      <c r="L300" s="24"/>
      <c r="M300" s="25"/>
      <c r="N300" s="26"/>
      <c r="O300" s="26"/>
      <c r="P300" s="22"/>
      <c r="Q300" s="21"/>
      <c r="R300" s="27"/>
      <c r="S300" s="28"/>
      <c r="T300" s="22"/>
      <c r="U300" s="31"/>
      <c r="V300" s="35"/>
    </row>
    <row r="301" spans="4:22" ht="15" thickBot="1" x14ac:dyDescent="0.4">
      <c r="D301" s="19"/>
      <c r="E301" s="20"/>
      <c r="F301" s="21"/>
      <c r="G301" s="22"/>
      <c r="H301" s="21"/>
      <c r="I301" s="22"/>
      <c r="J301" s="23"/>
      <c r="K301" s="21"/>
      <c r="L301" s="24"/>
      <c r="M301" s="25"/>
      <c r="N301" s="26"/>
      <c r="O301" s="26"/>
      <c r="P301" s="22"/>
      <c r="Q301" s="21"/>
      <c r="R301" s="27"/>
      <c r="S301" s="28"/>
      <c r="T301" s="22"/>
      <c r="U301" s="30"/>
      <c r="V301" s="35"/>
    </row>
    <row r="302" spans="4:22" ht="15" thickBot="1" x14ac:dyDescent="0.4">
      <c r="D302" s="19"/>
      <c r="E302" s="20"/>
      <c r="F302" s="21"/>
      <c r="G302" s="22"/>
      <c r="H302" s="21"/>
      <c r="I302" s="22"/>
      <c r="J302" s="23"/>
      <c r="K302" s="21"/>
      <c r="L302" s="24"/>
      <c r="M302" s="25"/>
      <c r="N302" s="26"/>
      <c r="O302" s="26"/>
      <c r="P302" s="22"/>
      <c r="Q302" s="21"/>
      <c r="R302" s="27"/>
      <c r="S302" s="28"/>
      <c r="T302" s="22"/>
      <c r="U302" s="30"/>
      <c r="V302" s="35"/>
    </row>
    <row r="303" spans="4:22" ht="15" thickBot="1" x14ac:dyDescent="0.4">
      <c r="D303" s="19"/>
      <c r="E303" s="20"/>
      <c r="F303" s="21"/>
      <c r="G303" s="22"/>
      <c r="H303" s="21"/>
      <c r="I303" s="22"/>
      <c r="J303" s="23"/>
      <c r="K303" s="21"/>
      <c r="L303" s="24"/>
      <c r="M303" s="25"/>
      <c r="N303" s="26"/>
      <c r="O303" s="26"/>
      <c r="P303" s="22"/>
      <c r="Q303" s="21"/>
      <c r="R303" s="27"/>
      <c r="S303" s="28"/>
      <c r="T303" s="22"/>
      <c r="U303" s="30"/>
      <c r="V303" s="35"/>
    </row>
    <row r="304" spans="4:22" ht="15" thickBot="1" x14ac:dyDescent="0.4">
      <c r="D304" s="19"/>
      <c r="E304" s="20"/>
      <c r="F304" s="21"/>
      <c r="G304" s="22"/>
      <c r="H304" s="21"/>
      <c r="I304" s="22"/>
      <c r="J304" s="23"/>
      <c r="K304" s="21"/>
      <c r="L304" s="24"/>
      <c r="M304" s="25"/>
      <c r="N304" s="26"/>
      <c r="O304" s="26"/>
      <c r="P304" s="22"/>
      <c r="Q304" s="21"/>
      <c r="R304" s="27"/>
      <c r="S304" s="28"/>
      <c r="T304" s="22"/>
      <c r="U304" s="30"/>
      <c r="V304" s="35"/>
    </row>
    <row r="305" spans="4:22" ht="15" thickBot="1" x14ac:dyDescent="0.4">
      <c r="D305" s="19"/>
      <c r="E305" s="20"/>
      <c r="F305" s="21"/>
      <c r="G305" s="22"/>
      <c r="H305" s="21"/>
      <c r="I305" s="22"/>
      <c r="J305" s="23"/>
      <c r="K305" s="21"/>
      <c r="L305" s="24"/>
      <c r="M305" s="25"/>
      <c r="N305" s="26"/>
      <c r="O305" s="26"/>
      <c r="P305" s="22"/>
      <c r="Q305" s="21"/>
      <c r="R305" s="27"/>
      <c r="S305" s="28"/>
      <c r="T305" s="22"/>
      <c r="U305" s="30"/>
      <c r="V305" s="35"/>
    </row>
    <row r="306" spans="4:22" ht="15" thickBot="1" x14ac:dyDescent="0.4">
      <c r="D306" s="19"/>
      <c r="E306" s="20"/>
      <c r="F306" s="21"/>
      <c r="G306" s="22"/>
      <c r="H306" s="21"/>
      <c r="I306" s="22"/>
      <c r="J306" s="23"/>
      <c r="K306" s="21"/>
      <c r="L306" s="24"/>
      <c r="M306" s="25"/>
      <c r="N306" s="26"/>
      <c r="O306" s="26"/>
      <c r="P306" s="22"/>
      <c r="Q306" s="21"/>
      <c r="R306" s="27"/>
      <c r="S306" s="28"/>
      <c r="T306" s="22"/>
      <c r="U306" s="31"/>
      <c r="V306" s="35"/>
    </row>
    <row r="307" spans="4:22" ht="15" thickBot="1" x14ac:dyDescent="0.4">
      <c r="D307" s="19"/>
      <c r="E307" s="20"/>
      <c r="F307" s="21"/>
      <c r="G307" s="22"/>
      <c r="H307" s="21"/>
      <c r="I307" s="22"/>
      <c r="J307" s="23"/>
      <c r="K307" s="21"/>
      <c r="L307" s="24"/>
      <c r="M307" s="25"/>
      <c r="N307" s="26"/>
      <c r="O307" s="26"/>
      <c r="P307" s="22"/>
      <c r="Q307" s="21"/>
      <c r="R307" s="27"/>
      <c r="S307" s="28"/>
      <c r="T307" s="22"/>
      <c r="U307" s="30"/>
      <c r="V307" s="35"/>
    </row>
    <row r="308" spans="4:22" ht="15" thickBot="1" x14ac:dyDescent="0.4">
      <c r="D308" s="19"/>
      <c r="E308" s="20"/>
      <c r="F308" s="21"/>
      <c r="G308" s="22"/>
      <c r="H308" s="21"/>
      <c r="I308" s="22"/>
      <c r="J308" s="23"/>
      <c r="K308" s="21"/>
      <c r="L308" s="24"/>
      <c r="M308" s="25"/>
      <c r="N308" s="26"/>
      <c r="O308" s="26"/>
      <c r="P308" s="22"/>
      <c r="Q308" s="21"/>
      <c r="R308" s="27"/>
      <c r="S308" s="28"/>
      <c r="T308" s="22"/>
      <c r="U308" s="30"/>
      <c r="V308" s="35"/>
    </row>
    <row r="309" spans="4:22" ht="15" thickBot="1" x14ac:dyDescent="0.4">
      <c r="D309" s="19"/>
      <c r="E309" s="20"/>
      <c r="F309" s="21"/>
      <c r="G309" s="22"/>
      <c r="H309" s="21"/>
      <c r="I309" s="22"/>
      <c r="J309" s="23"/>
      <c r="K309" s="21"/>
      <c r="L309" s="24"/>
      <c r="M309" s="25"/>
      <c r="N309" s="26"/>
      <c r="O309" s="26"/>
      <c r="P309" s="22"/>
      <c r="Q309" s="21"/>
      <c r="R309" s="27"/>
      <c r="S309" s="28"/>
      <c r="T309" s="22"/>
      <c r="U309" s="31"/>
      <c r="V309" s="35"/>
    </row>
    <row r="310" spans="4:22" ht="15" thickBot="1" x14ac:dyDescent="0.4">
      <c r="D310" s="19"/>
      <c r="E310" s="20"/>
      <c r="F310" s="21"/>
      <c r="G310" s="22"/>
      <c r="H310" s="21"/>
      <c r="I310" s="22"/>
      <c r="J310" s="23"/>
      <c r="K310" s="21"/>
      <c r="L310" s="24"/>
      <c r="M310" s="25"/>
      <c r="N310" s="26"/>
      <c r="O310" s="26"/>
      <c r="P310" s="22"/>
      <c r="Q310" s="21"/>
      <c r="R310" s="27"/>
      <c r="S310" s="28"/>
      <c r="T310" s="22"/>
      <c r="U310" s="30"/>
      <c r="V310" s="35"/>
    </row>
    <row r="311" spans="4:22" ht="15" thickBot="1" x14ac:dyDescent="0.4">
      <c r="D311" s="19"/>
      <c r="E311" s="20"/>
      <c r="F311" s="21"/>
      <c r="G311" s="22"/>
      <c r="H311" s="21"/>
      <c r="I311" s="22"/>
      <c r="J311" s="23"/>
      <c r="K311" s="21"/>
      <c r="L311" s="24"/>
      <c r="M311" s="25"/>
      <c r="N311" s="26"/>
      <c r="O311" s="26"/>
      <c r="P311" s="22"/>
      <c r="Q311" s="21"/>
      <c r="R311" s="27"/>
      <c r="S311" s="28"/>
      <c r="T311" s="22"/>
      <c r="U311" s="30"/>
      <c r="V311" s="35"/>
    </row>
    <row r="312" spans="4:22" ht="15" thickBot="1" x14ac:dyDescent="0.4">
      <c r="D312" s="19"/>
      <c r="E312" s="20"/>
      <c r="F312" s="21"/>
      <c r="G312" s="22"/>
      <c r="H312" s="21"/>
      <c r="I312" s="22"/>
      <c r="J312" s="23"/>
      <c r="K312" s="21"/>
      <c r="L312" s="24"/>
      <c r="M312" s="25"/>
      <c r="N312" s="26"/>
      <c r="O312" s="26"/>
      <c r="P312" s="22"/>
      <c r="Q312" s="21"/>
      <c r="R312" s="27"/>
      <c r="S312" s="28"/>
      <c r="T312" s="22"/>
      <c r="U312" s="30"/>
      <c r="V312" s="35"/>
    </row>
    <row r="313" spans="4:22" ht="15" thickBot="1" x14ac:dyDescent="0.4">
      <c r="D313" s="19"/>
      <c r="E313" s="20"/>
      <c r="F313" s="21"/>
      <c r="G313" s="22"/>
      <c r="H313" s="21"/>
      <c r="I313" s="22"/>
      <c r="J313" s="23"/>
      <c r="K313" s="21"/>
      <c r="L313" s="24"/>
      <c r="M313" s="25"/>
      <c r="N313" s="26"/>
      <c r="O313" s="26"/>
      <c r="P313" s="22"/>
      <c r="Q313" s="21"/>
      <c r="R313" s="27"/>
      <c r="S313" s="28"/>
      <c r="T313" s="22"/>
      <c r="U313" s="30"/>
      <c r="V313" s="35"/>
    </row>
    <row r="314" spans="4:22" ht="15" thickBot="1" x14ac:dyDescent="0.4">
      <c r="D314" s="19"/>
      <c r="E314" s="20"/>
      <c r="F314" s="21"/>
      <c r="G314" s="22"/>
      <c r="H314" s="21"/>
      <c r="I314" s="22"/>
      <c r="J314" s="23"/>
      <c r="K314" s="21"/>
      <c r="L314" s="24"/>
      <c r="M314" s="25"/>
      <c r="N314" s="26"/>
      <c r="O314" s="26"/>
      <c r="P314" s="22"/>
      <c r="Q314" s="21"/>
      <c r="R314" s="27"/>
      <c r="S314" s="28"/>
      <c r="T314" s="22"/>
      <c r="U314" s="31"/>
      <c r="V314" s="35"/>
    </row>
    <row r="315" spans="4:22" ht="15" thickBot="1" x14ac:dyDescent="0.4">
      <c r="D315" s="19"/>
      <c r="E315" s="20"/>
      <c r="F315" s="21"/>
      <c r="G315" s="22"/>
      <c r="H315" s="21"/>
      <c r="I315" s="22"/>
      <c r="J315" s="23"/>
      <c r="K315" s="21"/>
      <c r="L315" s="24"/>
      <c r="M315" s="25"/>
      <c r="N315" s="26"/>
      <c r="O315" s="26"/>
      <c r="P315" s="22"/>
      <c r="Q315" s="21"/>
      <c r="R315" s="27"/>
      <c r="S315" s="28"/>
      <c r="T315" s="22"/>
      <c r="U315" s="30"/>
      <c r="V315" s="35"/>
    </row>
    <row r="316" spans="4:22" ht="15" thickBot="1" x14ac:dyDescent="0.4">
      <c r="D316" s="19"/>
      <c r="E316" s="20"/>
      <c r="F316" s="21"/>
      <c r="G316" s="22"/>
      <c r="H316" s="21"/>
      <c r="I316" s="22"/>
      <c r="J316" s="23"/>
      <c r="K316" s="21"/>
      <c r="L316" s="24"/>
      <c r="M316" s="25"/>
      <c r="N316" s="26"/>
      <c r="O316" s="26"/>
      <c r="P316" s="22"/>
      <c r="Q316" s="21"/>
      <c r="R316" s="27"/>
      <c r="S316" s="28"/>
      <c r="T316" s="22"/>
      <c r="U316" s="22"/>
      <c r="V316" s="35"/>
    </row>
    <row r="317" spans="4:22" ht="15" thickBot="1" x14ac:dyDescent="0.4">
      <c r="D317" s="19"/>
      <c r="E317" s="20"/>
      <c r="F317" s="21"/>
      <c r="G317" s="22"/>
      <c r="H317" s="21"/>
      <c r="I317" s="22"/>
      <c r="J317" s="23"/>
      <c r="K317" s="21"/>
      <c r="L317" s="24"/>
      <c r="M317" s="25"/>
      <c r="N317" s="26"/>
      <c r="O317" s="26"/>
      <c r="P317" s="22"/>
      <c r="Q317" s="21"/>
      <c r="R317" s="27"/>
      <c r="S317" s="28"/>
      <c r="T317" s="22"/>
      <c r="U317" s="34"/>
      <c r="V317" s="35"/>
    </row>
    <row r="318" spans="4:22" ht="15" thickBot="1" x14ac:dyDescent="0.4">
      <c r="D318" s="19"/>
      <c r="E318" s="20"/>
      <c r="F318" s="21"/>
      <c r="G318" s="22"/>
      <c r="H318" s="21"/>
      <c r="I318" s="22"/>
      <c r="J318" s="23"/>
      <c r="K318" s="21"/>
      <c r="L318" s="24"/>
      <c r="M318" s="25"/>
      <c r="N318" s="26"/>
      <c r="O318" s="26"/>
      <c r="P318" s="22"/>
      <c r="Q318" s="21"/>
      <c r="R318" s="27"/>
      <c r="S318" s="28"/>
      <c r="T318" s="22"/>
      <c r="U318" s="22"/>
      <c r="V318" s="35"/>
    </row>
    <row r="319" spans="4:22" ht="15" thickBot="1" x14ac:dyDescent="0.4">
      <c r="D319" s="19"/>
      <c r="E319" s="20"/>
      <c r="F319" s="21"/>
      <c r="G319" s="22"/>
      <c r="H319" s="21"/>
      <c r="I319" s="22"/>
      <c r="J319" s="23"/>
      <c r="K319" s="21"/>
      <c r="L319" s="24"/>
      <c r="M319" s="25"/>
      <c r="N319" s="26"/>
      <c r="O319" s="26"/>
      <c r="P319" s="22"/>
      <c r="Q319" s="21"/>
      <c r="R319" s="27"/>
      <c r="S319" s="28"/>
      <c r="T319" s="22"/>
    </row>
    <row r="320" spans="4:22" ht="15" thickBot="1" x14ac:dyDescent="0.4">
      <c r="D320" s="19"/>
      <c r="E320" s="20"/>
      <c r="F320" s="21"/>
      <c r="G320" s="22"/>
      <c r="H320" s="21"/>
      <c r="I320" s="22"/>
      <c r="J320" s="23"/>
      <c r="K320" s="21"/>
      <c r="L320" s="24"/>
      <c r="M320" s="25"/>
      <c r="N320" s="26"/>
      <c r="O320" s="26"/>
      <c r="P320" s="22"/>
      <c r="Q320" s="21"/>
      <c r="R320" s="27"/>
      <c r="S320" s="28"/>
      <c r="T320" s="22"/>
    </row>
    <row r="321" spans="4:20" ht="15" thickBot="1" x14ac:dyDescent="0.4">
      <c r="D321" s="19"/>
      <c r="E321" s="20"/>
      <c r="F321" s="21"/>
      <c r="G321" s="22"/>
      <c r="H321" s="21"/>
      <c r="I321" s="22"/>
      <c r="J321" s="23"/>
      <c r="K321" s="21"/>
      <c r="L321" s="24"/>
      <c r="M321" s="25"/>
      <c r="N321" s="26"/>
      <c r="O321" s="26"/>
      <c r="P321" s="22"/>
      <c r="Q321" s="21"/>
      <c r="R321" s="27"/>
      <c r="S321" s="28"/>
      <c r="T321" s="22"/>
    </row>
    <row r="322" spans="4:20" ht="15" thickBot="1" x14ac:dyDescent="0.4">
      <c r="D322" s="19"/>
      <c r="E322" s="20"/>
      <c r="F322" s="21"/>
      <c r="G322" s="22"/>
      <c r="H322" s="21"/>
      <c r="I322" s="22"/>
      <c r="J322" s="23"/>
      <c r="K322" s="21"/>
      <c r="L322" s="24"/>
      <c r="M322" s="25"/>
      <c r="N322" s="26"/>
      <c r="O322" s="26"/>
      <c r="P322" s="22"/>
      <c r="Q322" s="21"/>
      <c r="R322" s="27"/>
      <c r="S322" s="28"/>
      <c r="T322" s="22"/>
    </row>
    <row r="323" spans="4:20" ht="15" thickBot="1" x14ac:dyDescent="0.4">
      <c r="D323" s="19"/>
      <c r="E323" s="20"/>
      <c r="F323" s="21"/>
      <c r="G323" s="22"/>
      <c r="H323" s="21"/>
      <c r="I323" s="22"/>
      <c r="J323" s="23"/>
      <c r="K323" s="21"/>
      <c r="L323" s="24"/>
      <c r="M323" s="25"/>
      <c r="N323" s="26"/>
      <c r="O323" s="26"/>
      <c r="P323" s="22"/>
      <c r="Q323" s="21"/>
      <c r="R323" s="27"/>
      <c r="S323" s="28"/>
      <c r="T323" s="22"/>
    </row>
    <row r="324" spans="4:20" ht="15" thickBot="1" x14ac:dyDescent="0.4">
      <c r="D324" s="19"/>
      <c r="E324" s="20"/>
      <c r="F324" s="21"/>
      <c r="G324" s="22"/>
      <c r="H324" s="21"/>
      <c r="I324" s="22"/>
      <c r="J324" s="23"/>
      <c r="K324" s="21"/>
      <c r="L324" s="24"/>
      <c r="M324" s="25"/>
      <c r="N324" s="26"/>
      <c r="O324" s="26"/>
      <c r="P324" s="22"/>
      <c r="Q324" s="21"/>
      <c r="R324" s="27"/>
      <c r="S324" s="28"/>
      <c r="T324" s="22"/>
    </row>
    <row r="325" spans="4:20" ht="15" thickBot="1" x14ac:dyDescent="0.4">
      <c r="D325" s="19"/>
      <c r="E325" s="20"/>
      <c r="F325" s="21"/>
      <c r="G325" s="22"/>
      <c r="H325" s="21"/>
      <c r="I325" s="22"/>
      <c r="J325" s="23"/>
      <c r="K325" s="21"/>
      <c r="L325" s="24"/>
      <c r="M325" s="25"/>
      <c r="N325" s="26"/>
      <c r="O325" s="26"/>
      <c r="P325" s="22"/>
      <c r="Q325" s="21"/>
      <c r="R325" s="27"/>
      <c r="S325" s="28"/>
      <c r="T325" s="22"/>
    </row>
    <row r="326" spans="4:20" ht="15" thickBot="1" x14ac:dyDescent="0.4">
      <c r="D326" s="19"/>
      <c r="E326" s="20"/>
      <c r="F326" s="21"/>
      <c r="G326" s="22"/>
      <c r="H326" s="21"/>
      <c r="I326" s="22"/>
      <c r="J326" s="23"/>
      <c r="K326" s="21"/>
      <c r="L326" s="24"/>
      <c r="M326" s="25"/>
      <c r="N326" s="26"/>
      <c r="O326" s="26"/>
      <c r="P326" s="22"/>
      <c r="Q326" s="21"/>
      <c r="R326" s="27"/>
      <c r="S326" s="28"/>
      <c r="T326" s="22"/>
    </row>
    <row r="327" spans="4:20" ht="15" thickBot="1" x14ac:dyDescent="0.4">
      <c r="D327" s="19"/>
      <c r="E327" s="20"/>
      <c r="F327" s="21"/>
      <c r="G327" s="22"/>
      <c r="H327" s="21"/>
      <c r="I327" s="22"/>
      <c r="J327" s="23"/>
      <c r="K327" s="21"/>
      <c r="L327" s="24"/>
      <c r="M327" s="25"/>
      <c r="N327" s="26"/>
      <c r="O327" s="26"/>
      <c r="P327" s="22"/>
      <c r="Q327" s="21"/>
      <c r="R327" s="27"/>
      <c r="S327" s="28"/>
      <c r="T327" s="22"/>
    </row>
    <row r="328" spans="4:20" ht="15" thickBot="1" x14ac:dyDescent="0.4">
      <c r="D328" s="19"/>
      <c r="E328" s="20"/>
      <c r="F328" s="21"/>
      <c r="G328" s="22"/>
      <c r="H328" s="21"/>
      <c r="I328" s="22"/>
      <c r="J328" s="23"/>
      <c r="K328" s="21"/>
      <c r="L328" s="24"/>
      <c r="M328" s="25"/>
      <c r="N328" s="26"/>
      <c r="O328" s="26"/>
      <c r="P328" s="22"/>
      <c r="Q328" s="21"/>
      <c r="R328" s="27"/>
      <c r="S328" s="28"/>
      <c r="T328" s="22"/>
    </row>
    <row r="329" spans="4:20" ht="15" thickBot="1" x14ac:dyDescent="0.4">
      <c r="D329" s="19"/>
      <c r="E329" s="20"/>
      <c r="F329" s="21"/>
      <c r="G329" s="22"/>
      <c r="H329" s="21"/>
      <c r="I329" s="22"/>
      <c r="J329" s="23"/>
      <c r="K329" s="21"/>
      <c r="L329" s="24"/>
      <c r="M329" s="25"/>
      <c r="N329" s="26"/>
      <c r="O329" s="26"/>
      <c r="P329" s="22"/>
      <c r="Q329" s="21"/>
      <c r="R329" s="27"/>
      <c r="S329" s="28"/>
      <c r="T329" s="22"/>
    </row>
    <row r="330" spans="4:20" ht="15" thickBot="1" x14ac:dyDescent="0.4">
      <c r="D330" s="19"/>
      <c r="E330" s="20"/>
      <c r="F330" s="21"/>
      <c r="G330" s="22"/>
      <c r="H330" s="21"/>
      <c r="I330" s="22"/>
      <c r="J330" s="23"/>
      <c r="K330" s="21"/>
      <c r="L330" s="24"/>
      <c r="M330" s="25"/>
      <c r="N330" s="26"/>
      <c r="O330" s="26"/>
      <c r="P330" s="22"/>
      <c r="Q330" s="21"/>
      <c r="R330" s="27"/>
      <c r="S330" s="28"/>
      <c r="T330" s="22"/>
    </row>
    <row r="331" spans="4:20" ht="15" thickBot="1" x14ac:dyDescent="0.4">
      <c r="D331" s="19"/>
      <c r="E331" s="20"/>
      <c r="F331" s="21"/>
      <c r="G331" s="22"/>
      <c r="H331" s="21"/>
      <c r="I331" s="22"/>
      <c r="J331" s="23"/>
      <c r="K331" s="21"/>
      <c r="L331" s="24"/>
      <c r="M331" s="25"/>
      <c r="N331" s="26"/>
      <c r="O331" s="26"/>
      <c r="P331" s="22"/>
      <c r="Q331" s="21"/>
      <c r="R331" s="27"/>
      <c r="S331" s="28"/>
      <c r="T331" s="22"/>
    </row>
    <row r="332" spans="4:20" ht="15" thickBot="1" x14ac:dyDescent="0.4">
      <c r="D332" s="19"/>
      <c r="E332" s="20"/>
      <c r="F332" s="21"/>
      <c r="G332" s="22"/>
      <c r="H332" s="21"/>
      <c r="I332" s="22"/>
      <c r="J332" s="23"/>
      <c r="K332" s="21"/>
      <c r="L332" s="24"/>
      <c r="M332" s="25"/>
      <c r="N332" s="26"/>
      <c r="O332" s="26"/>
      <c r="P332" s="22"/>
      <c r="Q332" s="21"/>
      <c r="R332" s="27"/>
      <c r="S332" s="28"/>
      <c r="T332" s="22"/>
    </row>
    <row r="333" spans="4:20" ht="15" thickBot="1" x14ac:dyDescent="0.4">
      <c r="D333" s="19"/>
      <c r="E333" s="20"/>
      <c r="F333" s="21"/>
      <c r="G333" s="22"/>
      <c r="H333" s="21"/>
      <c r="I333" s="22"/>
      <c r="J333" s="23"/>
      <c r="K333" s="21"/>
      <c r="L333" s="24"/>
      <c r="M333" s="25"/>
      <c r="N333" s="26"/>
      <c r="O333" s="26"/>
      <c r="P333" s="22"/>
      <c r="Q333" s="21"/>
      <c r="R333" s="27"/>
      <c r="S333" s="28"/>
      <c r="T333" s="22"/>
    </row>
    <row r="334" spans="4:20" ht="15" thickBot="1" x14ac:dyDescent="0.4">
      <c r="D334" s="19"/>
      <c r="E334" s="20"/>
      <c r="F334" s="21"/>
      <c r="G334" s="22"/>
      <c r="H334" s="21"/>
      <c r="I334" s="22"/>
      <c r="J334" s="23"/>
      <c r="K334" s="21"/>
      <c r="L334" s="24"/>
      <c r="M334" s="25"/>
      <c r="N334" s="26"/>
      <c r="O334" s="26"/>
      <c r="P334" s="22"/>
      <c r="Q334" s="21"/>
      <c r="R334" s="27"/>
      <c r="S334" s="28"/>
      <c r="T334" s="22"/>
    </row>
    <row r="335" spans="4:20" ht="15" thickBot="1" x14ac:dyDescent="0.4">
      <c r="D335" s="19"/>
      <c r="E335" s="20"/>
      <c r="F335" s="21"/>
      <c r="G335" s="22"/>
      <c r="H335" s="21"/>
      <c r="I335" s="22"/>
      <c r="J335" s="23"/>
      <c r="K335" s="21"/>
      <c r="L335" s="24"/>
      <c r="M335" s="25"/>
      <c r="N335" s="26"/>
      <c r="O335" s="26"/>
      <c r="P335" s="22"/>
      <c r="Q335" s="21"/>
      <c r="R335" s="27"/>
      <c r="S335" s="28"/>
      <c r="T335" s="22"/>
    </row>
    <row r="336" spans="4:20" ht="15" thickBot="1" x14ac:dyDescent="0.4">
      <c r="D336" s="19"/>
      <c r="E336" s="20"/>
      <c r="F336" s="21"/>
      <c r="G336" s="22"/>
      <c r="H336" s="21"/>
      <c r="I336" s="22"/>
      <c r="J336" s="23"/>
      <c r="K336" s="21"/>
      <c r="L336" s="24"/>
      <c r="M336" s="25"/>
      <c r="N336" s="26"/>
      <c r="O336" s="26"/>
      <c r="P336" s="22"/>
      <c r="Q336" s="21"/>
      <c r="R336" s="27"/>
      <c r="S336" s="28"/>
      <c r="T336" s="22"/>
    </row>
    <row r="337" spans="4:20" ht="15" thickBot="1" x14ac:dyDescent="0.4">
      <c r="D337" s="19"/>
      <c r="E337" s="20"/>
      <c r="F337" s="21"/>
      <c r="G337" s="22"/>
      <c r="H337" s="21"/>
      <c r="I337" s="22"/>
      <c r="J337" s="23"/>
      <c r="K337" s="21"/>
      <c r="L337" s="24"/>
      <c r="M337" s="25"/>
      <c r="N337" s="26"/>
      <c r="O337" s="26"/>
      <c r="P337" s="22"/>
      <c r="Q337" s="21"/>
      <c r="R337" s="27"/>
      <c r="S337" s="28"/>
      <c r="T337" s="22"/>
    </row>
    <row r="338" spans="4:20" ht="15" thickBot="1" x14ac:dyDescent="0.4">
      <c r="D338" s="19"/>
      <c r="E338" s="20"/>
      <c r="F338" s="21"/>
      <c r="G338" s="22"/>
      <c r="H338" s="21"/>
      <c r="I338" s="22"/>
      <c r="J338" s="23"/>
      <c r="K338" s="21"/>
      <c r="L338" s="24"/>
      <c r="M338" s="25"/>
      <c r="N338" s="26"/>
      <c r="O338" s="26"/>
      <c r="P338" s="22"/>
      <c r="Q338" s="21"/>
      <c r="R338" s="27"/>
      <c r="S338" s="28"/>
      <c r="T338" s="22"/>
    </row>
    <row r="339" spans="4:20" ht="15" thickBot="1" x14ac:dyDescent="0.4">
      <c r="D339" s="19"/>
      <c r="E339" s="20"/>
      <c r="F339" s="21"/>
      <c r="G339" s="22"/>
      <c r="H339" s="21"/>
      <c r="I339" s="22"/>
      <c r="J339" s="23"/>
      <c r="K339" s="21"/>
      <c r="L339" s="24"/>
      <c r="M339" s="25"/>
      <c r="N339" s="26"/>
      <c r="O339" s="26"/>
      <c r="P339" s="22"/>
      <c r="Q339" s="21"/>
      <c r="R339" s="27"/>
      <c r="S339" s="28"/>
      <c r="T339" s="22"/>
    </row>
    <row r="340" spans="4:20" ht="15" thickBot="1" x14ac:dyDescent="0.4">
      <c r="D340" s="19"/>
      <c r="E340" s="20"/>
      <c r="F340" s="21"/>
      <c r="G340" s="22"/>
      <c r="H340" s="21"/>
      <c r="I340" s="22"/>
      <c r="J340" s="23"/>
      <c r="K340" s="21"/>
      <c r="L340" s="24"/>
      <c r="M340" s="25"/>
      <c r="N340" s="26"/>
      <c r="O340" s="26"/>
      <c r="P340" s="22"/>
      <c r="Q340" s="21"/>
      <c r="R340" s="27"/>
      <c r="S340" s="28"/>
      <c r="T340" s="22"/>
    </row>
    <row r="341" spans="4:20" ht="15" thickBot="1" x14ac:dyDescent="0.4">
      <c r="D341" s="19"/>
      <c r="E341" s="20"/>
      <c r="F341" s="21"/>
      <c r="G341" s="22"/>
      <c r="H341" s="21"/>
      <c r="I341" s="22"/>
      <c r="J341" s="23"/>
      <c r="K341" s="21"/>
      <c r="L341" s="24"/>
      <c r="M341" s="25"/>
      <c r="N341" s="26"/>
      <c r="O341" s="26"/>
      <c r="P341" s="22"/>
      <c r="Q341" s="21"/>
      <c r="R341" s="27"/>
      <c r="S341" s="28"/>
      <c r="T341" s="22"/>
    </row>
    <row r="342" spans="4:20" ht="15" thickBot="1" x14ac:dyDescent="0.4">
      <c r="D342" s="19"/>
      <c r="E342" s="20"/>
      <c r="F342" s="21"/>
      <c r="G342" s="22"/>
      <c r="H342" s="21"/>
      <c r="I342" s="22"/>
      <c r="J342" s="23"/>
      <c r="K342" s="21"/>
      <c r="L342" s="24"/>
      <c r="M342" s="25"/>
      <c r="N342" s="26"/>
      <c r="O342" s="26"/>
      <c r="P342" s="22"/>
      <c r="Q342" s="21"/>
      <c r="R342" s="27"/>
      <c r="S342" s="28"/>
      <c r="T342" s="22"/>
    </row>
    <row r="343" spans="4:20" ht="15" thickBot="1" x14ac:dyDescent="0.4">
      <c r="D343" s="19"/>
      <c r="E343" s="20"/>
      <c r="F343" s="21"/>
      <c r="G343" s="22"/>
      <c r="H343" s="21"/>
      <c r="I343" s="22"/>
      <c r="J343" s="23"/>
      <c r="K343" s="21"/>
      <c r="L343" s="24"/>
      <c r="M343" s="25"/>
      <c r="N343" s="26"/>
      <c r="O343" s="26"/>
      <c r="P343" s="22"/>
      <c r="Q343" s="21"/>
      <c r="R343" s="27"/>
      <c r="S343" s="28"/>
      <c r="T343" s="22"/>
    </row>
    <row r="344" spans="4:20" ht="15" thickBot="1" x14ac:dyDescent="0.4">
      <c r="D344" s="19"/>
      <c r="E344" s="20"/>
      <c r="F344" s="21"/>
      <c r="G344" s="22"/>
      <c r="H344" s="21"/>
      <c r="I344" s="22"/>
      <c r="J344" s="23"/>
      <c r="K344" s="21"/>
      <c r="L344" s="24"/>
      <c r="M344" s="25"/>
      <c r="N344" s="26"/>
      <c r="O344" s="26"/>
      <c r="P344" s="22"/>
      <c r="Q344" s="21"/>
      <c r="R344" s="27"/>
      <c r="S344" s="28"/>
      <c r="T344" s="22"/>
    </row>
    <row r="345" spans="4:20" x14ac:dyDescent="0.35">
      <c r="D345" s="19"/>
      <c r="E345" s="20"/>
      <c r="F345" s="21"/>
      <c r="G345" s="22"/>
      <c r="H345" s="21"/>
      <c r="I345" s="22"/>
      <c r="J345" s="23"/>
      <c r="K345" s="21"/>
      <c r="L345" s="24"/>
      <c r="M345" s="25"/>
      <c r="N345" s="26"/>
      <c r="O345" s="26"/>
      <c r="P345" s="22"/>
      <c r="Q345" s="21"/>
      <c r="R345" s="27"/>
      <c r="S345" s="28"/>
      <c r="T345" s="22"/>
    </row>
  </sheetData>
  <pageMargins left="0.7" right="0.7" top="0.75" bottom="0.75" header="0.3" footer="0.3"/>
  <pageSetup paperSize="9" orientation="portrait" horizontalDpi="1200" verticalDpi="120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1" zoomScaleNormal="100" workbookViewId="0">
      <selection activeCell="H37" sqref="H37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60L'!R7</f>
        <v>25.003021597856595</v>
      </c>
      <c r="B2" s="48">
        <f>'New Vestas G27 60L'!T7</f>
        <v>99.747593372498528</v>
      </c>
      <c r="C2" s="50">
        <f t="shared" ref="C2:D44" si="0">IF(ISNA(A2),"",LOG10(A2))</f>
        <v>1.3979924960312136</v>
      </c>
      <c r="D2" s="50">
        <f t="shared" si="0"/>
        <v>1.9989024261868313</v>
      </c>
      <c r="E2" s="51">
        <f>IF(C2="","",C2^2)</f>
        <v>1.9543830189595828</v>
      </c>
      <c r="F2" s="51">
        <f>IF(D2="","",D2^2)</f>
        <v>3.9956109094156007</v>
      </c>
      <c r="G2" s="52">
        <f>IF(OR(C2="",D2=""),"",C2*D2)</f>
        <v>2.7944505921077769</v>
      </c>
      <c r="H2" s="53" t="s">
        <v>57</v>
      </c>
      <c r="I2" s="54">
        <f>COUNT(C:C)</f>
        <v>43</v>
      </c>
      <c r="J2" s="51">
        <f t="shared" ref="J2:J65" si="1">LOG($I$24+($I$25-$I$24)*(ROW()-2)/100)</f>
        <v>1.3979924960312138</v>
      </c>
      <c r="K2" s="51">
        <f t="shared" ref="K2:K65" si="2">+$I$14+$I$13*J2</f>
        <v>1.9765766511347624</v>
      </c>
      <c r="L2" s="55">
        <f t="shared" ref="L2:L65" si="3">SQRT(2*$I$20*$I$17)*SQRT((1/$I$2)+((J2-$I$11)^2/$I$8))</f>
        <v>1.2888668674507827E-2</v>
      </c>
      <c r="M2" s="51">
        <f t="shared" ref="M2:M65" si="4">+$I$14+$I$13*J2-L2</f>
        <v>1.9636879824602547</v>
      </c>
      <c r="N2" s="94">
        <f>10^$J2</f>
        <v>25.003021597856609</v>
      </c>
      <c r="O2" s="56">
        <f>10^K2</f>
        <v>94.749439849174451</v>
      </c>
      <c r="P2" s="57">
        <f t="shared" ref="P2:P65" si="5">10^M2</f>
        <v>91.978851507432154</v>
      </c>
      <c r="R2" s="47"/>
      <c r="S2" s="47"/>
      <c r="T2" s="47"/>
    </row>
    <row r="3" spans="1:20" ht="12.75" customHeight="1" x14ac:dyDescent="0.35">
      <c r="A3" s="49">
        <f>'New Vestas G27 60L'!R8</f>
        <v>21.606186818762051</v>
      </c>
      <c r="B3" s="48">
        <f>'New Vestas G27 60L'!T8</f>
        <v>95.996428134623116</v>
      </c>
      <c r="C3" s="50">
        <f t="shared" si="0"/>
        <v>1.334578126915843</v>
      </c>
      <c r="D3" s="50">
        <f t="shared" si="0"/>
        <v>1.982255073974126</v>
      </c>
      <c r="E3" s="51">
        <f t="shared" ref="E3:F44" si="6">IF(C3="","",C3^2)</f>
        <v>1.7810987768422</v>
      </c>
      <c r="F3" s="51">
        <f t="shared" si="6"/>
        <v>3.9293351782961681</v>
      </c>
      <c r="G3" s="52">
        <f t="shared" ref="G3:G44" si="7">IF(OR(C3="",D3=""),"",C3*D3)</f>
        <v>2.6454742636938149</v>
      </c>
      <c r="H3" s="53" t="s">
        <v>58</v>
      </c>
      <c r="I3" s="58">
        <f>SUM(C:C)</f>
        <v>20.137931474577179</v>
      </c>
      <c r="J3" s="51">
        <f t="shared" si="1"/>
        <v>1.393758529633913</v>
      </c>
      <c r="K3" s="51">
        <f t="shared" si="2"/>
        <v>1.9771212339077986</v>
      </c>
      <c r="L3" s="55">
        <f t="shared" si="3"/>
        <v>1.2836056821082532E-2</v>
      </c>
      <c r="M3" s="51">
        <f t="shared" si="4"/>
        <v>1.964285177086716</v>
      </c>
      <c r="N3" s="94">
        <f t="shared" ref="N3:N66" si="8">10^$J3</f>
        <v>24.760449788103706</v>
      </c>
      <c r="O3" s="56">
        <f t="shared" ref="O3:O66" si="9">10^K3</f>
        <v>94.868325258857965</v>
      </c>
      <c r="P3" s="57">
        <f t="shared" si="5"/>
        <v>92.105417839412254</v>
      </c>
      <c r="R3" s="47"/>
      <c r="S3" s="47"/>
      <c r="T3" s="47"/>
    </row>
    <row r="4" spans="1:20" ht="12.75" customHeight="1" x14ac:dyDescent="0.35">
      <c r="A4" s="49">
        <f>'New Vestas G27 60L'!R9</f>
        <v>0.74584062256687</v>
      </c>
      <c r="B4" s="48">
        <f>'New Vestas G27 60L'!T9</f>
        <v>147.17769522532859</v>
      </c>
      <c r="C4" s="50">
        <f t="shared" si="0"/>
        <v>-0.12735396627347884</v>
      </c>
      <c r="D4" s="50">
        <f t="shared" si="0"/>
        <v>2.1678419976744219</v>
      </c>
      <c r="E4" s="51">
        <f t="shared" si="6"/>
        <v>1.6219032725586384E-2</v>
      </c>
      <c r="F4" s="51">
        <f t="shared" si="6"/>
        <v>4.6995389268810284</v>
      </c>
      <c r="G4" s="52">
        <f t="shared" si="7"/>
        <v>-0.27608327665805932</v>
      </c>
      <c r="H4" s="59" t="s">
        <v>59</v>
      </c>
      <c r="I4" s="58">
        <f>SUM(D:D)</f>
        <v>90.134570989181711</v>
      </c>
      <c r="J4" s="51">
        <f t="shared" si="1"/>
        <v>1.3894828792977219</v>
      </c>
      <c r="K4" s="51">
        <f t="shared" si="2"/>
        <v>1.9776711781676541</v>
      </c>
      <c r="L4" s="55">
        <f t="shared" si="3"/>
        <v>1.2782952477974266E-2</v>
      </c>
      <c r="M4" s="51">
        <f t="shared" si="4"/>
        <v>1.9648882256896798</v>
      </c>
      <c r="N4" s="94">
        <f t="shared" si="8"/>
        <v>24.517877978350814</v>
      </c>
      <c r="O4" s="56">
        <f t="shared" si="9"/>
        <v>94.98853249094654</v>
      </c>
      <c r="P4" s="57">
        <f t="shared" si="5"/>
        <v>92.233401562764641</v>
      </c>
      <c r="R4" s="47"/>
      <c r="S4" s="47"/>
      <c r="T4" s="47"/>
    </row>
    <row r="5" spans="1:20" ht="12.75" customHeight="1" x14ac:dyDescent="0.35">
      <c r="A5" s="49">
        <f>'New Vestas G27 60L'!R10</f>
        <v>0.99445416342249338</v>
      </c>
      <c r="B5" s="48">
        <f>'New Vestas G27 60L'!T10</f>
        <v>145.28074012362984</v>
      </c>
      <c r="C5" s="50">
        <f t="shared" si="0"/>
        <v>-2.4152296651788526E-3</v>
      </c>
      <c r="D5" s="50">
        <f t="shared" si="0"/>
        <v>2.1622080436686786</v>
      </c>
      <c r="E5" s="51">
        <f t="shared" si="6"/>
        <v>5.8333343355599526E-6</v>
      </c>
      <c r="F5" s="51">
        <f t="shared" si="6"/>
        <v>4.6751436241055346</v>
      </c>
      <c r="G5" s="52">
        <f t="shared" si="7"/>
        <v>-5.2222290093569242E-3</v>
      </c>
      <c r="H5" s="59" t="s">
        <v>60</v>
      </c>
      <c r="I5" s="58">
        <f>SUM(E:E)</f>
        <v>13.72081060576177</v>
      </c>
      <c r="J5" s="51">
        <f t="shared" si="1"/>
        <v>1.3851647160875229</v>
      </c>
      <c r="K5" s="51">
        <f t="shared" si="2"/>
        <v>1.9782265905339242</v>
      </c>
      <c r="L5" s="55">
        <f t="shared" si="3"/>
        <v>1.2729346431331464E-2</v>
      </c>
      <c r="M5" s="51">
        <f t="shared" si="4"/>
        <v>1.9654972441025929</v>
      </c>
      <c r="N5" s="94">
        <f t="shared" si="8"/>
        <v>24.275306168597922</v>
      </c>
      <c r="O5" s="56">
        <f t="shared" si="9"/>
        <v>95.110089539787666</v>
      </c>
      <c r="P5" s="57">
        <f t="shared" si="5"/>
        <v>92.362832734357539</v>
      </c>
      <c r="R5" s="47"/>
      <c r="S5" s="47"/>
      <c r="T5" s="47"/>
    </row>
    <row r="6" spans="1:20" ht="12.75" customHeight="1" x14ac:dyDescent="0.35">
      <c r="A6" s="49">
        <f>'New Vestas G27 60L'!R11</f>
        <v>1.2430677042781166</v>
      </c>
      <c r="B6" s="48">
        <f>'New Vestas G27 60L'!T11</f>
        <v>136.67148235438162</v>
      </c>
      <c r="C6" s="50">
        <f t="shared" si="0"/>
        <v>9.4494783342877531E-2</v>
      </c>
      <c r="D6" s="50">
        <f t="shared" si="0"/>
        <v>2.1356779048519354</v>
      </c>
      <c r="E6" s="51">
        <f t="shared" si="6"/>
        <v>8.9292640790173648E-3</v>
      </c>
      <c r="F6" s="51">
        <f t="shared" si="6"/>
        <v>4.5611201132727528</v>
      </c>
      <c r="G6" s="52">
        <f t="shared" si="7"/>
        <v>0.20181042090915424</v>
      </c>
      <c r="H6" s="59" t="s">
        <v>61</v>
      </c>
      <c r="I6" s="58">
        <f>SUM(F:F)</f>
        <v>189.01150037978979</v>
      </c>
      <c r="J6" s="51">
        <f t="shared" si="1"/>
        <v>1.3808031860931071</v>
      </c>
      <c r="K6" s="51">
        <f t="shared" si="2"/>
        <v>1.97878758083856</v>
      </c>
      <c r="L6" s="55">
        <f t="shared" si="3"/>
        <v>1.2675229210179433E-2</v>
      </c>
      <c r="M6" s="51">
        <f t="shared" si="4"/>
        <v>1.9661123516283805</v>
      </c>
      <c r="N6" s="94">
        <f t="shared" si="8"/>
        <v>24.032734358845012</v>
      </c>
      <c r="O6" s="56">
        <f t="shared" si="9"/>
        <v>95.233025279901796</v>
      </c>
      <c r="P6" s="57">
        <f t="shared" si="5"/>
        <v>92.49374235474032</v>
      </c>
      <c r="R6" s="47"/>
      <c r="S6" s="47"/>
      <c r="T6" s="47"/>
    </row>
    <row r="7" spans="1:20" ht="12.75" customHeight="1" x14ac:dyDescent="0.35">
      <c r="A7" s="49">
        <f>'New Vestas G27 60L'!R12</f>
        <v>1.49168124513374</v>
      </c>
      <c r="B7" s="48">
        <f>'New Vestas G27 60L'!T12</f>
        <v>135.65004499192844</v>
      </c>
      <c r="C7" s="50">
        <f t="shared" si="0"/>
        <v>0.17367602939050236</v>
      </c>
      <c r="D7" s="50">
        <f t="shared" si="0"/>
        <v>2.1324199421429006</v>
      </c>
      <c r="E7" s="51">
        <f t="shared" si="6"/>
        <v>3.016336318485064E-2</v>
      </c>
      <c r="F7" s="51">
        <f t="shared" si="6"/>
        <v>4.5472148096487315</v>
      </c>
      <c r="G7" s="52">
        <f t="shared" si="7"/>
        <v>0.37035022854450378</v>
      </c>
      <c r="H7" s="59" t="s">
        <v>62</v>
      </c>
      <c r="I7" s="58">
        <f>SUM(G:G)</f>
        <v>41.660425958731643</v>
      </c>
      <c r="J7" s="51">
        <f t="shared" si="1"/>
        <v>1.3763974094156846</v>
      </c>
      <c r="K7" s="51">
        <f t="shared" si="2"/>
        <v>1.9793542622562252</v>
      </c>
      <c r="L7" s="55">
        <f t="shared" si="3"/>
        <v>1.2620591076962723E-2</v>
      </c>
      <c r="M7" s="51">
        <f t="shared" si="4"/>
        <v>1.9667336711792625</v>
      </c>
      <c r="N7" s="94">
        <f t="shared" si="8"/>
        <v>23.790162549092116</v>
      </c>
      <c r="O7" s="56">
        <f t="shared" si="9"/>
        <v>95.357369502872061</v>
      </c>
      <c r="P7" s="57">
        <f t="shared" si="5"/>
        <v>92.626162407563086</v>
      </c>
      <c r="R7" s="47"/>
      <c r="S7" s="47"/>
      <c r="T7" s="47"/>
    </row>
    <row r="8" spans="1:20" ht="12.75" customHeight="1" x14ac:dyDescent="0.35">
      <c r="A8" s="49">
        <f>'New Vestas G27 60L'!R13</f>
        <v>1.7402947859893634</v>
      </c>
      <c r="B8" s="48">
        <f>'New Vestas G27 60L'!T13</f>
        <v>134.0449291366449</v>
      </c>
      <c r="C8" s="50">
        <f t="shared" si="0"/>
        <v>0.24062281902111557</v>
      </c>
      <c r="D8" s="50">
        <f t="shared" si="0"/>
        <v>2.1272503894518477</v>
      </c>
      <c r="E8" s="51">
        <f t="shared" si="6"/>
        <v>5.7899341033668533E-2</v>
      </c>
      <c r="F8" s="51">
        <f t="shared" si="6"/>
        <v>4.5251942194230379</v>
      </c>
      <c r="G8" s="52">
        <f t="shared" si="7"/>
        <v>0.51186498547366954</v>
      </c>
      <c r="H8" s="53" t="s">
        <v>63</v>
      </c>
      <c r="I8" s="58">
        <f>+I5-I3^2/$I$2</f>
        <v>4.2897342319299963</v>
      </c>
      <c r="J8" s="51">
        <f t="shared" si="1"/>
        <v>1.3719464791024552</v>
      </c>
      <c r="K8" s="51">
        <f t="shared" si="2"/>
        <v>1.9799267514413341</v>
      </c>
      <c r="L8" s="55">
        <f t="shared" si="3"/>
        <v>1.2565422017661481E-2</v>
      </c>
      <c r="M8" s="51">
        <f t="shared" si="4"/>
        <v>1.9673613294236727</v>
      </c>
      <c r="N8" s="94">
        <f t="shared" si="8"/>
        <v>23.547590739339228</v>
      </c>
      <c r="O8" s="56">
        <f t="shared" si="9"/>
        <v>95.483152956174237</v>
      </c>
      <c r="P8" s="57">
        <f t="shared" si="5"/>
        <v>92.760125901059723</v>
      </c>
      <c r="R8" s="47"/>
      <c r="S8" s="47"/>
      <c r="T8" s="47"/>
    </row>
    <row r="9" spans="1:20" ht="12.75" customHeight="1" x14ac:dyDescent="0.35">
      <c r="A9" s="49">
        <f>'New Vestas G27 60L'!R14</f>
        <v>1.9889083268449868</v>
      </c>
      <c r="B9" s="48">
        <f>'New Vestas G27 60L'!T14</f>
        <v>131.914502637814</v>
      </c>
      <c r="C9" s="50">
        <f t="shared" si="0"/>
        <v>0.29861476599880232</v>
      </c>
      <c r="D9" s="50">
        <f t="shared" si="0"/>
        <v>2.1202925443662295</v>
      </c>
      <c r="E9" s="51">
        <f t="shared" si="6"/>
        <v>8.9170778472519474E-2</v>
      </c>
      <c r="F9" s="51">
        <f t="shared" si="6"/>
        <v>4.4956404736950191</v>
      </c>
      <c r="G9" s="52">
        <f t="shared" si="7"/>
        <v>0.63315066198492687</v>
      </c>
      <c r="H9" s="59" t="s">
        <v>64</v>
      </c>
      <c r="I9" s="58">
        <f>+I6-I4^2/$I$2</f>
        <v>7.5665789002869133E-2</v>
      </c>
      <c r="J9" s="51">
        <f t="shared" si="1"/>
        <v>1.367449460026019</v>
      </c>
      <c r="K9" s="51">
        <f t="shared" si="2"/>
        <v>1.9805051686721851</v>
      </c>
      <c r="L9" s="55">
        <f t="shared" si="3"/>
        <v>1.2509711731459497E-2</v>
      </c>
      <c r="M9" s="51">
        <f t="shared" si="4"/>
        <v>1.9679954569407256</v>
      </c>
      <c r="N9" s="94">
        <f t="shared" si="8"/>
        <v>23.305018929586325</v>
      </c>
      <c r="O9" s="56">
        <f t="shared" si="9"/>
        <v>95.610407384071024</v>
      </c>
      <c r="P9" s="57">
        <f t="shared" si="5"/>
        <v>92.895666911724248</v>
      </c>
      <c r="R9" s="47"/>
      <c r="S9" s="47"/>
      <c r="T9" s="47"/>
    </row>
    <row r="10" spans="1:20" ht="12.75" customHeight="1" x14ac:dyDescent="0.35">
      <c r="A10" s="49">
        <f>'New Vestas G27 60L'!R15</f>
        <v>2.2375218677006097</v>
      </c>
      <c r="B10" s="48">
        <f>'New Vestas G27 60L'!T15</f>
        <v>128.29569598226558</v>
      </c>
      <c r="C10" s="50">
        <f t="shared" si="0"/>
        <v>0.34976728844618354</v>
      </c>
      <c r="D10" s="50">
        <f t="shared" si="0"/>
        <v>2.108212087064675</v>
      </c>
      <c r="E10" s="51">
        <f t="shared" si="6"/>
        <v>0.12233715606699576</v>
      </c>
      <c r="F10" s="51">
        <f t="shared" si="6"/>
        <v>4.4445582040455927</v>
      </c>
      <c r="G10" s="52">
        <f t="shared" si="7"/>
        <v>0.73738362516208078</v>
      </c>
      <c r="H10" s="59" t="s">
        <v>65</v>
      </c>
      <c r="I10" s="58">
        <f>+I7-I3*I4/$I$2</f>
        <v>-0.55175576383936686</v>
      </c>
      <c r="J10" s="51">
        <f t="shared" si="1"/>
        <v>1.3629053877051571</v>
      </c>
      <c r="K10" s="51">
        <f t="shared" si="2"/>
        <v>1.9810896380026337</v>
      </c>
      <c r="L10" s="55">
        <f t="shared" si="3"/>
        <v>1.2453449619940516E-2</v>
      </c>
      <c r="M10" s="51">
        <f t="shared" si="4"/>
        <v>1.9686361883826933</v>
      </c>
      <c r="N10" s="94">
        <f t="shared" si="8"/>
        <v>23.062447119833426</v>
      </c>
      <c r="O10" s="56">
        <f t="shared" si="9"/>
        <v>95.739165570701374</v>
      </c>
      <c r="P10" s="57">
        <f t="shared" si="5"/>
        <v>93.032820630319918</v>
      </c>
      <c r="R10" s="47"/>
      <c r="S10" s="47"/>
      <c r="T10" s="47"/>
    </row>
    <row r="11" spans="1:20" ht="12.75" customHeight="1" x14ac:dyDescent="0.35">
      <c r="A11" s="49">
        <f>'New Vestas G27 60L'!R16</f>
        <v>2.4861354085562333</v>
      </c>
      <c r="B11" s="48">
        <f>'New Vestas G27 60L'!T16</f>
        <v>118.75255262448876</v>
      </c>
      <c r="C11" s="50">
        <f t="shared" si="0"/>
        <v>0.39552477900685873</v>
      </c>
      <c r="D11" s="50">
        <f t="shared" si="0"/>
        <v>2.0746429536974516</v>
      </c>
      <c r="E11" s="51">
        <f t="shared" si="6"/>
        <v>0.15643985080842443</v>
      </c>
      <c r="F11" s="51">
        <f t="shared" si="6"/>
        <v>4.3041433853264861</v>
      </c>
      <c r="G11" s="52">
        <f t="shared" si="7"/>
        <v>0.82057269577932113</v>
      </c>
      <c r="H11" s="59" t="s">
        <v>66</v>
      </c>
      <c r="I11" s="58">
        <f>+I3/$I$2</f>
        <v>0.46832398778086465</v>
      </c>
      <c r="J11" s="51">
        <f t="shared" si="1"/>
        <v>1.3583132670632685</v>
      </c>
      <c r="K11" s="51">
        <f t="shared" si="2"/>
        <v>1.981680287421786</v>
      </c>
      <c r="L11" s="55">
        <f t="shared" si="3"/>
        <v>1.2396624775787944E-2</v>
      </c>
      <c r="M11" s="51">
        <f t="shared" si="4"/>
        <v>1.9692836626459982</v>
      </c>
      <c r="N11" s="94">
        <f t="shared" si="8"/>
        <v>22.819875310080533</v>
      </c>
      <c r="O11" s="56">
        <f t="shared" si="9"/>
        <v>95.86946138550887</v>
      </c>
      <c r="P11" s="57">
        <f t="shared" si="5"/>
        <v>93.171623410371382</v>
      </c>
      <c r="R11" s="47"/>
      <c r="S11" s="47"/>
      <c r="T11" s="47"/>
    </row>
    <row r="12" spans="1:20" ht="12.75" customHeight="1" x14ac:dyDescent="0.35">
      <c r="A12" s="49">
        <f>'New Vestas G27 60L'!R17</f>
        <v>2.7347489494118569</v>
      </c>
      <c r="B12" s="48">
        <f>'New Vestas G27 60L'!T17</f>
        <v>117.93540273452622</v>
      </c>
      <c r="C12" s="50">
        <f t="shared" si="0"/>
        <v>0.43691746416508381</v>
      </c>
      <c r="D12" s="50">
        <f t="shared" si="0"/>
        <v>2.0716441944444934</v>
      </c>
      <c r="E12" s="51">
        <f t="shared" si="6"/>
        <v>0.1908968704924473</v>
      </c>
      <c r="F12" s="51">
        <f t="shared" si="6"/>
        <v>4.2917096683755744</v>
      </c>
      <c r="G12" s="52">
        <f t="shared" si="7"/>
        <v>0.90513752808900594</v>
      </c>
      <c r="H12" s="59" t="s">
        <v>67</v>
      </c>
      <c r="I12" s="58">
        <f>+I4/$I$2</f>
        <v>2.0961528137019001</v>
      </c>
      <c r="J12" s="51">
        <f t="shared" si="1"/>
        <v>1.3536720711204586</v>
      </c>
      <c r="K12" s="51">
        <f t="shared" si="2"/>
        <v>1.9822772490222256</v>
      </c>
      <c r="L12" s="55">
        <f t="shared" si="3"/>
        <v>1.2339225970961713E-2</v>
      </c>
      <c r="M12" s="51">
        <f t="shared" si="4"/>
        <v>1.9699380230512638</v>
      </c>
      <c r="N12" s="94">
        <f t="shared" si="8"/>
        <v>22.577303500327631</v>
      </c>
      <c r="O12" s="56">
        <f t="shared" si="9"/>
        <v>96.001329831161271</v>
      </c>
      <c r="P12" s="57">
        <f t="shared" si="5"/>
        <v>93.312112819302214</v>
      </c>
      <c r="R12" s="47"/>
      <c r="S12" s="47"/>
      <c r="T12" s="47"/>
    </row>
    <row r="13" spans="1:20" ht="12.75" customHeight="1" x14ac:dyDescent="0.35">
      <c r="A13" s="49">
        <f>'New Vestas G27 60L'!R18</f>
        <v>0.99445416342249338</v>
      </c>
      <c r="B13" s="48">
        <f>'New Vestas G27 60L'!T18</f>
        <v>140.49363704278807</v>
      </c>
      <c r="C13" s="50">
        <f t="shared" si="0"/>
        <v>-2.4152296651788526E-3</v>
      </c>
      <c r="D13" s="50">
        <f t="shared" si="0"/>
        <v>2.1476566554882024</v>
      </c>
      <c r="E13" s="51">
        <f t="shared" si="6"/>
        <v>5.8333343355599526E-6</v>
      </c>
      <c r="F13" s="51">
        <f t="shared" si="6"/>
        <v>4.612429109862771</v>
      </c>
      <c r="G13" s="52">
        <f t="shared" si="7"/>
        <v>-5.1870840649539058E-3</v>
      </c>
      <c r="H13" s="59" t="s">
        <v>68</v>
      </c>
      <c r="I13" s="60">
        <f>+I10/I8</f>
        <v>-0.12862236539794358</v>
      </c>
      <c r="J13" s="51">
        <f t="shared" si="1"/>
        <v>1.3489807396149873</v>
      </c>
      <c r="K13" s="51">
        <f t="shared" si="2"/>
        <v>1.9828806591773254</v>
      </c>
      <c r="L13" s="55">
        <f t="shared" si="3"/>
        <v>1.2281241644324568E-2</v>
      </c>
      <c r="M13" s="51">
        <f t="shared" si="4"/>
        <v>1.9705994175330008</v>
      </c>
      <c r="N13" s="94">
        <f t="shared" si="8"/>
        <v>22.334731690574724</v>
      </c>
      <c r="O13" s="56">
        <f t="shared" si="9"/>
        <v>96.134807094127538</v>
      </c>
      <c r="P13" s="57">
        <f t="shared" si="5"/>
        <v>93.454327692390734</v>
      </c>
      <c r="R13" s="47"/>
      <c r="S13" s="47"/>
      <c r="T13" s="47"/>
    </row>
    <row r="14" spans="1:20" ht="12.75" customHeight="1" x14ac:dyDescent="0.35">
      <c r="A14" s="49">
        <f>'New Vestas G27 60L'!R19</f>
        <v>1.2430677042781166</v>
      </c>
      <c r="B14" s="48">
        <f>'New Vestas G27 60L'!T19</f>
        <v>139.58684160747444</v>
      </c>
      <c r="C14" s="50">
        <f t="shared" si="0"/>
        <v>9.4494783342877531E-2</v>
      </c>
      <c r="D14" s="50">
        <f t="shared" si="0"/>
        <v>2.1448444807040103</v>
      </c>
      <c r="E14" s="51">
        <f t="shared" si="6"/>
        <v>8.9292640790173648E-3</v>
      </c>
      <c r="F14" s="51">
        <f t="shared" si="6"/>
        <v>4.6003578464064558</v>
      </c>
      <c r="G14" s="52">
        <f t="shared" si="7"/>
        <v>0.20267661450829214</v>
      </c>
      <c r="H14" s="59" t="s">
        <v>69</v>
      </c>
      <c r="I14" s="60">
        <f>+I12-I13*I11</f>
        <v>2.1563897527828724</v>
      </c>
      <c r="J14" s="51">
        <f t="shared" si="1"/>
        <v>1.344238177549441</v>
      </c>
      <c r="K14" s="51">
        <f t="shared" si="2"/>
        <v>1.9834906587282424</v>
      </c>
      <c r="L14" s="55">
        <f t="shared" si="3"/>
        <v>1.2222659888688514E-2</v>
      </c>
      <c r="M14" s="51">
        <f t="shared" si="4"/>
        <v>1.9712679988395538</v>
      </c>
      <c r="N14" s="94">
        <f t="shared" si="8"/>
        <v>22.092159880821836</v>
      </c>
      <c r="O14" s="56">
        <f t="shared" si="9"/>
        <v>96.269930598088266</v>
      </c>
      <c r="P14" s="57">
        <f t="shared" si="5"/>
        <v>93.598308189731313</v>
      </c>
      <c r="R14" s="47"/>
      <c r="S14" s="47"/>
      <c r="T14" s="47"/>
    </row>
    <row r="15" spans="1:20" ht="12.75" customHeight="1" thickBot="1" x14ac:dyDescent="0.4">
      <c r="A15" s="49">
        <f>'New Vestas G27 60L'!R20</f>
        <v>1.49168124513374</v>
      </c>
      <c r="B15" s="48">
        <f>'New Vestas G27 60L'!T20</f>
        <v>138.62154323923824</v>
      </c>
      <c r="C15" s="50">
        <f t="shared" si="0"/>
        <v>0.17367602939050236</v>
      </c>
      <c r="D15" s="50">
        <f t="shared" si="0"/>
        <v>2.1418307294306733</v>
      </c>
      <c r="E15" s="51">
        <f t="shared" si="6"/>
        <v>3.016336318485064E-2</v>
      </c>
      <c r="F15" s="51">
        <f t="shared" si="6"/>
        <v>4.5874388735335305</v>
      </c>
      <c r="G15" s="52">
        <f t="shared" si="7"/>
        <v>0.37198465671408271</v>
      </c>
      <c r="H15" s="61" t="s">
        <v>70</v>
      </c>
      <c r="I15" s="62">
        <f>+I10^2/(I8*I9)</f>
        <v>0.9379157001095636</v>
      </c>
      <c r="J15" s="51">
        <f t="shared" si="1"/>
        <v>1.3394432536566434</v>
      </c>
      <c r="K15" s="51">
        <f t="shared" si="2"/>
        <v>1.9841073931812372</v>
      </c>
      <c r="L15" s="55">
        <f t="shared" si="3"/>
        <v>1.2163468437250363E-2</v>
      </c>
      <c r="M15" s="51">
        <f t="shared" si="4"/>
        <v>1.9719439247439867</v>
      </c>
      <c r="N15" s="94">
        <f t="shared" si="8"/>
        <v>21.84958807106894</v>
      </c>
      <c r="O15" s="56">
        <f t="shared" si="9"/>
        <v>96.406739060374193</v>
      </c>
      <c r="P15" s="57">
        <f t="shared" si="5"/>
        <v>93.744095856405409</v>
      </c>
      <c r="R15" s="47"/>
      <c r="S15" s="47"/>
      <c r="T15" s="47"/>
    </row>
    <row r="16" spans="1:20" ht="12.75" customHeight="1" x14ac:dyDescent="0.35">
      <c r="A16" s="49">
        <f>'New Vestas G27 60L'!R21</f>
        <v>1.7402947859893634</v>
      </c>
      <c r="B16" s="48">
        <f>'New Vestas G27 60L'!T21</f>
        <v>138.1242683093964</v>
      </c>
      <c r="C16" s="50">
        <f t="shared" si="0"/>
        <v>0.24062281902111557</v>
      </c>
      <c r="D16" s="50">
        <f t="shared" si="0"/>
        <v>2.1402699904316598</v>
      </c>
      <c r="E16" s="51">
        <f t="shared" si="6"/>
        <v>5.7899341033668533E-2</v>
      </c>
      <c r="F16" s="51">
        <f t="shared" si="6"/>
        <v>4.5807556319423366</v>
      </c>
      <c r="G16" s="52">
        <f t="shared" si="7"/>
        <v>0.51499779856396199</v>
      </c>
      <c r="H16" s="63" t="s">
        <v>71</v>
      </c>
      <c r="I16" s="64"/>
      <c r="J16" s="51">
        <f t="shared" si="1"/>
        <v>1.3345947987799318</v>
      </c>
      <c r="K16" s="51">
        <f t="shared" si="2"/>
        <v>1.984731012916005</v>
      </c>
      <c r="L16" s="55">
        <f t="shared" si="3"/>
        <v>1.2103654649383781E-2</v>
      </c>
      <c r="M16" s="51">
        <f t="shared" si="4"/>
        <v>1.9726273582666212</v>
      </c>
      <c r="N16" s="94">
        <f t="shared" si="8"/>
        <v>21.607016261316048</v>
      </c>
      <c r="O16" s="56">
        <f t="shared" si="9"/>
        <v>96.545272551637325</v>
      </c>
      <c r="P16" s="57">
        <f t="shared" si="5"/>
        <v>93.891733686076563</v>
      </c>
      <c r="R16" s="47"/>
      <c r="S16" s="47"/>
      <c r="T16" s="47"/>
    </row>
    <row r="17" spans="1:20" ht="12.75" customHeight="1" x14ac:dyDescent="0.35">
      <c r="A17" s="49">
        <f>'New Vestas G27 60L'!R22</f>
        <v>1.9889083268449868</v>
      </c>
      <c r="B17" s="48">
        <f>'New Vestas G27 60L'!T22</f>
        <v>135.05286440592008</v>
      </c>
      <c r="C17" s="50">
        <f t="shared" si="0"/>
        <v>0.29861476599880232</v>
      </c>
      <c r="D17" s="50">
        <f t="shared" si="0"/>
        <v>2.1305037997970175</v>
      </c>
      <c r="E17" s="51">
        <f t="shared" si="6"/>
        <v>8.9170778472519474E-2</v>
      </c>
      <c r="F17" s="51">
        <f t="shared" si="6"/>
        <v>4.5390464409495301</v>
      </c>
      <c r="G17" s="52">
        <f t="shared" si="7"/>
        <v>0.63619989363594553</v>
      </c>
      <c r="H17" s="53" t="s">
        <v>72</v>
      </c>
      <c r="I17" s="65">
        <f>(+I9-(+I10^2/I8))/($I$2-2)</f>
        <v>1.1457701307074658E-4</v>
      </c>
      <c r="J17" s="51">
        <f t="shared" si="1"/>
        <v>1.3296916041619926</v>
      </c>
      <c r="K17" s="51">
        <f t="shared" si="2"/>
        <v>1.9853616734057709</v>
      </c>
      <c r="L17" s="55">
        <f t="shared" si="3"/>
        <v>1.204320549575325E-2</v>
      </c>
      <c r="M17" s="51">
        <f t="shared" si="4"/>
        <v>1.9733184679100175</v>
      </c>
      <c r="N17" s="94">
        <f t="shared" si="8"/>
        <v>21.364444451563145</v>
      </c>
      <c r="O17" s="56">
        <f t="shared" si="9"/>
        <v>96.685572558980837</v>
      </c>
      <c r="P17" s="57">
        <f t="shared" si="5"/>
        <v>94.041266188248045</v>
      </c>
      <c r="R17" s="47"/>
      <c r="S17" s="47"/>
      <c r="T17" s="47"/>
    </row>
    <row r="18" spans="1:20" ht="12.75" customHeight="1" x14ac:dyDescent="0.35">
      <c r="A18" s="49">
        <f>'New Vestas G27 60L'!R23</f>
        <v>2.2375218677006097</v>
      </c>
      <c r="B18" s="48">
        <f>'New Vestas G27 60L'!T23</f>
        <v>134.17532043706771</v>
      </c>
      <c r="C18" s="50">
        <f t="shared" si="0"/>
        <v>0.34976728844618354</v>
      </c>
      <c r="D18" s="50">
        <f t="shared" si="0"/>
        <v>2.1276726411409932</v>
      </c>
      <c r="E18" s="51">
        <f t="shared" si="6"/>
        <v>0.12233715606699576</v>
      </c>
      <c r="F18" s="51">
        <f t="shared" si="6"/>
        <v>4.5269908678598894</v>
      </c>
      <c r="G18" s="52">
        <f t="shared" si="7"/>
        <v>0.74419029039301499</v>
      </c>
      <c r="H18" s="66" t="s">
        <v>53</v>
      </c>
      <c r="I18" s="67">
        <v>0.95</v>
      </c>
      <c r="J18" s="51">
        <f t="shared" si="1"/>
        <v>1.3247324196359953</v>
      </c>
      <c r="K18" s="51">
        <f t="shared" si="2"/>
        <v>1.9859995354499493</v>
      </c>
      <c r="L18" s="55">
        <f t="shared" si="3"/>
        <v>1.1982107542713546E-2</v>
      </c>
      <c r="M18" s="51">
        <f t="shared" si="4"/>
        <v>1.9740174279072358</v>
      </c>
      <c r="N18" s="94">
        <f t="shared" si="8"/>
        <v>21.121872641810242</v>
      </c>
      <c r="O18" s="56">
        <f t="shared" si="9"/>
        <v>96.82768205278812</v>
      </c>
      <c r="P18" s="57">
        <f t="shared" si="5"/>
        <v>94.192739459435074</v>
      </c>
      <c r="R18" s="47"/>
      <c r="S18" s="47"/>
      <c r="T18" s="47"/>
    </row>
    <row r="19" spans="1:20" ht="12.75" customHeight="1" x14ac:dyDescent="0.35">
      <c r="A19" s="49">
        <f>'New Vestas G27 60L'!R24</f>
        <v>2.7347489494118569</v>
      </c>
      <c r="B19" s="48">
        <f>'New Vestas G27 60L'!T24</f>
        <v>126.80395105123425</v>
      </c>
      <c r="C19" s="50">
        <f t="shared" si="0"/>
        <v>0.43691746416508381</v>
      </c>
      <c r="D19" s="50">
        <f t="shared" si="0"/>
        <v>2.1031327858250162</v>
      </c>
      <c r="E19" s="51">
        <f t="shared" si="6"/>
        <v>0.1908968704924473</v>
      </c>
      <c r="F19" s="51">
        <f t="shared" si="6"/>
        <v>4.4231675148120937</v>
      </c>
      <c r="G19" s="52">
        <f t="shared" si="7"/>
        <v>0.91889544358511444</v>
      </c>
      <c r="H19" s="53" t="s">
        <v>73</v>
      </c>
      <c r="I19" s="68">
        <f>_xlfn.T.INV(1-(1-I18)/2,I2-2)</f>
        <v>2.0195409704413745</v>
      </c>
      <c r="J19" s="51">
        <f t="shared" si="1"/>
        <v>1.3197159517122499</v>
      </c>
      <c r="K19" s="51">
        <f t="shared" si="2"/>
        <v>1.9866447654202446</v>
      </c>
      <c r="L19" s="55">
        <f t="shared" si="3"/>
        <v>1.1920346935956264E-2</v>
      </c>
      <c r="M19" s="51">
        <f t="shared" si="4"/>
        <v>1.9747244184842883</v>
      </c>
      <c r="N19" s="94">
        <f t="shared" si="8"/>
        <v>20.879300832057357</v>
      </c>
      <c r="O19" s="56">
        <f t="shared" si="9"/>
        <v>96.971645557514577</v>
      </c>
      <c r="P19" s="57">
        <f t="shared" si="5"/>
        <v>94.346201258528168</v>
      </c>
      <c r="R19" s="47"/>
      <c r="S19" s="47"/>
      <c r="T19" s="47"/>
    </row>
    <row r="20" spans="1:20" ht="12.75" customHeight="1" x14ac:dyDescent="0.35">
      <c r="A20" s="49">
        <f>'New Vestas G27 60L'!R25</f>
        <v>2.98336249026748</v>
      </c>
      <c r="B20" s="48">
        <f>'New Vestas G27 60L'!T25</f>
        <v>124.2298220526136</v>
      </c>
      <c r="C20" s="50">
        <f t="shared" si="0"/>
        <v>0.47470602505448356</v>
      </c>
      <c r="D20" s="50">
        <f t="shared" si="0"/>
        <v>2.0942258631370101</v>
      </c>
      <c r="E20" s="51">
        <f t="shared" si="6"/>
        <v>0.22534581022302796</v>
      </c>
      <c r="F20" s="51">
        <f t="shared" si="6"/>
        <v>4.3857819658319546</v>
      </c>
      <c r="G20" s="52">
        <f t="shared" si="7"/>
        <v>0.99414163505606501</v>
      </c>
      <c r="H20" s="53" t="s">
        <v>74</v>
      </c>
      <c r="I20" s="68">
        <f>_xlfn.F.INV(I18,2,I2-2)</f>
        <v>3.2256838422954499</v>
      </c>
      <c r="J20" s="51">
        <f t="shared" si="1"/>
        <v>1.3146408615530627</v>
      </c>
      <c r="K20" s="51">
        <f t="shared" si="2"/>
        <v>1.9872975355211269</v>
      </c>
      <c r="L20" s="55">
        <f t="shared" si="3"/>
        <v>1.1857909383362899E-2</v>
      </c>
      <c r="M20" s="51">
        <f t="shared" si="4"/>
        <v>1.975439626137764</v>
      </c>
      <c r="N20" s="94">
        <f t="shared" si="8"/>
        <v>20.636729022304451</v>
      </c>
      <c r="O20" s="56">
        <f t="shared" si="9"/>
        <v>97.117509226724707</v>
      </c>
      <c r="P20" s="57">
        <f t="shared" si="5"/>
        <v>94.501701086643649</v>
      </c>
      <c r="R20" s="47"/>
      <c r="S20" s="47"/>
      <c r="T20" s="47"/>
    </row>
    <row r="21" spans="1:20" ht="12.75" customHeight="1" x14ac:dyDescent="0.35">
      <c r="A21" s="49">
        <f>'New Vestas G27 60L'!R26</f>
        <v>1.2430677042781166</v>
      </c>
      <c r="B21" s="48">
        <f>'New Vestas G27 60L'!T26</f>
        <v>144.49728289345654</v>
      </c>
      <c r="C21" s="50">
        <f t="shared" si="0"/>
        <v>9.4494783342877531E-2</v>
      </c>
      <c r="D21" s="50">
        <f t="shared" si="0"/>
        <v>2.1598596807571133</v>
      </c>
      <c r="E21" s="51">
        <f t="shared" si="6"/>
        <v>8.9292640790173648E-3</v>
      </c>
      <c r="F21" s="51">
        <f t="shared" si="6"/>
        <v>4.6649938405602196</v>
      </c>
      <c r="G21" s="52">
        <f t="shared" si="7"/>
        <v>0.20409547258416005</v>
      </c>
      <c r="H21" s="53" t="s">
        <v>75</v>
      </c>
      <c r="I21" s="68">
        <f>I19*SQRT(I17)*(($I$8)^(-1/2))</f>
        <v>1.0437253290831103E-2</v>
      </c>
      <c r="J21" s="51">
        <f t="shared" si="1"/>
        <v>1.3095057628278615</v>
      </c>
      <c r="K21" s="51">
        <f t="shared" si="2"/>
        <v>1.9879580240657142</v>
      </c>
      <c r="L21" s="55">
        <f t="shared" si="3"/>
        <v>1.179478013702185E-2</v>
      </c>
      <c r="M21" s="51">
        <f t="shared" si="4"/>
        <v>1.9761632439286922</v>
      </c>
      <c r="N21" s="94">
        <f t="shared" si="8"/>
        <v>20.394157212551548</v>
      </c>
      <c r="O21" s="56">
        <f t="shared" si="9"/>
        <v>97.265320922684509</v>
      </c>
      <c r="P21" s="57">
        <f t="shared" si="5"/>
        <v>94.659290271785409</v>
      </c>
      <c r="R21" s="47"/>
      <c r="S21" s="47"/>
      <c r="T21" s="47"/>
    </row>
    <row r="22" spans="1:20" ht="12.75" customHeight="1" thickBot="1" x14ac:dyDescent="0.4">
      <c r="A22" s="49">
        <f>'New Vestas G27 60L'!R27</f>
        <v>1.49168124513374</v>
      </c>
      <c r="B22" s="48">
        <f>'New Vestas G27 60L'!T27</f>
        <v>139.66875925554606</v>
      </c>
      <c r="C22" s="50">
        <f t="shared" si="0"/>
        <v>0.17367602939050236</v>
      </c>
      <c r="D22" s="50">
        <f t="shared" si="0"/>
        <v>2.1450992751177198</v>
      </c>
      <c r="E22" s="51">
        <f t="shared" si="6"/>
        <v>3.016336318485064E-2</v>
      </c>
      <c r="F22" s="51">
        <f t="shared" si="6"/>
        <v>4.6014509001105672</v>
      </c>
      <c r="G22" s="52">
        <f t="shared" si="7"/>
        <v>0.3725523247508904</v>
      </c>
      <c r="H22" s="61" t="s">
        <v>76</v>
      </c>
      <c r="I22" s="69">
        <f>I19*SQRT(I17)*(1/I2+I11^2/I8)^(1/2)</f>
        <v>5.8957882882269457E-3</v>
      </c>
      <c r="J22" s="51">
        <f t="shared" si="1"/>
        <v>1.3043092194399877</v>
      </c>
      <c r="K22" s="51">
        <f t="shared" si="2"/>
        <v>1.9886264157681557</v>
      </c>
      <c r="L22" s="55">
        <f t="shared" si="3"/>
        <v>1.1730943974364381E-2</v>
      </c>
      <c r="M22" s="51">
        <f t="shared" si="4"/>
        <v>1.9768954717937912</v>
      </c>
      <c r="N22" s="94">
        <f t="shared" si="8"/>
        <v>20.151585402798656</v>
      </c>
      <c r="O22" s="56">
        <f t="shared" si="9"/>
        <v>97.415130300840687</v>
      </c>
      <c r="P22" s="57">
        <f t="shared" si="5"/>
        <v>94.819022058666732</v>
      </c>
      <c r="R22" s="47"/>
      <c r="S22" s="47"/>
      <c r="T22" s="47"/>
    </row>
    <row r="23" spans="1:20" ht="12.75" customHeight="1" x14ac:dyDescent="0.35">
      <c r="A23" s="49">
        <f>'New Vestas G27 60L'!R28</f>
        <v>1.7402947859893634</v>
      </c>
      <c r="B23" s="48">
        <f>'New Vestas G27 60L'!T28</f>
        <v>134.05011356779568</v>
      </c>
      <c r="C23" s="50">
        <f t="shared" si="0"/>
        <v>0.24062281902111557</v>
      </c>
      <c r="D23" s="50">
        <f t="shared" si="0"/>
        <v>2.1272671862550872</v>
      </c>
      <c r="E23" s="51">
        <f t="shared" si="6"/>
        <v>5.7899341033668533E-2</v>
      </c>
      <c r="F23" s="51">
        <f t="shared" si="6"/>
        <v>4.5252656817176353</v>
      </c>
      <c r="G23" s="52">
        <f t="shared" si="7"/>
        <v>0.51186902716781557</v>
      </c>
      <c r="H23" s="63" t="s">
        <v>77</v>
      </c>
      <c r="I23" s="70"/>
      <c r="J23" s="51">
        <f t="shared" si="1"/>
        <v>1.2990497431158354</v>
      </c>
      <c r="K23" s="51">
        <f t="shared" si="2"/>
        <v>1.9893029020537227</v>
      </c>
      <c r="L23" s="55">
        <f t="shared" si="3"/>
        <v>1.1666385178372391E-2</v>
      </c>
      <c r="M23" s="51">
        <f t="shared" si="4"/>
        <v>1.9776365168753502</v>
      </c>
      <c r="N23" s="94">
        <f t="shared" si="8"/>
        <v>19.909013593045771</v>
      </c>
      <c r="O23" s="56">
        <f t="shared" si="9"/>
        <v>97.566988899552229</v>
      </c>
      <c r="P23" s="57">
        <f t="shared" si="5"/>
        <v>94.980951704071046</v>
      </c>
      <c r="R23" s="47"/>
      <c r="S23" s="47"/>
      <c r="T23" s="47"/>
    </row>
    <row r="24" spans="1:20" ht="12.75" customHeight="1" x14ac:dyDescent="0.35">
      <c r="A24" s="49">
        <f>'New Vestas G27 60L'!R29</f>
        <v>1.9889083268449868</v>
      </c>
      <c r="B24" s="48">
        <f>'New Vestas G27 60L'!T29</f>
        <v>133.2599915179558</v>
      </c>
      <c r="C24" s="50">
        <f t="shared" si="0"/>
        <v>0.29861476599880232</v>
      </c>
      <c r="D24" s="50">
        <f t="shared" si="0"/>
        <v>2.1246997812891255</v>
      </c>
      <c r="E24" s="51">
        <f t="shared" si="6"/>
        <v>8.9170778472519474E-2</v>
      </c>
      <c r="F24" s="51">
        <f t="shared" si="6"/>
        <v>4.5143491606100579</v>
      </c>
      <c r="G24" s="52">
        <f t="shared" si="7"/>
        <v>0.6344667280073587</v>
      </c>
      <c r="H24" s="66" t="s">
        <v>78</v>
      </c>
      <c r="I24" s="71">
        <f>10^(MAX(C:C))</f>
        <v>25.003021597856598</v>
      </c>
      <c r="J24" s="51">
        <f t="shared" si="1"/>
        <v>1.2937257908462083</v>
      </c>
      <c r="K24" s="51">
        <f t="shared" si="2"/>
        <v>1.9899876813879078</v>
      </c>
      <c r="L24" s="55">
        <f t="shared" si="3"/>
        <v>1.1601087516808453E-2</v>
      </c>
      <c r="M24" s="51">
        <f t="shared" si="4"/>
        <v>1.9783865938710994</v>
      </c>
      <c r="N24" s="94">
        <f t="shared" si="8"/>
        <v>19.666441783292864</v>
      </c>
      <c r="O24" s="56">
        <f t="shared" si="9"/>
        <v>97.720950235467654</v>
      </c>
      <c r="P24" s="57">
        <f t="shared" si="5"/>
        <v>95.14513657816606</v>
      </c>
      <c r="R24" s="47"/>
      <c r="S24" s="47"/>
      <c r="T24" s="47"/>
    </row>
    <row r="25" spans="1:20" ht="12.75" customHeight="1" thickBot="1" x14ac:dyDescent="0.4">
      <c r="A25" s="49">
        <f>'New Vestas G27 60L'!R30</f>
        <v>2.2375218677006097</v>
      </c>
      <c r="B25" s="48">
        <f>'New Vestas G27 60L'!T30</f>
        <v>131.35784584241532</v>
      </c>
      <c r="C25" s="50">
        <f t="shared" si="0"/>
        <v>0.34976728844618354</v>
      </c>
      <c r="D25" s="50">
        <f t="shared" si="0"/>
        <v>2.118456017771535</v>
      </c>
      <c r="E25" s="51">
        <f t="shared" si="6"/>
        <v>0.12233715606699576</v>
      </c>
      <c r="F25" s="51">
        <f t="shared" si="6"/>
        <v>4.4878558992324304</v>
      </c>
      <c r="G25" s="52">
        <f t="shared" si="7"/>
        <v>0.74096661702844979</v>
      </c>
      <c r="H25" s="72" t="s">
        <v>79</v>
      </c>
      <c r="I25" s="73">
        <f>10^(MIN(C:C))</f>
        <v>0.74584062256687</v>
      </c>
      <c r="J25" s="51">
        <f t="shared" si="1"/>
        <v>1.2883357621688918</v>
      </c>
      <c r="K25" s="51">
        <f t="shared" si="2"/>
        <v>1.9906809596259469</v>
      </c>
      <c r="L25" s="55">
        <f t="shared" si="3"/>
        <v>1.1535034220416218E-2</v>
      </c>
      <c r="M25" s="51">
        <f t="shared" si="4"/>
        <v>1.9791459254055308</v>
      </c>
      <c r="N25" s="94">
        <f t="shared" si="8"/>
        <v>19.423869973539972</v>
      </c>
      <c r="O25" s="56">
        <f t="shared" si="9"/>
        <v>97.877069904978867</v>
      </c>
      <c r="P25" s="57">
        <f t="shared" si="5"/>
        <v>95.311636272216717</v>
      </c>
      <c r="R25" s="47"/>
      <c r="S25" s="47"/>
      <c r="T25" s="47"/>
    </row>
    <row r="26" spans="1:20" ht="12.75" customHeight="1" x14ac:dyDescent="0.35">
      <c r="A26" s="49">
        <f>'New Vestas G27 60L'!R31</f>
        <v>2.4861354085562333</v>
      </c>
      <c r="B26" s="48">
        <f>'New Vestas G27 60L'!T31</f>
        <v>127.55355449133431</v>
      </c>
      <c r="C26" s="50">
        <f t="shared" si="0"/>
        <v>0.39552477900685873</v>
      </c>
      <c r="D26" s="50">
        <f t="shared" si="0"/>
        <v>2.1056925654504224</v>
      </c>
      <c r="E26" s="51">
        <f t="shared" si="6"/>
        <v>0.15643985080842443</v>
      </c>
      <c r="F26" s="51">
        <f t="shared" si="6"/>
        <v>4.4339411801931812</v>
      </c>
      <c r="G26" s="52">
        <f t="shared" si="7"/>
        <v>0.83285358660616371</v>
      </c>
      <c r="H26" s="63" t="s">
        <v>80</v>
      </c>
      <c r="I26" s="70"/>
      <c r="J26" s="51">
        <f t="shared" si="1"/>
        <v>1.2828779962804628</v>
      </c>
      <c r="K26" s="51">
        <f t="shared" si="2"/>
        <v>1.991382950384305</v>
      </c>
      <c r="L26" s="55">
        <f t="shared" si="3"/>
        <v>1.1468207960036813E-2</v>
      </c>
      <c r="M26" s="51">
        <f t="shared" si="4"/>
        <v>1.9799147424242682</v>
      </c>
      <c r="N26" s="94">
        <f t="shared" si="8"/>
        <v>19.181298163787069</v>
      </c>
      <c r="O26" s="56">
        <f t="shared" si="9"/>
        <v>98.035405692219172</v>
      </c>
      <c r="P26" s="57">
        <f t="shared" si="5"/>
        <v>95.480512713187693</v>
      </c>
      <c r="R26" s="47" t="s">
        <v>81</v>
      </c>
      <c r="S26" s="47"/>
      <c r="T26" s="47"/>
    </row>
    <row r="27" spans="1:20" ht="12.75" customHeight="1" x14ac:dyDescent="0.35">
      <c r="A27" s="49">
        <f>'New Vestas G27 60L'!R32</f>
        <v>4.0474201093863513</v>
      </c>
      <c r="B27" s="48">
        <f>'New Vestas G27 60L'!T32</f>
        <v>121.45685861059646</v>
      </c>
      <c r="C27" s="50">
        <f t="shared" si="0"/>
        <v>0.60717828512273364</v>
      </c>
      <c r="D27" s="50">
        <f t="shared" si="0"/>
        <v>2.0844220442348695</v>
      </c>
      <c r="E27" s="51">
        <f t="shared" si="6"/>
        <v>0.36866546992458366</v>
      </c>
      <c r="F27" s="51">
        <f t="shared" si="6"/>
        <v>4.3448152584922726</v>
      </c>
      <c r="G27" s="52">
        <f t="shared" si="7"/>
        <v>1.265615802290551</v>
      </c>
      <c r="H27" s="53" t="str">
        <f>"m lower " &amp; TEXT(I18,"##%") &amp; " conf"</f>
        <v>m lower 95% conf</v>
      </c>
      <c r="I27" s="74">
        <f>-I13-I21</f>
        <v>0.11818511210711248</v>
      </c>
      <c r="J27" s="51">
        <f t="shared" si="1"/>
        <v>1.2773507689643016</v>
      </c>
      <c r="K27" s="51">
        <f t="shared" si="2"/>
        <v>1.9920938754358017</v>
      </c>
      <c r="L27" s="55">
        <f t="shared" si="3"/>
        <v>1.140059082258464E-2</v>
      </c>
      <c r="M27" s="51">
        <f t="shared" si="4"/>
        <v>1.980693284613217</v>
      </c>
      <c r="N27" s="94">
        <f t="shared" si="8"/>
        <v>18.938726354034173</v>
      </c>
      <c r="O27" s="56">
        <f t="shared" si="9"/>
        <v>98.196017684116299</v>
      </c>
      <c r="P27" s="57">
        <f t="shared" si="5"/>
        <v>95.651830285765371</v>
      </c>
      <c r="R27" s="47"/>
      <c r="S27" s="47"/>
      <c r="T27" s="47"/>
    </row>
    <row r="28" spans="1:20" ht="12.75" customHeight="1" x14ac:dyDescent="0.35">
      <c r="A28" s="49">
        <f>'New Vestas G27 60L'!R33</f>
        <v>4.6701001262150204</v>
      </c>
      <c r="B28" s="48">
        <f>'New Vestas G27 60L'!T33</f>
        <v>118.50686190062923</v>
      </c>
      <c r="C28" s="50">
        <f t="shared" si="0"/>
        <v>0.66932619187157816</v>
      </c>
      <c r="D28" s="50">
        <f t="shared" si="0"/>
        <v>2.0737434980195326</v>
      </c>
      <c r="E28" s="51">
        <f t="shared" si="6"/>
        <v>0.44799755112530865</v>
      </c>
      <c r="F28" s="51">
        <f t="shared" si="6"/>
        <v>4.3004120955782872</v>
      </c>
      <c r="G28" s="52">
        <f t="shared" si="7"/>
        <v>1.3880108384478593</v>
      </c>
      <c r="H28" s="75" t="s">
        <v>82</v>
      </c>
      <c r="I28" s="76">
        <f>-I13</f>
        <v>0.12862236539794358</v>
      </c>
      <c r="J28" s="51">
        <f t="shared" si="1"/>
        <v>1.2717522893205828</v>
      </c>
      <c r="K28" s="51">
        <f t="shared" si="2"/>
        <v>1.992813965130209</v>
      </c>
      <c r="L28" s="55">
        <f t="shared" si="3"/>
        <v>1.1332164285823485E-2</v>
      </c>
      <c r="M28" s="51">
        <f t="shared" si="4"/>
        <v>1.9814818008443855</v>
      </c>
      <c r="N28" s="94">
        <f t="shared" si="8"/>
        <v>18.696154544281281</v>
      </c>
      <c r="O28" s="56">
        <f t="shared" si="9"/>
        <v>98.358968393059484</v>
      </c>
      <c r="P28" s="57">
        <f t="shared" si="5"/>
        <v>95.825655962380168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60L'!R34</f>
        <v>4.9814401346293558</v>
      </c>
      <c r="B29" s="48">
        <f>'New Vestas G27 60L'!T34</f>
        <v>114.45975897621136</v>
      </c>
      <c r="C29" s="50">
        <f t="shared" si="0"/>
        <v>0.69735491547182171</v>
      </c>
      <c r="D29" s="50">
        <f t="shared" si="0"/>
        <v>2.0586528270571542</v>
      </c>
      <c r="E29" s="51">
        <f t="shared" si="6"/>
        <v>0.48630387813271159</v>
      </c>
      <c r="F29" s="51">
        <f t="shared" si="6"/>
        <v>4.2380514623504135</v>
      </c>
      <c r="G29" s="52">
        <f t="shared" si="7"/>
        <v>1.4356116681982687</v>
      </c>
      <c r="H29" s="77" t="str">
        <f>"m upper " &amp; TEXT(I18,"##%") &amp; " conf"</f>
        <v>m upper 95% conf</v>
      </c>
      <c r="I29" s="74">
        <f>-I13+I21</f>
        <v>0.1390596186887747</v>
      </c>
      <c r="J29" s="51">
        <f t="shared" si="1"/>
        <v>1.2660806962827338</v>
      </c>
      <c r="K29" s="51">
        <f t="shared" si="2"/>
        <v>1.9935434588423118</v>
      </c>
      <c r="L29" s="55">
        <f t="shared" si="3"/>
        <v>1.1262909191881781E-2</v>
      </c>
      <c r="M29" s="51">
        <f t="shared" si="4"/>
        <v>1.9822805496504299</v>
      </c>
      <c r="N29" s="94">
        <f t="shared" si="8"/>
        <v>18.453582734528371</v>
      </c>
      <c r="O29" s="56">
        <f t="shared" si="9"/>
        <v>98.524322887789182</v>
      </c>
      <c r="P29" s="57">
        <f t="shared" si="5"/>
        <v>96.002059441861348</v>
      </c>
      <c r="R29" s="47"/>
      <c r="S29" s="47"/>
      <c r="T29" s="47"/>
    </row>
    <row r="30" spans="1:20" ht="12.75" customHeight="1" x14ac:dyDescent="0.35">
      <c r="A30" s="49">
        <f>'New Vestas G27 60L'!R35</f>
        <v>7.1608201935296982</v>
      </c>
      <c r="B30" s="48">
        <f>'New Vestas G27 60L'!T35</f>
        <v>112.43620751400243</v>
      </c>
      <c r="C30" s="50">
        <f t="shared" si="0"/>
        <v>0.85496276883348976</v>
      </c>
      <c r="D30" s="50">
        <f t="shared" si="0"/>
        <v>2.0509061883804511</v>
      </c>
      <c r="E30" s="51">
        <f t="shared" si="6"/>
        <v>0.73096133609142722</v>
      </c>
      <c r="F30" s="51">
        <f t="shared" si="6"/>
        <v>4.2062161935372302</v>
      </c>
      <c r="G30" s="52">
        <f t="shared" si="7"/>
        <v>1.7534484334354892</v>
      </c>
      <c r="H30" s="77" t="str">
        <f>"C lower " &amp; TEXT(I18,"##%") &amp; " conf"</f>
        <v>C lower 95% conf</v>
      </c>
      <c r="I30" s="78">
        <f>10^(I14-I22)</f>
        <v>141.41450721852607</v>
      </c>
      <c r="J30" s="51">
        <f t="shared" si="1"/>
        <v>1.2603340549034028</v>
      </c>
      <c r="K30" s="51">
        <f t="shared" si="2"/>
        <v>1.994282605449615</v>
      </c>
      <c r="L30" s="55">
        <f t="shared" si="3"/>
        <v>1.1192805719443694E-2</v>
      </c>
      <c r="M30" s="51">
        <f t="shared" si="4"/>
        <v>1.9830897997301713</v>
      </c>
      <c r="N30" s="94">
        <f t="shared" si="8"/>
        <v>18.211010924775479</v>
      </c>
      <c r="O30" s="56">
        <f t="shared" si="9"/>
        <v>98.692148933177535</v>
      </c>
      <c r="P30" s="57">
        <f t="shared" si="5"/>
        <v>96.181113297418676</v>
      </c>
      <c r="R30" s="47"/>
      <c r="S30" s="47"/>
      <c r="T30" s="47"/>
    </row>
    <row r="31" spans="1:20" ht="12.75" customHeight="1" x14ac:dyDescent="0.35">
      <c r="A31" s="49">
        <f>'New Vestas G27 60L'!R36</f>
        <v>3.4247400925576819</v>
      </c>
      <c r="B31" s="48">
        <f>'New Vestas G27 60L'!T36</f>
        <v>122.86867301238763</v>
      </c>
      <c r="C31" s="50">
        <f t="shared" si="0"/>
        <v>0.53462761797412195</v>
      </c>
      <c r="D31" s="50">
        <f t="shared" si="0"/>
        <v>2.0894411678977485</v>
      </c>
      <c r="E31" s="51">
        <f t="shared" si="6"/>
        <v>0.28582668990068366</v>
      </c>
      <c r="F31" s="51">
        <f t="shared" si="6"/>
        <v>4.3657643941059074</v>
      </c>
      <c r="G31" s="52">
        <f t="shared" si="7"/>
        <v>1.1170729544902407</v>
      </c>
      <c r="H31" s="75" t="s">
        <v>83</v>
      </c>
      <c r="I31" s="79">
        <f>10^I14</f>
        <v>143.34737773871598</v>
      </c>
      <c r="J31" s="51">
        <f t="shared" si="1"/>
        <v>1.2545103523913901</v>
      </c>
      <c r="K31" s="51">
        <f t="shared" si="2"/>
        <v>1.995031663842084</v>
      </c>
      <c r="L31" s="55">
        <f t="shared" si="3"/>
        <v>1.1121833354550928E-2</v>
      </c>
      <c r="M31" s="51">
        <f t="shared" si="4"/>
        <v>1.9839098304875331</v>
      </c>
      <c r="N31" s="94">
        <f t="shared" si="8"/>
        <v>17.96843911502258</v>
      </c>
      <c r="O31" s="56">
        <f t="shared" si="9"/>
        <v>98.862517139630498</v>
      </c>
      <c r="P31" s="57">
        <f t="shared" si="5"/>
        <v>96.362893134705104</v>
      </c>
      <c r="R31" s="47"/>
      <c r="S31" s="47"/>
      <c r="T31" s="47"/>
    </row>
    <row r="32" spans="1:20" ht="12.75" customHeight="1" thickBot="1" x14ac:dyDescent="0.4">
      <c r="A32" s="49">
        <f>'New Vestas G27 60L'!R37</f>
        <v>3.7360801009720164</v>
      </c>
      <c r="B32" s="48">
        <f>'New Vestas G27 60L'!T37</f>
        <v>120.50280576371755</v>
      </c>
      <c r="C32" s="50">
        <f t="shared" si="0"/>
        <v>0.5724161788635217</v>
      </c>
      <c r="D32" s="50">
        <f t="shared" si="0"/>
        <v>2.0809971590562313</v>
      </c>
      <c r="E32" s="51">
        <f t="shared" si="6"/>
        <v>0.32766028182471524</v>
      </c>
      <c r="F32" s="51">
        <f t="shared" si="6"/>
        <v>4.3305491760001056</v>
      </c>
      <c r="G32" s="52">
        <f t="shared" si="7"/>
        <v>1.1911964420128123</v>
      </c>
      <c r="H32" s="61" t="str">
        <f>"C upper " &amp; TEXT(I18,"##%") &amp; " conf"</f>
        <v>C upper 95% conf</v>
      </c>
      <c r="I32" s="80">
        <f>10^(I14+I22)</f>
        <v>145.30666696601946</v>
      </c>
      <c r="J32" s="51">
        <f t="shared" si="1"/>
        <v>1.2486074938792335</v>
      </c>
      <c r="K32" s="51">
        <f t="shared" si="2"/>
        <v>1.9957909034665269</v>
      </c>
      <c r="L32" s="55">
        <f t="shared" si="3"/>
        <v>1.1049970859948709E-2</v>
      </c>
      <c r="M32" s="51">
        <f t="shared" si="4"/>
        <v>1.9847409326065781</v>
      </c>
      <c r="N32" s="94">
        <f t="shared" si="8"/>
        <v>17.725867305269684</v>
      </c>
      <c r="O32" s="56">
        <f t="shared" si="9"/>
        <v>99.035501122915207</v>
      </c>
      <c r="P32" s="57">
        <f t="shared" si="5"/>
        <v>96.54747776079229</v>
      </c>
      <c r="R32" s="47"/>
      <c r="S32" s="47"/>
      <c r="T32" s="47"/>
    </row>
    <row r="33" spans="1:20" ht="12.75" customHeight="1" x14ac:dyDescent="0.35">
      <c r="A33" s="49">
        <f>'New Vestas G27 60L'!R38</f>
        <v>4.0474201093863513</v>
      </c>
      <c r="B33" s="48">
        <f>'New Vestas G27 60L'!T38</f>
        <v>119.69792309148957</v>
      </c>
      <c r="C33" s="50">
        <f t="shared" si="0"/>
        <v>0.60717828512273364</v>
      </c>
      <c r="D33" s="50">
        <f t="shared" si="0"/>
        <v>2.078086614919938</v>
      </c>
      <c r="E33" s="51">
        <f t="shared" si="6"/>
        <v>0.36866546992458366</v>
      </c>
      <c r="F33" s="51">
        <f t="shared" si="6"/>
        <v>4.3184439791094062</v>
      </c>
      <c r="G33" s="52">
        <f t="shared" si="7"/>
        <v>1.2617690671835944</v>
      </c>
      <c r="H33" s="63" t="s">
        <v>84</v>
      </c>
      <c r="I33" s="81"/>
      <c r="J33" s="51">
        <f t="shared" si="1"/>
        <v>1.2426232978991774</v>
      </c>
      <c r="K33" s="51">
        <f t="shared" si="2"/>
        <v>1.9965606049084867</v>
      </c>
      <c r="L33" s="55">
        <f t="shared" si="3"/>
        <v>1.0977196242908219E-2</v>
      </c>
      <c r="M33" s="51">
        <f t="shared" si="4"/>
        <v>1.9855834086655786</v>
      </c>
      <c r="N33" s="94">
        <f t="shared" si="8"/>
        <v>17.483295495516792</v>
      </c>
      <c r="O33" s="56">
        <f t="shared" si="9"/>
        <v>99.211177675291168</v>
      </c>
      <c r="P33" s="57">
        <f t="shared" si="5"/>
        <v>96.734949364968941</v>
      </c>
      <c r="R33" s="47"/>
      <c r="S33" s="47"/>
      <c r="T33" s="47"/>
    </row>
    <row r="34" spans="1:20" ht="12.75" customHeight="1" thickBot="1" x14ac:dyDescent="0.4">
      <c r="A34" s="49">
        <f>'New Vestas G27 60L'!R39</f>
        <v>4.3587601178006858</v>
      </c>
      <c r="B34" s="48">
        <f>'New Vestas G27 60L'!T39</f>
        <v>116.28326933052243</v>
      </c>
      <c r="C34" s="50">
        <f t="shared" si="0"/>
        <v>0.63936296849413488</v>
      </c>
      <c r="D34" s="50">
        <f t="shared" si="0"/>
        <v>2.0655172335580176</v>
      </c>
      <c r="E34" s="51">
        <f t="shared" si="6"/>
        <v>0.4087850054816321</v>
      </c>
      <c r="F34" s="51">
        <f t="shared" si="6"/>
        <v>4.2663614421251665</v>
      </c>
      <c r="G34" s="52">
        <f t="shared" si="7"/>
        <v>1.3206152299234475</v>
      </c>
      <c r="H34" s="82" t="str">
        <f>"G27 Fit: S = " &amp; TEXT(I31,"0,00 E+00 ") &amp; " * N ^ -" &amp; TEXT(I28,"0,000")</f>
        <v>G27 Fit: S = 143 E+00  * N ^ -0,000</v>
      </c>
      <c r="I34" s="62"/>
      <c r="J34" s="51">
        <f t="shared" si="1"/>
        <v>1.2365554915430743</v>
      </c>
      <c r="K34" s="51">
        <f t="shared" si="2"/>
        <v>1.9973410605147852</v>
      </c>
      <c r="L34" s="55">
        <f t="shared" si="3"/>
        <v>1.0903486721457504E-2</v>
      </c>
      <c r="M34" s="51">
        <f t="shared" si="4"/>
        <v>1.9864375737933277</v>
      </c>
      <c r="N34" s="94">
        <f t="shared" si="8"/>
        <v>17.240723685763886</v>
      </c>
      <c r="O34" s="56">
        <f t="shared" si="9"/>
        <v>99.389626948917325</v>
      </c>
      <c r="P34" s="57">
        <f t="shared" si="5"/>
        <v>96.925393712357945</v>
      </c>
      <c r="R34" s="47"/>
      <c r="S34" s="47"/>
      <c r="T34" s="47"/>
    </row>
    <row r="35" spans="1:20" ht="12.75" customHeight="1" thickBot="1" x14ac:dyDescent="0.4">
      <c r="A35" s="49">
        <f>'New Vestas G27 60L'!R40</f>
        <v>4.6701001262150204</v>
      </c>
      <c r="B35" s="48">
        <f>'New Vestas G27 60L'!T40</f>
        <v>112.50275980945165</v>
      </c>
      <c r="C35" s="50">
        <f t="shared" si="0"/>
        <v>0.66932619187157816</v>
      </c>
      <c r="D35" s="50">
        <f t="shared" si="0"/>
        <v>2.0511631762724014</v>
      </c>
      <c r="E35" s="51">
        <f t="shared" si="6"/>
        <v>0.44799755112530865</v>
      </c>
      <c r="F35" s="51">
        <f t="shared" si="6"/>
        <v>4.2072703756958862</v>
      </c>
      <c r="G35" s="52">
        <f t="shared" si="7"/>
        <v>1.3728972376816171</v>
      </c>
      <c r="H35" s="82" t="str">
        <f>"G27 Fit: N = " &amp; TEXT((1/I31)^(-1/I28),"0,00 E+00 ") &amp; " * S ^ -" &amp; TEXT(1/I28,"0,00")</f>
        <v>G27 Fit: N = 006 E+16  * S ^ -008</v>
      </c>
      <c r="I35" s="84"/>
      <c r="J35" s="51">
        <f t="shared" si="1"/>
        <v>1.2304017052793508</v>
      </c>
      <c r="K35" s="51">
        <f t="shared" si="2"/>
        <v>1.9981325750601788</v>
      </c>
      <c r="L35" s="55">
        <f t="shared" si="3"/>
        <v>1.0828818688953018E-2</v>
      </c>
      <c r="M35" s="51">
        <f t="shared" si="4"/>
        <v>1.9873037563712259</v>
      </c>
      <c r="N35" s="94">
        <f t="shared" si="8"/>
        <v>16.99815187601099</v>
      </c>
      <c r="O35" s="56">
        <f t="shared" si="9"/>
        <v>99.570932652599581</v>
      </c>
      <c r="P35" s="57">
        <f t="shared" si="5"/>
        <v>97.118900351454656</v>
      </c>
      <c r="R35" s="47"/>
      <c r="S35" s="47"/>
      <c r="T35" s="47"/>
    </row>
    <row r="36" spans="1:20" ht="12.75" customHeight="1" x14ac:dyDescent="0.35">
      <c r="A36" s="49">
        <f>'New Vestas G27 60L'!R41</f>
        <v>6.2268001682866947</v>
      </c>
      <c r="B36" s="48">
        <f>'New Vestas G27 60L'!T41</f>
        <v>110.77104254496116</v>
      </c>
      <c r="C36" s="50">
        <f t="shared" si="0"/>
        <v>0.79426492847987817</v>
      </c>
      <c r="D36" s="50">
        <f t="shared" si="0"/>
        <v>2.0444262431849234</v>
      </c>
      <c r="E36" s="51">
        <f t="shared" si="6"/>
        <v>0.63085677661314599</v>
      </c>
      <c r="F36" s="51">
        <f t="shared" si="6"/>
        <v>4.1796786638232195</v>
      </c>
      <c r="G36" s="52">
        <f t="shared" si="7"/>
        <v>1.6238160638256591</v>
      </c>
      <c r="H36" s="83"/>
      <c r="I36" s="83"/>
      <c r="J36" s="51">
        <f t="shared" si="1"/>
        <v>1.2241594673974519</v>
      </c>
      <c r="K36" s="51">
        <f t="shared" si="2"/>
        <v>1.9989354664619254</v>
      </c>
      <c r="L36" s="55">
        <f t="shared" si="3"/>
        <v>1.0753167676925463E-2</v>
      </c>
      <c r="M36" s="51">
        <f t="shared" si="4"/>
        <v>1.988182298785</v>
      </c>
      <c r="N36" s="94">
        <f t="shared" si="8"/>
        <v>16.755580066258091</v>
      </c>
      <c r="O36" s="56">
        <f t="shared" si="9"/>
        <v>99.755182263056156</v>
      </c>
      <c r="P36" s="57">
        <f t="shared" si="5"/>
        <v>97.315562836791401</v>
      </c>
      <c r="R36" s="47"/>
      <c r="S36" s="47"/>
      <c r="T36" s="47"/>
    </row>
    <row r="37" spans="1:20" ht="12.75" customHeight="1" x14ac:dyDescent="0.35">
      <c r="A37" s="49">
        <f>'New Vestas G27 60L'!R42</f>
        <v>7.1608201935296982</v>
      </c>
      <c r="B37" s="48">
        <f>'New Vestas G27 60L'!T42</f>
        <v>107.81980608012526</v>
      </c>
      <c r="C37" s="50">
        <f t="shared" si="0"/>
        <v>0.85496276883348976</v>
      </c>
      <c r="D37" s="50">
        <f t="shared" si="0"/>
        <v>2.0326985463907135</v>
      </c>
      <c r="E37" s="51">
        <f t="shared" si="6"/>
        <v>0.73096133609142722</v>
      </c>
      <c r="F37" s="51">
        <f t="shared" si="6"/>
        <v>4.1318633804989195</v>
      </c>
      <c r="G37" s="52">
        <f t="shared" si="7"/>
        <v>1.7378815774260141</v>
      </c>
      <c r="H37" s="95">
        <f>1/I28</f>
        <v>7.774697634475225</v>
      </c>
      <c r="I37" s="85">
        <f>I31-I30</f>
        <v>1.9328705201899083</v>
      </c>
      <c r="J37" s="51">
        <f t="shared" si="1"/>
        <v>1.2178261980471756</v>
      </c>
      <c r="K37" s="51">
        <f t="shared" si="2"/>
        <v>1.99975006654646</v>
      </c>
      <c r="L37" s="55">
        <f t="shared" si="3"/>
        <v>1.0676508316136158E-2</v>
      </c>
      <c r="M37" s="51">
        <f t="shared" si="4"/>
        <v>1.9890735582303238</v>
      </c>
      <c r="N37" s="94">
        <f t="shared" si="8"/>
        <v>16.513008256505202</v>
      </c>
      <c r="O37" s="56">
        <f t="shared" si="9"/>
        <v>99.942467251999929</v>
      </c>
      <c r="P37" s="57">
        <f t="shared" si="5"/>
        <v>97.515478968061686</v>
      </c>
      <c r="R37" s="47"/>
      <c r="S37" s="47"/>
      <c r="T37" s="47"/>
    </row>
    <row r="38" spans="1:20" ht="12.75" customHeight="1" x14ac:dyDescent="0.35">
      <c r="A38" s="49">
        <f>'New Vestas G27 60L'!R43</f>
        <v>3.1134000841433473</v>
      </c>
      <c r="B38" s="48">
        <f>'New Vestas G27 60L'!T43</f>
        <v>123.47843261256035</v>
      </c>
      <c r="C38" s="50">
        <f t="shared" si="0"/>
        <v>0.49323493281589692</v>
      </c>
      <c r="D38" s="50">
        <f t="shared" si="0"/>
        <v>2.0915911080789567</v>
      </c>
      <c r="E38" s="51">
        <f t="shared" si="6"/>
        <v>0.24328069894990234</v>
      </c>
      <c r="F38" s="51">
        <f t="shared" si="6"/>
        <v>4.3747533633949578</v>
      </c>
      <c r="G38" s="52">
        <f t="shared" si="7"/>
        <v>1.0316457996716515</v>
      </c>
      <c r="H38" s="95">
        <f>((1/I27)-(1/I29))/2</f>
        <v>0.63507119867973216</v>
      </c>
      <c r="I38" s="85">
        <f>I32-I31</f>
        <v>1.9592892273034863</v>
      </c>
      <c r="J38" s="51">
        <f t="shared" si="1"/>
        <v>1.211399202836914</v>
      </c>
      <c r="K38" s="51">
        <f t="shared" si="2"/>
        <v>2.0005767218728052</v>
      </c>
      <c r="L38" s="55">
        <f t="shared" si="3"/>
        <v>1.0598814295784379E-2</v>
      </c>
      <c r="M38" s="51">
        <f t="shared" si="4"/>
        <v>1.9899779075770208</v>
      </c>
      <c r="N38" s="94">
        <f t="shared" si="8"/>
        <v>16.270436446752299</v>
      </c>
      <c r="O38" s="56">
        <f t="shared" si="9"/>
        <v>100.13288333047291</v>
      </c>
      <c r="P38" s="57">
        <f t="shared" si="5"/>
        <v>97.718751047175317</v>
      </c>
      <c r="R38" s="47"/>
      <c r="S38" s="47"/>
      <c r="T38" s="47"/>
    </row>
    <row r="39" spans="1:20" ht="12.75" customHeight="1" x14ac:dyDescent="0.35">
      <c r="A39" s="49">
        <f>'New Vestas G27 60L'!R44</f>
        <v>3.4247400925576819</v>
      </c>
      <c r="B39" s="48">
        <f>'New Vestas G27 60L'!T44</f>
        <v>121.5759826600215</v>
      </c>
      <c r="C39" s="50">
        <f t="shared" si="0"/>
        <v>0.53462761797412195</v>
      </c>
      <c r="D39" s="50">
        <f t="shared" si="0"/>
        <v>2.0848477885186458</v>
      </c>
      <c r="E39" s="51">
        <f t="shared" si="6"/>
        <v>0.28582668990068366</v>
      </c>
      <c r="F39" s="51">
        <f t="shared" si="6"/>
        <v>4.346590301291088</v>
      </c>
      <c r="G39" s="52">
        <f t="shared" si="7"/>
        <v>1.1146172070143396</v>
      </c>
      <c r="H39" s="86"/>
      <c r="I39" s="86"/>
      <c r="J39" s="51">
        <f t="shared" si="1"/>
        <v>1.2048756659510504</v>
      </c>
      <c r="K39" s="51">
        <f t="shared" si="2"/>
        <v>2.0014157946178259</v>
      </c>
      <c r="L39" s="55">
        <f t="shared" si="3"/>
        <v>1.0520058320812632E-2</v>
      </c>
      <c r="M39" s="51">
        <f t="shared" si="4"/>
        <v>1.9908957362970132</v>
      </c>
      <c r="N39" s="94">
        <f t="shared" si="8"/>
        <v>16.027864636999404</v>
      </c>
      <c r="O39" s="56">
        <f t="shared" si="9"/>
        <v>100.32653071202364</v>
      </c>
      <c r="P39" s="57">
        <f t="shared" si="5"/>
        <v>97.925486154864672</v>
      </c>
      <c r="R39" s="47"/>
      <c r="S39" s="47"/>
      <c r="T39" s="47"/>
    </row>
    <row r="40" spans="1:20" ht="12.75" customHeight="1" x14ac:dyDescent="0.35">
      <c r="A40" s="49">
        <f>'New Vestas G27 60L'!R45</f>
        <v>3.7360801009720164</v>
      </c>
      <c r="B40" s="48">
        <f>'New Vestas G27 60L'!T45</f>
        <v>120.45402499570373</v>
      </c>
      <c r="C40" s="50">
        <f t="shared" si="0"/>
        <v>0.5724161788635217</v>
      </c>
      <c r="D40" s="50">
        <f t="shared" si="0"/>
        <v>2.0808213166151264</v>
      </c>
      <c r="E40" s="51">
        <f t="shared" si="6"/>
        <v>0.32766028182471524</v>
      </c>
      <c r="F40" s="51">
        <f t="shared" si="6"/>
        <v>4.3298173516799077</v>
      </c>
      <c r="G40" s="52">
        <f t="shared" si="7"/>
        <v>1.1910957869545928</v>
      </c>
      <c r="H40" s="86" t="b">
        <f>H37=H38</f>
        <v>0</v>
      </c>
      <c r="I40" s="86"/>
      <c r="J40" s="51">
        <f t="shared" si="1"/>
        <v>1.1982526427425046</v>
      </c>
      <c r="K40" s="51">
        <f t="shared" si="2"/>
        <v>2.0022676635289942</v>
      </c>
      <c r="L40" s="55">
        <f t="shared" si="3"/>
        <v>1.0440212067265529E-2</v>
      </c>
      <c r="M40" s="51">
        <f t="shared" si="4"/>
        <v>1.9918274514617287</v>
      </c>
      <c r="N40" s="94">
        <f t="shared" si="8"/>
        <v>15.785292827246508</v>
      </c>
      <c r="O40" s="56">
        <f t="shared" si="9"/>
        <v>100.52351439648916</v>
      </c>
      <c r="P40" s="57">
        <f t="shared" si="5"/>
        <v>98.135796448644257</v>
      </c>
      <c r="R40" s="47"/>
      <c r="S40" s="47"/>
      <c r="T40" s="47"/>
    </row>
    <row r="41" spans="1:20" ht="12.75" customHeight="1" x14ac:dyDescent="0.35">
      <c r="A41" s="49">
        <f>'New Vestas G27 60L'!R46</f>
        <v>4.0474201093863513</v>
      </c>
      <c r="B41" s="48">
        <f>'New Vestas G27 60L'!T46</f>
        <v>119.21011541135141</v>
      </c>
      <c r="C41" s="50">
        <f t="shared" si="0"/>
        <v>0.60717828512273364</v>
      </c>
      <c r="D41" s="50">
        <f t="shared" si="0"/>
        <v>2.0763131084322626</v>
      </c>
      <c r="E41" s="51">
        <f t="shared" si="6"/>
        <v>0.36866546992458366</v>
      </c>
      <c r="F41" s="51">
        <f t="shared" si="6"/>
        <v>4.311076124247645</v>
      </c>
      <c r="G41" s="52">
        <f t="shared" si="7"/>
        <v>1.2606922325557537</v>
      </c>
      <c r="H41" s="86"/>
      <c r="I41" s="86"/>
      <c r="J41" s="51">
        <f t="shared" si="1"/>
        <v>1.1915270517516561</v>
      </c>
      <c r="K41" s="51">
        <f t="shared" si="2"/>
        <v>2.0031327249509365</v>
      </c>
      <c r="L41" s="55">
        <f t="shared" si="3"/>
        <v>1.0359246135670415E-2</v>
      </c>
      <c r="M41" s="51">
        <f t="shared" si="4"/>
        <v>1.992773478815266</v>
      </c>
      <c r="N41" s="94">
        <f t="shared" si="8"/>
        <v>15.542721017493612</v>
      </c>
      <c r="O41" s="56">
        <f t="shared" si="9"/>
        <v>100.7239444763417</v>
      </c>
      <c r="P41" s="57">
        <f t="shared" si="5"/>
        <v>98.349799484111244</v>
      </c>
      <c r="R41" s="47"/>
      <c r="S41" s="47"/>
      <c r="T41" s="47"/>
    </row>
    <row r="42" spans="1:20" ht="12.75" customHeight="1" x14ac:dyDescent="0.35">
      <c r="A42" s="49">
        <f>'New Vestas G27 60L'!R47</f>
        <v>4.3587601178006858</v>
      </c>
      <c r="B42" s="48">
        <f>'New Vestas G27 60L'!T47</f>
        <v>118.81986926724086</v>
      </c>
      <c r="C42" s="50">
        <f t="shared" si="0"/>
        <v>0.63936296849413488</v>
      </c>
      <c r="D42" s="50">
        <f t="shared" si="0"/>
        <v>2.0748890702040486</v>
      </c>
      <c r="E42" s="51">
        <f t="shared" si="6"/>
        <v>0.4087850054816321</v>
      </c>
      <c r="F42" s="51">
        <f t="shared" si="6"/>
        <v>4.3051646536522208</v>
      </c>
      <c r="G42" s="52">
        <f t="shared" si="7"/>
        <v>1.326607235221696</v>
      </c>
      <c r="H42" s="86"/>
      <c r="I42" s="86"/>
      <c r="J42" s="51">
        <f t="shared" si="1"/>
        <v>1.1846956660974994</v>
      </c>
      <c r="K42" s="51">
        <f t="shared" si="2"/>
        <v>2.0040113939327195</v>
      </c>
      <c r="L42" s="55">
        <f t="shared" si="3"/>
        <v>1.0277130002424037E-2</v>
      </c>
      <c r="M42" s="51">
        <f t="shared" si="4"/>
        <v>1.9937342639302955</v>
      </c>
      <c r="N42" s="94">
        <f t="shared" si="8"/>
        <v>15.300149207740711</v>
      </c>
      <c r="O42" s="56">
        <f t="shared" si="9"/>
        <v>100.92793646777429</v>
      </c>
      <c r="P42" s="57">
        <f t="shared" si="5"/>
        <v>98.567618561797588</v>
      </c>
      <c r="R42" s="47"/>
      <c r="S42" s="47"/>
      <c r="T42" s="47"/>
    </row>
    <row r="43" spans="1:20" ht="12.75" customHeight="1" thickBot="1" x14ac:dyDescent="0.4">
      <c r="A43" s="49">
        <f>'New Vestas G27 60L'!R48</f>
        <v>5.2927801430436903</v>
      </c>
      <c r="B43" s="48">
        <f>'New Vestas G27 60L'!T48</f>
        <v>116.35644048254314</v>
      </c>
      <c r="C43" s="50">
        <f t="shared" si="0"/>
        <v>0.72368385419417081</v>
      </c>
      <c r="D43" s="50">
        <f t="shared" si="0"/>
        <v>2.0657904270607994</v>
      </c>
      <c r="E43" s="51">
        <f t="shared" si="6"/>
        <v>0.52371832082132985</v>
      </c>
      <c r="F43" s="51">
        <f t="shared" si="6"/>
        <v>4.2674900885360403</v>
      </c>
      <c r="G43" s="52">
        <f t="shared" si="7"/>
        <v>1.4949791782127815</v>
      </c>
      <c r="H43" s="86"/>
      <c r="I43" s="82" t="str">
        <f>"G27 Fit: N = " &amp; TEXT((1/J39)^(-1/J36),"0,00 E+00 ") &amp; " * S ^ -" &amp; TEXT(1/J36,"0,00")</f>
        <v>G27 Fit: N = 001 E+00  * S ^ -001</v>
      </c>
      <c r="J43" s="51">
        <f t="shared" si="1"/>
        <v>1.1777551041808301</v>
      </c>
      <c r="K43" s="51">
        <f t="shared" si="2"/>
        <v>2.0049041054236327</v>
      </c>
      <c r="L43" s="55">
        <f t="shared" si="3"/>
        <v>1.0193831969191092E-2</v>
      </c>
      <c r="M43" s="51">
        <f t="shared" si="4"/>
        <v>1.9947102734544417</v>
      </c>
      <c r="N43" s="94">
        <f t="shared" si="8"/>
        <v>15.057577397987812</v>
      </c>
      <c r="O43" s="56">
        <f t="shared" si="9"/>
        <v>101.13561166895522</v>
      </c>
      <c r="P43" s="57">
        <f t="shared" si="5"/>
        <v>98.789383102030655</v>
      </c>
      <c r="R43" s="47"/>
      <c r="S43" s="47"/>
      <c r="T43" s="47"/>
    </row>
    <row r="44" spans="1:20" ht="12.75" customHeight="1" x14ac:dyDescent="0.35">
      <c r="A44" s="49">
        <f>'New Vestas G27 60L'!R49</f>
        <v>7.1608201935296982</v>
      </c>
      <c r="B44" s="48">
        <f>'New Vestas G27 60L'!T49</f>
        <v>114.21008668993522</v>
      </c>
      <c r="C44" s="50">
        <f t="shared" si="0"/>
        <v>0.85496276883348976</v>
      </c>
      <c r="D44" s="50">
        <f t="shared" si="0"/>
        <v>2.0577044611807001</v>
      </c>
      <c r="E44" s="51">
        <f t="shared" si="6"/>
        <v>0.73096133609142722</v>
      </c>
      <c r="F44" s="51">
        <f t="shared" si="6"/>
        <v>4.2341476495629555</v>
      </c>
      <c r="G44" s="52">
        <f t="shared" si="7"/>
        <v>1.7592607035720755</v>
      </c>
      <c r="H44" s="86" t="s">
        <v>83</v>
      </c>
      <c r="I44" s="86">
        <f>(1/$I$31)^(-1/$I$28)</f>
        <v>5.824763679134476E+16</v>
      </c>
      <c r="J44" s="51">
        <f t="shared" si="1"/>
        <v>1.1707018196324133</v>
      </c>
      <c r="K44" s="51">
        <f t="shared" si="2"/>
        <v>2.0058113155660746</v>
      </c>
      <c r="L44" s="55">
        <f t="shared" si="3"/>
        <v>1.0109319110348351E-2</v>
      </c>
      <c r="M44" s="51">
        <f t="shared" si="4"/>
        <v>1.9957019964557263</v>
      </c>
      <c r="N44" s="94">
        <f t="shared" si="8"/>
        <v>14.815005588234916</v>
      </c>
      <c r="O44" s="56">
        <f t="shared" si="9"/>
        <v>101.34709754815424</v>
      </c>
      <c r="P44" s="57">
        <f t="shared" si="5"/>
        <v>99.015229050532483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7.774697634475225</v>
      </c>
      <c r="J45" s="51">
        <f t="shared" si="1"/>
        <v>1.1635320904313391</v>
      </c>
      <c r="K45" s="51">
        <f t="shared" si="2"/>
        <v>2.0067335030951794</v>
      </c>
      <c r="L45" s="55">
        <f t="shared" si="3"/>
        <v>1.0023557218543923E-2</v>
      </c>
      <c r="M45" s="51">
        <f t="shared" si="4"/>
        <v>1.9967099458766355</v>
      </c>
      <c r="N45" s="94">
        <f t="shared" si="8"/>
        <v>14.572433778482015</v>
      </c>
      <c r="O45" s="56">
        <f t="shared" si="9"/>
        <v>101.56252816477043</v>
      </c>
      <c r="P45" s="57">
        <f t="shared" si="5"/>
        <v>99.245299317808488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1.1562420071099762</v>
      </c>
      <c r="K46" s="51">
        <f t="shared" si="2"/>
        <v>2.0076711708559212</v>
      </c>
      <c r="L46" s="55">
        <f t="shared" si="3"/>
        <v>9.9365107484869677E-3</v>
      </c>
      <c r="M46" s="51">
        <f t="shared" si="4"/>
        <v>1.9977346601074342</v>
      </c>
      <c r="N46" s="94">
        <f t="shared" si="8"/>
        <v>14.329861968729118</v>
      </c>
      <c r="O46" s="56">
        <f t="shared" si="9"/>
        <v>101.78204462664785</v>
      </c>
      <c r="P46" s="57">
        <f t="shared" si="5"/>
        <v>99.479744255722267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1.1488274599519483</v>
      </c>
      <c r="K47" s="51">
        <f t="shared" si="2"/>
        <v>2.0086248474497417</v>
      </c>
      <c r="L47" s="55">
        <f t="shared" si="3"/>
        <v>9.8481427591416044E-3</v>
      </c>
      <c r="M47" s="51">
        <f t="shared" si="4"/>
        <v>1.9987767046906</v>
      </c>
      <c r="N47" s="94">
        <f t="shared" si="8"/>
        <v>14.08729015897622</v>
      </c>
      <c r="O47" s="56">
        <f t="shared" si="9"/>
        <v>102.00579558748117</v>
      </c>
      <c r="P47" s="57">
        <f t="shared" si="5"/>
        <v>99.718722175064357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1.1412841250781747</v>
      </c>
      <c r="K48" s="51">
        <f t="shared" si="2"/>
        <v>2.0095950890241951</v>
      </c>
      <c r="L48" s="55">
        <f t="shared" si="3"/>
        <v>9.7584148545724562E-3</v>
      </c>
      <c r="M48" s="51">
        <f t="shared" si="4"/>
        <v>1.9998366741696227</v>
      </c>
      <c r="N48" s="94">
        <f t="shared" si="8"/>
        <v>13.84471834922333</v>
      </c>
      <c r="O48" s="56">
        <f t="shared" si="9"/>
        <v>102.23393778858498</v>
      </c>
      <c r="P48" s="57">
        <f t="shared" si="5"/>
        <v>99.962399908374138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1.1336074493030277</v>
      </c>
      <c r="K49" s="51">
        <f t="shared" si="2"/>
        <v>2.0105824812207875</v>
      </c>
      <c r="L49" s="55">
        <f t="shared" si="3"/>
        <v>9.6672871237826075E-3</v>
      </c>
      <c r="M49" s="51">
        <f t="shared" si="4"/>
        <v>2.0009151940970051</v>
      </c>
      <c r="N49" s="94">
        <f t="shared" si="8"/>
        <v>13.60214653947043</v>
      </c>
      <c r="O49" s="56">
        <f t="shared" si="9"/>
        <v>102.46663664983787</v>
      </c>
      <c r="P49" s="57">
        <f t="shared" si="5"/>
        <v>100.21095342279956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1.1257926336278063</v>
      </c>
      <c r="K50" s="51">
        <f t="shared" si="2"/>
        <v>2.0115876412980835</v>
      </c>
      <c r="L50" s="55">
        <f t="shared" si="3"/>
        <v>9.5747180800022629E-3</v>
      </c>
      <c r="M50" s="51">
        <f t="shared" si="4"/>
        <v>2.0020129232180812</v>
      </c>
      <c r="N50" s="94">
        <f t="shared" si="8"/>
        <v>13.359574729717535</v>
      </c>
      <c r="O50" s="56">
        <f t="shared" si="9"/>
        <v>102.70406691523128</v>
      </c>
      <c r="P50" s="57">
        <f t="shared" si="5"/>
        <v>100.46456848836755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1.1178346152216756</v>
      </c>
      <c r="K51" s="51">
        <f t="shared" si="2"/>
        <v>2.0126112204493602</v>
      </c>
      <c r="L51" s="55">
        <f t="shared" si="3"/>
        <v>9.4806646000344073E-3</v>
      </c>
      <c r="M51" s="51">
        <f t="shared" si="4"/>
        <v>2.0031305558493258</v>
      </c>
      <c r="N51" s="94">
        <f t="shared" si="8"/>
        <v>13.117002919964634</v>
      </c>
      <c r="O51" s="56">
        <f t="shared" si="9"/>
        <v>102.94641335916366</v>
      </c>
      <c r="P51" s="57">
        <f t="shared" si="5"/>
        <v>100.72344140772411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1.1097280477206546</v>
      </c>
      <c r="K52" s="51">
        <f t="shared" si="2"/>
        <v>2.0136539063365997</v>
      </c>
      <c r="L52" s="55">
        <f t="shared" si="3"/>
        <v>9.3850818644500636E-3</v>
      </c>
      <c r="M52" s="51">
        <f t="shared" si="4"/>
        <v>2.0042688244721498</v>
      </c>
      <c r="N52" s="94">
        <f t="shared" si="8"/>
        <v>12.874431110211738</v>
      </c>
      <c r="O52" s="56">
        <f t="shared" si="9"/>
        <v>103.19387156043898</v>
      </c>
      <c r="P52" s="57">
        <f t="shared" si="5"/>
        <v>100.98777981417392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1.101467279652657</v>
      </c>
      <c r="K53" s="51">
        <f t="shared" si="2"/>
        <v>2.0147164258655095</v>
      </c>
      <c r="L53" s="55">
        <f t="shared" si="3"/>
        <v>9.2879232996597397E-3</v>
      </c>
      <c r="M53" s="51">
        <f t="shared" si="4"/>
        <v>2.0054285025658496</v>
      </c>
      <c r="N53" s="94">
        <f t="shared" si="8"/>
        <v>12.631859300458837</v>
      </c>
      <c r="O53" s="56">
        <f t="shared" si="9"/>
        <v>103.44664875187148</v>
      </c>
      <c r="P53" s="57">
        <f t="shared" si="5"/>
        <v>101.25780354574563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1.0930463307705367</v>
      </c>
      <c r="K54" s="51">
        <f t="shared" si="2"/>
        <v>2.0157995482296229</v>
      </c>
      <c r="L54" s="55">
        <f t="shared" si="3"/>
        <v>9.1891405231826189E-3</v>
      </c>
      <c r="M54" s="51">
        <f t="shared" si="4"/>
        <v>2.0066104077064404</v>
      </c>
      <c r="N54" s="94">
        <f t="shared" si="8"/>
        <v>12.389287490705943</v>
      </c>
      <c r="O54" s="56">
        <f t="shared" si="9"/>
        <v>103.70496475449492</v>
      </c>
      <c r="P54" s="57">
        <f t="shared" si="5"/>
        <v>101.53374560403648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1.0844588660448953</v>
      </c>
      <c r="K55" s="51">
        <f t="shared" si="2"/>
        <v>2.0169040882554063</v>
      </c>
      <c r="L55" s="55">
        <f t="shared" si="3"/>
        <v>9.0886832938058427E-3</v>
      </c>
      <c r="M55" s="51">
        <f t="shared" si="4"/>
        <v>2.0078154049616006</v>
      </c>
      <c r="N55" s="94">
        <f t="shared" si="8"/>
        <v>12.146715680953044</v>
      </c>
      <c r="O55" s="56">
        <f t="shared" si="9"/>
        <v>103.96905300664378</v>
      </c>
      <c r="P55" s="57">
        <f t="shared" si="5"/>
        <v>101.8158532077674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1.0756981670333516</v>
      </c>
      <c r="K56" s="51">
        <f t="shared" si="2"/>
        <v>2.0180309100848106</v>
      </c>
      <c r="L56" s="55">
        <f t="shared" si="3"/>
        <v>8.9864994687940368E-3</v>
      </c>
      <c r="M56" s="51">
        <f t="shared" si="4"/>
        <v>2.0090444106160166</v>
      </c>
      <c r="N56" s="94">
        <f t="shared" si="8"/>
        <v>11.904143871200146</v>
      </c>
      <c r="O56" s="56">
        <f t="shared" si="9"/>
        <v>104.2391616996518</v>
      </c>
      <c r="P56" s="57">
        <f t="shared" si="5"/>
        <v>102.10438895235507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1.0667571003021361</v>
      </c>
      <c r="K57" s="51">
        <f t="shared" si="2"/>
        <v>2.0191809312369604</v>
      </c>
      <c r="L57" s="55">
        <f t="shared" si="3"/>
        <v>8.8825349708993324E-3</v>
      </c>
      <c r="M57" s="51">
        <f t="shared" si="4"/>
        <v>2.010298396266061</v>
      </c>
      <c r="N57" s="94">
        <f t="shared" si="8"/>
        <v>11.66157206144725</v>
      </c>
      <c r="O57" s="56">
        <f t="shared" si="9"/>
        <v>104.5155550336399</v>
      </c>
      <c r="P57" s="57">
        <f t="shared" si="5"/>
        <v>102.39963208838314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1.0576280825281639</v>
      </c>
      <c r="K58" s="51">
        <f t="shared" si="2"/>
        <v>2.0203551270968085</v>
      </c>
      <c r="L58" s="55">
        <f t="shared" si="3"/>
        <v>8.7767337686683496E-3</v>
      </c>
      <c r="M58" s="51">
        <f t="shared" si="4"/>
        <v>2.0115783933281404</v>
      </c>
      <c r="N58" s="94">
        <f t="shared" si="8"/>
        <v>11.419000251694353</v>
      </c>
      <c r="O58" s="56">
        <f t="shared" si="9"/>
        <v>104.79851460889004</v>
      </c>
      <c r="P58" s="57">
        <f t="shared" si="5"/>
        <v>102.70187993369946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1.0483030418538439</v>
      </c>
      <c r="K59" s="51">
        <f t="shared" si="2"/>
        <v>2.0215545358857714</v>
      </c>
      <c r="L59" s="55">
        <f t="shared" si="3"/>
        <v>8.6690378744878806E-3</v>
      </c>
      <c r="M59" s="51">
        <f t="shared" si="4"/>
        <v>2.0128854980112836</v>
      </c>
      <c r="N59" s="94">
        <f t="shared" si="8"/>
        <v>11.176428441941455</v>
      </c>
      <c r="O59" s="56">
        <f t="shared" si="9"/>
        <v>105.08834097067175</v>
      </c>
      <c r="P59" s="57">
        <f t="shared" si="5"/>
        <v>103.01144943599938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1.0387733750011574</v>
      </c>
      <c r="K60" s="51">
        <f t="shared" si="2"/>
        <v>2.0227802641778183</v>
      </c>
      <c r="L60" s="55">
        <f t="shared" si="3"/>
        <v>8.5593873660110321E-3</v>
      </c>
      <c r="M60" s="51">
        <f t="shared" si="4"/>
        <v>2.0142208768118071</v>
      </c>
      <c r="N60" s="94">
        <f t="shared" si="8"/>
        <v>10.933856632188556</v>
      </c>
      <c r="O60" s="56">
        <f t="shared" si="9"/>
        <v>105.38535532819334</v>
      </c>
      <c r="P60" s="57">
        <f t="shared" si="5"/>
        <v>103.32867890525624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1.0290298995740221</v>
      </c>
      <c r="K61" s="51">
        <f t="shared" si="2"/>
        <v>2.0240334930344535</v>
      </c>
      <c r="L61" s="55">
        <f t="shared" si="3"/>
        <v>8.4477204381332421E-3</v>
      </c>
      <c r="M61" s="51">
        <f t="shared" si="4"/>
        <v>2.0155857725963204</v>
      </c>
      <c r="N61" s="94">
        <f t="shared" si="8"/>
        <v>10.691284822435664</v>
      </c>
      <c r="O61" s="56">
        <f t="shared" si="9"/>
        <v>105.68990147165793</v>
      </c>
      <c r="P61" s="57">
        <f t="shared" si="5"/>
        <v>103.65392993827467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1.0190628008862062</v>
      </c>
      <c r="K62" s="51">
        <f t="shared" si="2"/>
        <v>2.0253154848438348</v>
      </c>
      <c r="L62" s="55">
        <f t="shared" si="3"/>
        <v>8.3339734946372406E-3</v>
      </c>
      <c r="M62" s="51">
        <f t="shared" si="4"/>
        <v>2.0169815113491976</v>
      </c>
      <c r="N62" s="94">
        <f t="shared" si="8"/>
        <v>10.448713012682765</v>
      </c>
      <c r="O62" s="56">
        <f t="shared" si="9"/>
        <v>106.00234791533461</v>
      </c>
      <c r="P62" s="57">
        <f t="shared" si="5"/>
        <v>103.98758956106749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1.0088615725430534</v>
      </c>
      <c r="K63" s="51">
        <f t="shared" si="2"/>
        <v>2.0266275909632956</v>
      </c>
      <c r="L63" s="55">
        <f t="shared" si="3"/>
        <v>8.2180812911222846E-3</v>
      </c>
      <c r="M63" s="51">
        <f t="shared" si="4"/>
        <v>2.0184095096721735</v>
      </c>
      <c r="N63" s="94">
        <f t="shared" si="8"/>
        <v>10.206141202929865</v>
      </c>
      <c r="O63" s="56">
        <f t="shared" si="9"/>
        <v>106.32309029923977</v>
      </c>
      <c r="P63" s="57">
        <f t="shared" si="5"/>
        <v>104.3300726187851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0.99841494987529089</v>
      </c>
      <c r="K64" s="51">
        <f t="shared" si="2"/>
        <v>2.0279712602812432</v>
      </c>
      <c r="L64" s="55">
        <f t="shared" si="3"/>
        <v>8.099977144038947E-3</v>
      </c>
      <c r="M64" s="51">
        <f t="shared" si="4"/>
        <v>2.0198712831372041</v>
      </c>
      <c r="N64" s="94">
        <f t="shared" si="8"/>
        <v>9.9635693931769715</v>
      </c>
      <c r="O64" s="56">
        <f t="shared" si="9"/>
        <v>106.65255408761725</v>
      </c>
      <c r="P64" s="57">
        <f t="shared" si="5"/>
        <v>104.68182444766509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0.98771083516757341</v>
      </c>
      <c r="K65" s="51">
        <f t="shared" si="2"/>
        <v>2.0293480488344406</v>
      </c>
      <c r="L65" s="55">
        <f t="shared" si="3"/>
        <v>7.9795932247829302E-3</v>
      </c>
      <c r="M65" s="51">
        <f t="shared" si="4"/>
        <v>2.0213684556096578</v>
      </c>
      <c r="N65" s="94">
        <f t="shared" si="8"/>
        <v>9.7209975834240723</v>
      </c>
      <c r="O65" s="56">
        <f t="shared" si="9"/>
        <v>106.9911976091345</v>
      </c>
      <c r="P65" s="57">
        <f t="shared" si="5"/>
        <v>105.04332386909118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0.97673621343731531</v>
      </c>
      <c r="K66" s="51">
        <f t="shared" ref="K66:K129" si="11">+$I$14+$I$13*J66</f>
        <v>2.0307596306407341</v>
      </c>
      <c r="L66" s="55">
        <f t="shared" ref="L66:L129" si="12">SQRT(2*$I$20*$I$17)*SQRT((1/$I$2)+((J66-$I$11)^2/$I$8))</f>
        <v>7.85686096314662E-3</v>
      </c>
      <c r="M66" s="51">
        <f t="shared" ref="M66:M102" si="13">+$I$14+$I$13*J66-L66</f>
        <v>2.0229027696775876</v>
      </c>
      <c r="N66" s="94">
        <f t="shared" si="8"/>
        <v>9.4784257736711748</v>
      </c>
      <c r="O66" s="56">
        <f t="shared" si="9"/>
        <v>107.33951549181586</v>
      </c>
      <c r="P66" s="57">
        <f t="shared" ref="P66:P102" si="14">10^M66</f>
        <v>105.41508655249969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0.96547705729344269</v>
      </c>
      <c r="K67" s="51">
        <f t="shared" si="11"/>
        <v>2.0322078099363439</v>
      </c>
      <c r="L67" s="55">
        <f t="shared" si="12"/>
        <v>7.7317115913683064E-3</v>
      </c>
      <c r="M67" s="51">
        <f t="shared" si="13"/>
        <v>2.0244760983449757</v>
      </c>
      <c r="N67" s="94">
        <f t="shared" ref="N67:N101" si="15">10^$J67</f>
        <v>9.2358539639182773</v>
      </c>
      <c r="O67" s="56">
        <f t="shared" ref="O67:O102" si="16">10^K67</f>
        <v>107.69804255555077</v>
      </c>
      <c r="P67" s="57">
        <f t="shared" si="14"/>
        <v>105.7976688017888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0.95391821913066233</v>
      </c>
      <c r="K68" s="51">
        <f t="shared" si="11"/>
        <v>2.0336945350420925</v>
      </c>
      <c r="L68" s="55">
        <f t="shared" si="12"/>
        <v>7.6040768690695303E-3</v>
      </c>
      <c r="M68" s="51">
        <f t="shared" si="13"/>
        <v>2.026090458173023</v>
      </c>
      <c r="N68" s="94">
        <f t="shared" si="15"/>
        <v>8.9932821541653816</v>
      </c>
      <c r="O68" s="56">
        <f t="shared" si="16"/>
        <v>108.06735823696468</v>
      </c>
      <c r="P68" s="57">
        <f t="shared" si="14"/>
        <v>106.19167182932826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0.94204330858082352</v>
      </c>
      <c r="K69" s="51">
        <f t="shared" si="11"/>
        <v>2.035221914125902</v>
      </c>
      <c r="L69" s="55">
        <f t="shared" si="12"/>
        <v>7.4738900412206757E-3</v>
      </c>
      <c r="M69" s="51">
        <f t="shared" si="13"/>
        <v>2.0277480240846812</v>
      </c>
      <c r="N69" s="94">
        <f t="shared" si="15"/>
        <v>8.7507103444124787</v>
      </c>
      <c r="O69" s="56">
        <f t="shared" si="16"/>
        <v>108.4480916360469</v>
      </c>
      <c r="P69" s="57">
        <f t="shared" si="14"/>
        <v>106.59774659296193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0.92983455273379279</v>
      </c>
      <c r="K70" s="51">
        <f t="shared" si="11"/>
        <v>2.0367922331815129</v>
      </c>
      <c r="L70" s="55">
        <f t="shared" si="12"/>
        <v>7.3410870968576621E-3</v>
      </c>
      <c r="M70" s="51">
        <f t="shared" si="13"/>
        <v>2.0294511460846554</v>
      </c>
      <c r="N70" s="94">
        <f t="shared" si="15"/>
        <v>8.5081385346595848</v>
      </c>
      <c r="O70" s="56">
        <f t="shared" si="16"/>
        <v>108.84092729188131</v>
      </c>
      <c r="P70" s="57">
        <f t="shared" si="14"/>
        <v>107.01659928495593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0.91727263613635857</v>
      </c>
      <c r="K71" s="51">
        <f t="shared" si="11"/>
        <v>2.0384079766082066</v>
      </c>
      <c r="L71" s="55">
        <f t="shared" si="12"/>
        <v>7.2056084168540474E-3</v>
      </c>
      <c r="M71" s="51">
        <f t="shared" si="13"/>
        <v>2.0312023681913525</v>
      </c>
      <c r="N71" s="94">
        <f t="shared" si="15"/>
        <v>8.2655667249066873</v>
      </c>
      <c r="O71" s="56">
        <f t="shared" si="16"/>
        <v>109.2466118170147</v>
      </c>
      <c r="P71" s="57">
        <f t="shared" si="14"/>
        <v>107.44899757817016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0.90433651695366657</v>
      </c>
      <c r="K72" s="51">
        <f t="shared" si="11"/>
        <v>2.0400718508565543</v>
      </c>
      <c r="L72" s="55">
        <f t="shared" si="12"/>
        <v>7.0674009263587793E-3</v>
      </c>
      <c r="M72" s="51">
        <f t="shared" si="13"/>
        <v>2.0330044499301954</v>
      </c>
      <c r="N72" s="94">
        <f t="shared" si="15"/>
        <v>8.0229949151537916</v>
      </c>
      <c r="O72" s="56">
        <f t="shared" si="16"/>
        <v>109.66596154755895</v>
      </c>
      <c r="P72" s="57">
        <f t="shared" si="14"/>
        <v>107.89577775445892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0.89100321490029089</v>
      </c>
      <c r="K73" s="51">
        <f t="shared" si="11"/>
        <v>2.0417868117052249</v>
      </c>
      <c r="L73" s="55">
        <f t="shared" si="12"/>
        <v>6.9264209038974837E-3</v>
      </c>
      <c r="M73" s="51">
        <f t="shared" si="13"/>
        <v>2.0348603908013274</v>
      </c>
      <c r="N73" s="94">
        <f t="shared" si="15"/>
        <v>7.7804231054008923</v>
      </c>
      <c r="O73" s="56">
        <f t="shared" si="16"/>
        <v>110.09987140059499</v>
      </c>
      <c r="P73" s="57">
        <f t="shared" si="14"/>
        <v>108.357852864219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0.87724756557358519</v>
      </c>
      <c r="K74" s="51">
        <f t="shared" si="11"/>
        <v>2.0435560958592101</v>
      </c>
      <c r="L74" s="55">
        <f t="shared" si="12"/>
        <v>6.7826376478351737E-3</v>
      </c>
      <c r="M74" s="51">
        <f t="shared" si="13"/>
        <v>2.0367734582113748</v>
      </c>
      <c r="N74" s="94">
        <f t="shared" si="15"/>
        <v>7.5378512956479975</v>
      </c>
      <c r="O74" s="56">
        <f t="shared" si="16"/>
        <v>110.54932517380317</v>
      </c>
      <c r="P74" s="57">
        <f t="shared" si="14"/>
        <v>108.83622209512065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0.86304193459231227</v>
      </c>
      <c r="K75" s="51">
        <f t="shared" si="11"/>
        <v>2.045383257717992</v>
      </c>
      <c r="L75" s="55">
        <f t="shared" si="12"/>
        <v>6.6360382663421145E-3</v>
      </c>
      <c r="M75" s="51">
        <f t="shared" si="13"/>
        <v>2.0387472194516501</v>
      </c>
      <c r="N75" s="94">
        <f t="shared" si="15"/>
        <v>7.2952794858950973</v>
      </c>
      <c r="O75" s="56">
        <f t="shared" si="16"/>
        <v>111.01540757716798</v>
      </c>
      <c r="P75" s="57">
        <f t="shared" si="14"/>
        <v>109.33198156364251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0.8483558833810585</v>
      </c>
      <c r="K76" s="51">
        <f t="shared" si="11"/>
        <v>2.0472722123631386</v>
      </c>
      <c r="L76" s="55">
        <f t="shared" si="12"/>
        <v>6.4866339452718325E-3</v>
      </c>
      <c r="M76" s="51">
        <f t="shared" si="13"/>
        <v>2.0407855784178666</v>
      </c>
      <c r="N76" s="94">
        <f t="shared" si="15"/>
        <v>7.0527076761422034</v>
      </c>
      <c r="O76" s="56">
        <f t="shared" si="16"/>
        <v>111.49931835666007</v>
      </c>
      <c r="P76" s="57">
        <f t="shared" si="14"/>
        <v>109.8463367867511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0.83315577644061822</v>
      </c>
      <c r="K77" s="51">
        <f t="shared" si="11"/>
        <v>2.0492272860721199</v>
      </c>
      <c r="L77" s="55">
        <f t="shared" si="12"/>
        <v>6.3344681677676646E-3</v>
      </c>
      <c r="M77" s="51">
        <f t="shared" si="13"/>
        <v>2.0428928179043524</v>
      </c>
      <c r="N77" s="94">
        <f t="shared" si="15"/>
        <v>6.810135866389305</v>
      </c>
      <c r="O77" s="56">
        <f t="shared" si="16"/>
        <v>112.00238895985383</v>
      </c>
      <c r="P77" s="57">
        <f t="shared" si="14"/>
        <v>110.38061714511434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0.8174043173634068</v>
      </c>
      <c r="K78" s="51">
        <f t="shared" si="11"/>
        <v>2.0512532759970998</v>
      </c>
      <c r="L78" s="55">
        <f t="shared" si="12"/>
        <v>6.1796275212717628E-3</v>
      </c>
      <c r="M78" s="51">
        <f t="shared" si="13"/>
        <v>2.0450736484758281</v>
      </c>
      <c r="N78" s="94">
        <f t="shared" si="15"/>
        <v>6.5675640566364049</v>
      </c>
      <c r="O78" s="56">
        <f t="shared" si="16"/>
        <v>112.52610231010308</v>
      </c>
      <c r="P78" s="57">
        <f t="shared" si="14"/>
        <v>110.93629271654004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0.80105999749405732</v>
      </c>
      <c r="K79" s="51">
        <f t="shared" si="11"/>
        <v>2.0533555210795158</v>
      </c>
      <c r="L79" s="55">
        <f t="shared" si="12"/>
        <v>6.0222559471185926E-3</v>
      </c>
      <c r="M79" s="51">
        <f t="shared" si="13"/>
        <v>2.047333265132397</v>
      </c>
      <c r="N79" s="94">
        <f t="shared" si="15"/>
        <v>6.3249922468835091</v>
      </c>
      <c r="O79" s="56">
        <f t="shared" si="16"/>
        <v>113.07211640838682</v>
      </c>
      <c r="P79" s="57">
        <f t="shared" si="14"/>
        <v>111.5149939430365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0.78407643672474125</v>
      </c>
      <c r="K80" s="51">
        <f t="shared" si="11"/>
        <v>2.0555399868385451</v>
      </c>
      <c r="L80" s="55">
        <f t="shared" si="12"/>
        <v>5.8625735850729626E-3</v>
      </c>
      <c r="M80" s="51">
        <f t="shared" si="13"/>
        <v>2.0496774132534723</v>
      </c>
      <c r="N80" s="94">
        <f t="shared" si="15"/>
        <v>6.0824204371306134</v>
      </c>
      <c r="O80" s="56">
        <f t="shared" si="16"/>
        <v>113.64229268303804</v>
      </c>
      <c r="P80" s="57">
        <f t="shared" si="14"/>
        <v>112.11853470291888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0.76640159006675246</v>
      </c>
      <c r="K81" s="51">
        <f t="shared" si="11"/>
        <v>2.0578133674237415</v>
      </c>
      <c r="L81" s="55">
        <f t="shared" si="12"/>
        <v>5.7009017654578355E-3</v>
      </c>
      <c r="M81" s="51">
        <f t="shared" si="13"/>
        <v>2.0521124656582836</v>
      </c>
      <c r="N81" s="94">
        <f t="shared" si="15"/>
        <v>5.8398486273777133</v>
      </c>
      <c r="O81" s="56">
        <f t="shared" si="16"/>
        <v>114.23873027543932</v>
      </c>
      <c r="P81" s="57">
        <f t="shared" si="14"/>
        <v>112.74893949982341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0.74797678580508742</v>
      </c>
      <c r="K82" s="51">
        <f t="shared" si="11"/>
        <v>2.0601832093298711</v>
      </c>
      <c r="L82" s="55">
        <f t="shared" si="12"/>
        <v>5.5376962351827144E-3</v>
      </c>
      <c r="M82" s="51">
        <f t="shared" si="13"/>
        <v>2.0546455130946883</v>
      </c>
      <c r="N82" s="94">
        <f t="shared" si="15"/>
        <v>5.5972768176248175</v>
      </c>
      <c r="O82" s="56">
        <f t="shared" si="16"/>
        <v>114.86380781034379</v>
      </c>
      <c r="P82" s="57">
        <f t="shared" si="14"/>
        <v>113.40847566776036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0.72873555042795535</v>
      </c>
      <c r="K83" s="51">
        <f t="shared" si="11"/>
        <v>2.0626580625372561</v>
      </c>
      <c r="L83" s="55">
        <f t="shared" si="12"/>
        <v>5.3735914024578254E-3</v>
      </c>
      <c r="M83" s="51">
        <f t="shared" si="13"/>
        <v>2.0572844711347984</v>
      </c>
      <c r="N83" s="94">
        <f t="shared" si="15"/>
        <v>5.3547050078719218</v>
      </c>
      <c r="O83" s="56">
        <f t="shared" si="16"/>
        <v>115.52023469041049</v>
      </c>
      <c r="P83" s="57">
        <f t="shared" si="14"/>
        <v>114.09969174957891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0.70860216096694617</v>
      </c>
      <c r="K84" s="51">
        <f t="shared" si="11"/>
        <v>2.0652476667132094</v>
      </c>
      <c r="L84" s="55">
        <f t="shared" si="12"/>
        <v>5.2094592701014911E-3</v>
      </c>
      <c r="M84" s="51">
        <f t="shared" si="13"/>
        <v>2.0600382074431081</v>
      </c>
      <c r="N84" s="94">
        <f t="shared" si="15"/>
        <v>5.1121331981190226</v>
      </c>
      <c r="O84" s="56">
        <f t="shared" si="16"/>
        <v>116.21111463121174</v>
      </c>
      <c r="P84" s="57">
        <f t="shared" si="14"/>
        <v>114.82546357757219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0.68748984515902878</v>
      </c>
      <c r="K85" s="51">
        <f t="shared" si="11"/>
        <v>2.067963182711452</v>
      </c>
      <c r="L85" s="55">
        <f t="shared" si="12"/>
        <v>5.0464877858357945E-3</v>
      </c>
      <c r="M85" s="51">
        <f t="shared" si="13"/>
        <v>2.0629166949256161</v>
      </c>
      <c r="N85" s="94">
        <f t="shared" si="15"/>
        <v>4.8695613883661224</v>
      </c>
      <c r="O85" s="56">
        <f t="shared" si="16"/>
        <v>116.94002509817855</v>
      </c>
      <c r="P85" s="57">
        <f t="shared" si="14"/>
        <v>115.58905014516914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0.66529852133783385</v>
      </c>
      <c r="K86" s="51">
        <f t="shared" si="11"/>
        <v>2.0708174832726458</v>
      </c>
      <c r="L86" s="55">
        <f t="shared" si="12"/>
        <v>4.8862844672500922E-3</v>
      </c>
      <c r="M86" s="51">
        <f t="shared" si="13"/>
        <v>2.0659311988053957</v>
      </c>
      <c r="N86" s="94">
        <f t="shared" si="15"/>
        <v>4.6269895786132267</v>
      </c>
      <c r="O86" s="56">
        <f t="shared" si="16"/>
        <v>117.7111176465304</v>
      </c>
      <c r="P86" s="57">
        <f t="shared" si="14"/>
        <v>116.39416224678433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0.64191192915936057</v>
      </c>
      <c r="K87" s="51">
        <f t="shared" si="11"/>
        <v>2.0738255220772381</v>
      </c>
      <c r="L87" s="55">
        <f t="shared" si="12"/>
        <v>4.7310120628547914E-3</v>
      </c>
      <c r="M87" s="51">
        <f t="shared" si="13"/>
        <v>2.0690945100143834</v>
      </c>
      <c r="N87" s="94">
        <f t="shared" si="15"/>
        <v>4.3844177688603283</v>
      </c>
      <c r="O87" s="56">
        <f t="shared" si="16"/>
        <v>118.52924609401978</v>
      </c>
      <c r="P87" s="57">
        <f t="shared" si="14"/>
        <v>117.24504833555898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0.61719394285447693</v>
      </c>
      <c r="K88" s="51">
        <f t="shared" si="11"/>
        <v>2.0770048079436463</v>
      </c>
      <c r="L88" s="55">
        <f t="shared" si="12"/>
        <v>4.5835630191188711E-3</v>
      </c>
      <c r="M88" s="51">
        <f t="shared" si="13"/>
        <v>2.0724212449245276</v>
      </c>
      <c r="N88" s="94">
        <f t="shared" si="15"/>
        <v>4.1418459591074361</v>
      </c>
      <c r="O88" s="56">
        <f t="shared" si="16"/>
        <v>119.4001322820795</v>
      </c>
      <c r="P88" s="57">
        <f t="shared" si="14"/>
        <v>118.14660457545706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0.59098377054738993</v>
      </c>
      <c r="K89" s="51">
        <f t="shared" si="11"/>
        <v>2.0803760223032715</v>
      </c>
      <c r="L89" s="55">
        <f t="shared" si="12"/>
        <v>4.4477773392692758E-3</v>
      </c>
      <c r="M89" s="51">
        <f t="shared" si="13"/>
        <v>2.0759282449640022</v>
      </c>
      <c r="N89" s="94">
        <f t="shared" si="15"/>
        <v>3.8992741493545364</v>
      </c>
      <c r="O89" s="56">
        <f t="shared" si="16"/>
        <v>120.33058340068528</v>
      </c>
      <c r="P89" s="57">
        <f t="shared" si="14"/>
        <v>119.10452048080759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0.56308960963259891</v>
      </c>
      <c r="K90" s="51">
        <f t="shared" si="11"/>
        <v>2.0839638352609229</v>
      </c>
      <c r="L90" s="55">
        <f t="shared" si="12"/>
        <v>4.3287019080617819E-3</v>
      </c>
      <c r="M90" s="51">
        <f t="shared" si="13"/>
        <v>2.0796351333528613</v>
      </c>
      <c r="N90" s="94">
        <f t="shared" si="15"/>
        <v>3.6567023396016372</v>
      </c>
      <c r="O90" s="56">
        <f t="shared" si="16"/>
        <v>121.32878128833823</v>
      </c>
      <c r="P90" s="57">
        <f t="shared" si="14"/>
        <v>120.12547925580353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0.53328012114583723</v>
      </c>
      <c r="K91" s="51">
        <f t="shared" si="11"/>
        <v>2.0877980021813927</v>
      </c>
      <c r="L91" s="55">
        <f t="shared" si="12"/>
        <v>4.2328758335667118E-3</v>
      </c>
      <c r="M91" s="51">
        <f t="shared" si="13"/>
        <v>2.0835651263478261</v>
      </c>
      <c r="N91" s="94">
        <f t="shared" si="15"/>
        <v>3.4141305298487414</v>
      </c>
      <c r="O91" s="56">
        <f t="shared" si="16"/>
        <v>122.40467416915922</v>
      </c>
      <c r="P91" s="57">
        <f t="shared" si="14"/>
        <v>121.21744515633688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0.50127275659033943</v>
      </c>
      <c r="K92" s="51">
        <f t="shared" si="11"/>
        <v>2.0919148651206751</v>
      </c>
      <c r="L92" s="55">
        <f t="shared" si="12"/>
        <v>4.1686044802907683E-3</v>
      </c>
      <c r="M92" s="51">
        <f t="shared" si="13"/>
        <v>2.0877462606403845</v>
      </c>
      <c r="N92" s="94">
        <f t="shared" si="15"/>
        <v>3.1715587200958417</v>
      </c>
      <c r="O92" s="56">
        <f t="shared" si="16"/>
        <v>123.57051740392396</v>
      </c>
      <c r="P92" s="57">
        <f t="shared" si="14"/>
        <v>122.39009183051992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0.46671743082173822</v>
      </c>
      <c r="K93" s="51">
        <f t="shared" si="11"/>
        <v>2.0963594528581293</v>
      </c>
      <c r="L93" s="55">
        <f t="shared" si="12"/>
        <v>4.1461597910633901E-3</v>
      </c>
      <c r="M93" s="51">
        <f t="shared" si="13"/>
        <v>2.0922132930670658</v>
      </c>
      <c r="N93" s="94">
        <f t="shared" si="15"/>
        <v>2.928986910342946</v>
      </c>
      <c r="O93" s="56">
        <f t="shared" si="16"/>
        <v>124.84163645160963</v>
      </c>
      <c r="P93" s="57">
        <f t="shared" si="14"/>
        <v>123.65545877497134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0.42917312001065777</v>
      </c>
      <c r="K94" s="51">
        <f t="shared" si="11"/>
        <v>2.1011884909218859</v>
      </c>
      <c r="L94" s="55">
        <f t="shared" si="12"/>
        <v>4.1778363433321109E-3</v>
      </c>
      <c r="M94" s="51">
        <f t="shared" si="13"/>
        <v>2.0970106545785536</v>
      </c>
      <c r="N94" s="94">
        <f t="shared" si="15"/>
        <v>2.6864151005900503</v>
      </c>
      <c r="O94" s="56">
        <f t="shared" si="16"/>
        <v>126.23753072806871</v>
      </c>
      <c r="P94" s="57">
        <f t="shared" si="14"/>
        <v>125.02897032909664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0.38807335373634405</v>
      </c>
      <c r="K95" s="51">
        <f t="shared" si="11"/>
        <v>2.1064748400773907</v>
      </c>
      <c r="L95" s="55">
        <f t="shared" si="12"/>
        <v>4.2778408680060089E-3</v>
      </c>
      <c r="M95" s="51">
        <f t="shared" si="13"/>
        <v>2.1021969992093847</v>
      </c>
      <c r="N95" s="94">
        <f t="shared" si="15"/>
        <v>2.443843290837151</v>
      </c>
      <c r="O95" s="56">
        <f t="shared" si="16"/>
        <v>127.7835178771884</v>
      </c>
      <c r="P95" s="57">
        <f t="shared" si="14"/>
        <v>126.53101714271914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0.34267360705407796</v>
      </c>
      <c r="K96" s="51">
        <f t="shared" si="11"/>
        <v>2.1123142628841314</v>
      </c>
      <c r="L96" s="55">
        <f t="shared" si="12"/>
        <v>4.4621387736345141E-3</v>
      </c>
      <c r="M96" s="51">
        <f t="shared" si="13"/>
        <v>2.1078521241104968</v>
      </c>
      <c r="N96" s="94">
        <f t="shared" si="15"/>
        <v>2.2012714810842517</v>
      </c>
      <c r="O96" s="56">
        <f t="shared" si="16"/>
        <v>129.5132682520167</v>
      </c>
      <c r="P96" s="57">
        <f t="shared" si="14"/>
        <v>128.18940274990388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0.29196785044977597</v>
      </c>
      <c r="K97" s="51">
        <f t="shared" si="11"/>
        <v>2.1188361572378693</v>
      </c>
      <c r="L97" s="55">
        <f t="shared" si="12"/>
        <v>4.7486205836681271E-3</v>
      </c>
      <c r="M97" s="51">
        <f t="shared" si="13"/>
        <v>2.1140875366542011</v>
      </c>
      <c r="N97" s="94">
        <f t="shared" si="15"/>
        <v>1.9586996713313598</v>
      </c>
      <c r="O97" s="56">
        <f t="shared" si="16"/>
        <v>131.47287415548462</v>
      </c>
      <c r="P97" s="57">
        <f t="shared" si="14"/>
        <v>130.04316673996681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0.23454964220107938</v>
      </c>
      <c r="K98" s="51">
        <f t="shared" si="11"/>
        <v>2.1262214229997283</v>
      </c>
      <c r="L98" s="55">
        <f t="shared" si="12"/>
        <v>5.1582164551922252E-3</v>
      </c>
      <c r="M98" s="51">
        <f t="shared" si="13"/>
        <v>2.1210632065445361</v>
      </c>
      <c r="N98" s="94">
        <f t="shared" si="15"/>
        <v>1.7161278615784605</v>
      </c>
      <c r="O98" s="56">
        <f t="shared" si="16"/>
        <v>133.7277147234779</v>
      </c>
      <c r="P98" s="57">
        <f t="shared" si="14"/>
        <v>132.14879474956558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0.16836666040009435</v>
      </c>
      <c r="K99" s="51">
        <f t="shared" si="11"/>
        <v>2.1347340346680599</v>
      </c>
      <c r="L99" s="55">
        <f t="shared" si="12"/>
        <v>5.717865465105069E-3</v>
      </c>
      <c r="M99" s="51">
        <f t="shared" si="13"/>
        <v>2.1290161692029548</v>
      </c>
      <c r="N99" s="94">
        <f t="shared" si="15"/>
        <v>1.473556051825561</v>
      </c>
      <c r="O99" s="56">
        <f t="shared" si="16"/>
        <v>136.37477110572928</v>
      </c>
      <c r="P99" s="57">
        <f t="shared" si="14"/>
        <v>134.59104626694031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9.025249352864359E-2</v>
      </c>
      <c r="K100" s="51">
        <f t="shared" si="11"/>
        <v>2.1447812635821557</v>
      </c>
      <c r="L100" s="55">
        <f t="shared" si="12"/>
        <v>6.4668640087677124E-3</v>
      </c>
      <c r="M100" s="51">
        <f t="shared" si="13"/>
        <v>2.138314399573388</v>
      </c>
      <c r="N100" s="94">
        <f t="shared" si="15"/>
        <v>1.2309842420726653</v>
      </c>
      <c r="O100" s="56">
        <f t="shared" si="16"/>
        <v>139.56652443437952</v>
      </c>
      <c r="P100" s="57">
        <f t="shared" si="14"/>
        <v>137.50370477917562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-5.0618006496474036E-3</v>
      </c>
      <c r="K101" s="51">
        <f t="shared" si="11"/>
        <v>2.1570408135556027</v>
      </c>
      <c r="L101" s="55">
        <f t="shared" si="12"/>
        <v>7.4702476699523585E-3</v>
      </c>
      <c r="M101" s="51">
        <f t="shared" si="13"/>
        <v>2.1495705658856505</v>
      </c>
      <c r="N101" s="94">
        <f t="shared" si="15"/>
        <v>0.98841243231976605</v>
      </c>
      <c r="O101" s="56">
        <f t="shared" si="16"/>
        <v>143.56243422306031</v>
      </c>
      <c r="P101" s="57">
        <f t="shared" si="14"/>
        <v>141.11415056861532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-0.12735396627347864</v>
      </c>
      <c r="K102" s="51">
        <f t="shared" si="11"/>
        <v>2.1727703211677771</v>
      </c>
      <c r="L102" s="55">
        <f t="shared" si="12"/>
        <v>8.850566231018344E-3</v>
      </c>
      <c r="M102" s="51">
        <f t="shared" si="13"/>
        <v>2.1639197549367588</v>
      </c>
      <c r="N102" s="94">
        <f>10^$J102</f>
        <v>0.74584062256687034</v>
      </c>
      <c r="O102" s="56">
        <f t="shared" si="16"/>
        <v>148.85736298171247</v>
      </c>
      <c r="P102" s="57">
        <f t="shared" si="14"/>
        <v>145.85447384802978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1.3979924960312138</v>
      </c>
      <c r="K104" s="51">
        <f t="shared" si="11"/>
        <v>1.9765766511347624</v>
      </c>
      <c r="L104" s="55">
        <f t="shared" si="12"/>
        <v>1.2888668674507827E-2</v>
      </c>
      <c r="M104" s="51">
        <f>+$I$14+$I$13*J104+L104</f>
        <v>1.9894653198092702</v>
      </c>
      <c r="N104" s="94">
        <f t="shared" ref="N104:N167" si="17">10^$J104</f>
        <v>25.003021597856609</v>
      </c>
      <c r="O104" s="56">
        <f t="shared" ref="O104:O167" si="18">10^K104</f>
        <v>94.749439849174451</v>
      </c>
      <c r="P104" s="57">
        <f t="shared" ref="P104:P167" si="19">10^M104</f>
        <v>97.603483894413756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1.393758529633913</v>
      </c>
      <c r="K105" s="51">
        <f t="shared" si="11"/>
        <v>1.9771212339077986</v>
      </c>
      <c r="L105" s="55">
        <f t="shared" si="12"/>
        <v>1.2836056821082532E-2</v>
      </c>
      <c r="M105" s="51">
        <f t="shared" ref="M105:M168" si="21">+$I$14+$I$13*J105+L105</f>
        <v>1.9899572907288812</v>
      </c>
      <c r="N105" s="94">
        <f t="shared" si="17"/>
        <v>24.760449788103706</v>
      </c>
      <c r="O105" s="56">
        <f t="shared" si="18"/>
        <v>94.868325258857965</v>
      </c>
      <c r="P105" s="57">
        <f t="shared" si="19"/>
        <v>97.714112248121666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1.3894828792977219</v>
      </c>
      <c r="K106" s="51">
        <f t="shared" si="11"/>
        <v>1.9776711781676541</v>
      </c>
      <c r="L106" s="55">
        <f t="shared" si="12"/>
        <v>1.2782952477974266E-2</v>
      </c>
      <c r="M106" s="51">
        <f t="shared" si="21"/>
        <v>1.9904541306456285</v>
      </c>
      <c r="N106" s="94">
        <f t="shared" si="17"/>
        <v>24.517877978350814</v>
      </c>
      <c r="O106" s="56">
        <f t="shared" si="18"/>
        <v>94.98853249094654</v>
      </c>
      <c r="P106" s="57">
        <f t="shared" si="19"/>
        <v>97.825962741313433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1.3851647160875229</v>
      </c>
      <c r="K107" s="51">
        <f t="shared" si="11"/>
        <v>1.9782265905339242</v>
      </c>
      <c r="L107" s="55">
        <f t="shared" si="12"/>
        <v>1.2729346431331464E-2</v>
      </c>
      <c r="M107" s="51">
        <f t="shared" si="21"/>
        <v>1.9909559369652556</v>
      </c>
      <c r="N107" s="94">
        <f t="shared" si="17"/>
        <v>24.275306168597922</v>
      </c>
      <c r="O107" s="56">
        <f t="shared" si="18"/>
        <v>95.110089539787666</v>
      </c>
      <c r="P107" s="57">
        <f t="shared" si="19"/>
        <v>97.939061248621528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1.3808031860931071</v>
      </c>
      <c r="K108" s="51">
        <f t="shared" si="11"/>
        <v>1.97878758083856</v>
      </c>
      <c r="L108" s="55">
        <f t="shared" si="12"/>
        <v>1.2675229210179433E-2</v>
      </c>
      <c r="M108" s="51">
        <f t="shared" si="21"/>
        <v>1.9914628100487395</v>
      </c>
      <c r="N108" s="94">
        <f t="shared" si="17"/>
        <v>24.032734358845012</v>
      </c>
      <c r="O108" s="56">
        <f t="shared" si="18"/>
        <v>95.233025279901796</v>
      </c>
      <c r="P108" s="57">
        <f t="shared" si="19"/>
        <v>98.053434460235238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1.3763974094156846</v>
      </c>
      <c r="K109" s="51">
        <f t="shared" si="11"/>
        <v>1.9793542622562252</v>
      </c>
      <c r="L109" s="55">
        <f t="shared" si="12"/>
        <v>1.2620591076962723E-2</v>
      </c>
      <c r="M109" s="51">
        <f t="shared" si="21"/>
        <v>1.991974853333188</v>
      </c>
      <c r="N109" s="94">
        <f t="shared" si="17"/>
        <v>23.790162549092116</v>
      </c>
      <c r="O109" s="56">
        <f t="shared" si="18"/>
        <v>95.357369502872061</v>
      </c>
      <c r="P109" s="57">
        <f t="shared" si="19"/>
        <v>98.169109916236863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1.3719464791024552</v>
      </c>
      <c r="K110" s="51">
        <f t="shared" si="11"/>
        <v>1.9799267514413341</v>
      </c>
      <c r="L110" s="55">
        <f t="shared" si="12"/>
        <v>1.2565422017661481E-2</v>
      </c>
      <c r="M110" s="51">
        <f t="shared" si="21"/>
        <v>1.9924921734589955</v>
      </c>
      <c r="N110" s="94">
        <f t="shared" si="17"/>
        <v>23.547590739339228</v>
      </c>
      <c r="O110" s="56">
        <f t="shared" si="18"/>
        <v>95.483152956174237</v>
      </c>
      <c r="P110" s="57">
        <f t="shared" si="19"/>
        <v>98.286116042755395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1.367449460026019</v>
      </c>
      <c r="K111" s="51">
        <f t="shared" si="11"/>
        <v>1.9805051686721851</v>
      </c>
      <c r="L111" s="55">
        <f t="shared" si="12"/>
        <v>1.2509711731459497E-2</v>
      </c>
      <c r="M111" s="51">
        <f t="shared" si="21"/>
        <v>1.9930148804036445</v>
      </c>
      <c r="N111" s="94">
        <f t="shared" si="17"/>
        <v>23.305018929586325</v>
      </c>
      <c r="O111" s="56">
        <f t="shared" si="18"/>
        <v>95.610407384071024</v>
      </c>
      <c r="P111" s="57">
        <f t="shared" si="19"/>
        <v>98.404482190054608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1.3629053877051571</v>
      </c>
      <c r="K112" s="51">
        <f t="shared" si="11"/>
        <v>1.9810896380026337</v>
      </c>
      <c r="L112" s="55">
        <f t="shared" si="12"/>
        <v>1.2453449619940516E-2</v>
      </c>
      <c r="M112" s="51">
        <f t="shared" si="21"/>
        <v>1.9935430876225742</v>
      </c>
      <c r="N112" s="94">
        <f t="shared" si="17"/>
        <v>23.062447119833426</v>
      </c>
      <c r="O112" s="56">
        <f t="shared" si="18"/>
        <v>95.739165570701374</v>
      </c>
      <c r="P112" s="57">
        <f t="shared" si="19"/>
        <v>98.524238672678976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1.3583132670632685</v>
      </c>
      <c r="K113" s="51">
        <f t="shared" si="11"/>
        <v>1.981680287421786</v>
      </c>
      <c r="L113" s="55">
        <f t="shared" si="12"/>
        <v>1.2396624775787944E-2</v>
      </c>
      <c r="M113" s="51">
        <f t="shared" si="21"/>
        <v>1.9940769121975739</v>
      </c>
      <c r="N113" s="94">
        <f t="shared" si="17"/>
        <v>22.819875310080533</v>
      </c>
      <c r="O113" s="56">
        <f t="shared" si="18"/>
        <v>95.86946138550887</v>
      </c>
      <c r="P113" s="57">
        <f t="shared" si="19"/>
        <v>98.64541681179378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1.3536720711204586</v>
      </c>
      <c r="K114" s="51">
        <f t="shared" si="11"/>
        <v>1.9822772490222256</v>
      </c>
      <c r="L114" s="55">
        <f t="shared" si="12"/>
        <v>1.2339225970961713E-2</v>
      </c>
      <c r="M114" s="51">
        <f t="shared" si="21"/>
        <v>1.9946164749931874</v>
      </c>
      <c r="N114" s="94">
        <f t="shared" si="17"/>
        <v>22.577303500327631</v>
      </c>
      <c r="O114" s="56">
        <f t="shared" si="18"/>
        <v>96.001329831161271</v>
      </c>
      <c r="P114" s="57">
        <f t="shared" si="19"/>
        <v>98.768048979863778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1.3489807396149873</v>
      </c>
      <c r="K115" s="51">
        <f t="shared" si="11"/>
        <v>1.9828806591773254</v>
      </c>
      <c r="L115" s="55">
        <f t="shared" si="12"/>
        <v>1.2281241644324568E-2</v>
      </c>
      <c r="M115" s="51">
        <f t="shared" si="21"/>
        <v>1.9951619008216499</v>
      </c>
      <c r="N115" s="94">
        <f t="shared" si="17"/>
        <v>22.334731690574724</v>
      </c>
      <c r="O115" s="56">
        <f t="shared" si="18"/>
        <v>96.134807094127538</v>
      </c>
      <c r="P115" s="57">
        <f t="shared" si="19"/>
        <v>98.892168647826153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1.344238177549441</v>
      </c>
      <c r="K116" s="51">
        <f t="shared" si="11"/>
        <v>1.9834906587282424</v>
      </c>
      <c r="L116" s="55">
        <f t="shared" si="12"/>
        <v>1.2222659888688514E-2</v>
      </c>
      <c r="M116" s="51">
        <f t="shared" si="21"/>
        <v>1.9957133186169309</v>
      </c>
      <c r="N116" s="94">
        <f t="shared" si="17"/>
        <v>22.092159880821836</v>
      </c>
      <c r="O116" s="56">
        <f t="shared" si="18"/>
        <v>96.269930598088266</v>
      </c>
      <c r="P116" s="57">
        <f t="shared" si="19"/>
        <v>99.017810434927355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1.3394432536566434</v>
      </c>
      <c r="K117" s="51">
        <f t="shared" si="11"/>
        <v>1.9841073931812372</v>
      </c>
      <c r="L117" s="55">
        <f t="shared" si="12"/>
        <v>1.2163468437250363E-2</v>
      </c>
      <c r="M117" s="51">
        <f t="shared" si="21"/>
        <v>1.9962708616184877</v>
      </c>
      <c r="N117" s="94">
        <f t="shared" si="17"/>
        <v>21.84958807106894</v>
      </c>
      <c r="O117" s="56">
        <f t="shared" si="18"/>
        <v>96.406739060374193</v>
      </c>
      <c r="P117" s="57">
        <f t="shared" si="19"/>
        <v>99.145010161405338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1.3345947987799318</v>
      </c>
      <c r="K118" s="51">
        <f t="shared" si="11"/>
        <v>1.984731012916005</v>
      </c>
      <c r="L118" s="55">
        <f t="shared" si="12"/>
        <v>1.2103654649383781E-2</v>
      </c>
      <c r="M118" s="51">
        <f t="shared" si="21"/>
        <v>1.9968346675653887</v>
      </c>
      <c r="N118" s="94">
        <f t="shared" si="17"/>
        <v>21.607016261316048</v>
      </c>
      <c r="O118" s="56">
        <f t="shared" si="18"/>
        <v>96.545272551637325</v>
      </c>
      <c r="P118" s="57">
        <f t="shared" si="19"/>
        <v>99.273804904213421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1.3296916041619926</v>
      </c>
      <c r="K119" s="51">
        <f t="shared" si="11"/>
        <v>1.9853616734057709</v>
      </c>
      <c r="L119" s="55">
        <f t="shared" si="12"/>
        <v>1.204320549575325E-2</v>
      </c>
      <c r="M119" s="51">
        <f t="shared" si="21"/>
        <v>1.9974048789015242</v>
      </c>
      <c r="N119" s="94">
        <f t="shared" si="17"/>
        <v>21.364444451563145</v>
      </c>
      <c r="O119" s="56">
        <f t="shared" si="18"/>
        <v>96.685572558980837</v>
      </c>
      <c r="P119" s="57">
        <f t="shared" si="19"/>
        <v>99.404233056000152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1.3247324196359953</v>
      </c>
      <c r="K120" s="51">
        <f t="shared" si="11"/>
        <v>1.9859995354499493</v>
      </c>
      <c r="L120" s="55">
        <f t="shared" si="12"/>
        <v>1.1982107542713546E-2</v>
      </c>
      <c r="M120" s="51">
        <f t="shared" si="21"/>
        <v>1.9979816429926629</v>
      </c>
      <c r="N120" s="94">
        <f t="shared" si="17"/>
        <v>21.121872641810242</v>
      </c>
      <c r="O120" s="56">
        <f t="shared" si="18"/>
        <v>96.82768205278812</v>
      </c>
      <c r="P120" s="57">
        <f t="shared" si="19"/>
        <v>99.536334387572538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1.3197159517122499</v>
      </c>
      <c r="K121" s="51">
        <f t="shared" si="11"/>
        <v>1.9866447654202446</v>
      </c>
      <c r="L121" s="55">
        <f t="shared" si="12"/>
        <v>1.1920346935956264E-2</v>
      </c>
      <c r="M121" s="51">
        <f t="shared" si="21"/>
        <v>1.9985651123562009</v>
      </c>
      <c r="N121" s="94">
        <f t="shared" si="17"/>
        <v>20.879300832057357</v>
      </c>
      <c r="O121" s="56">
        <f t="shared" si="18"/>
        <v>96.971645557514577</v>
      </c>
      <c r="P121" s="57">
        <f t="shared" si="19"/>
        <v>99.670150114096145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1.3146408615530627</v>
      </c>
      <c r="K122" s="51">
        <f t="shared" si="11"/>
        <v>1.9872975355211269</v>
      </c>
      <c r="L122" s="55">
        <f t="shared" si="12"/>
        <v>1.1857909383362899E-2</v>
      </c>
      <c r="M122" s="51">
        <f t="shared" si="21"/>
        <v>1.9991554449044897</v>
      </c>
      <c r="N122" s="94">
        <f t="shared" si="17"/>
        <v>20.636729022304451</v>
      </c>
      <c r="O122" s="56">
        <f t="shared" si="18"/>
        <v>97.117509226724707</v>
      </c>
      <c r="P122" s="57">
        <f t="shared" si="19"/>
        <v>99.805722965298017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1.3095057628278615</v>
      </c>
      <c r="K123" s="51">
        <f t="shared" si="11"/>
        <v>1.9879580240657142</v>
      </c>
      <c r="L123" s="55">
        <f t="shared" si="12"/>
        <v>1.179478013702185E-2</v>
      </c>
      <c r="M123" s="51">
        <f t="shared" si="21"/>
        <v>1.9997528042027362</v>
      </c>
      <c r="N123" s="94">
        <f t="shared" si="17"/>
        <v>20.394157212551548</v>
      </c>
      <c r="O123" s="56">
        <f t="shared" si="18"/>
        <v>97.265320922684509</v>
      </c>
      <c r="P123" s="57">
        <f t="shared" si="19"/>
        <v>99.943097259970301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1.3043092194399877</v>
      </c>
      <c r="K124" s="51">
        <f t="shared" si="11"/>
        <v>1.9886264157681557</v>
      </c>
      <c r="L124" s="55">
        <f t="shared" si="12"/>
        <v>1.1730943974364381E-2</v>
      </c>
      <c r="M124" s="51">
        <f t="shared" si="21"/>
        <v>2.0003573597425199</v>
      </c>
      <c r="N124" s="94">
        <f t="shared" si="17"/>
        <v>20.151585402798656</v>
      </c>
      <c r="O124" s="56">
        <f t="shared" si="18"/>
        <v>97.415130300840687</v>
      </c>
      <c r="P124" s="57">
        <f t="shared" si="19"/>
        <v>100.08231898509008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1.2990497431158354</v>
      </c>
      <c r="K125" s="51">
        <f t="shared" si="11"/>
        <v>1.9893029020537227</v>
      </c>
      <c r="L125" s="55">
        <f t="shared" si="12"/>
        <v>1.1666385178372391E-2</v>
      </c>
      <c r="M125" s="51">
        <f t="shared" si="21"/>
        <v>2.000969287232095</v>
      </c>
      <c r="N125" s="94">
        <f t="shared" si="17"/>
        <v>19.909013593045771</v>
      </c>
      <c r="O125" s="56">
        <f t="shared" si="18"/>
        <v>97.566988899552229</v>
      </c>
      <c r="P125" s="57">
        <f t="shared" si="19"/>
        <v>100.22343587990522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1.2937257908462083</v>
      </c>
      <c r="K126" s="51">
        <f t="shared" si="11"/>
        <v>1.9899876813879078</v>
      </c>
      <c r="L126" s="55">
        <f t="shared" si="12"/>
        <v>1.1601087516808453E-2</v>
      </c>
      <c r="M126" s="51">
        <f t="shared" si="21"/>
        <v>2.0015887689047163</v>
      </c>
      <c r="N126" s="94">
        <f t="shared" si="17"/>
        <v>19.666441783292864</v>
      </c>
      <c r="O126" s="56">
        <f t="shared" si="18"/>
        <v>97.720950235467654</v>
      </c>
      <c r="P126" s="57">
        <f t="shared" si="19"/>
        <v>100.36649752536215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1.2883357621688918</v>
      </c>
      <c r="K127" s="51">
        <f t="shared" si="11"/>
        <v>1.9906809596259469</v>
      </c>
      <c r="L127" s="55">
        <f t="shared" si="12"/>
        <v>1.1535034220416218E-2</v>
      </c>
      <c r="M127" s="51">
        <f t="shared" si="21"/>
        <v>2.0022159938463631</v>
      </c>
      <c r="N127" s="94">
        <f t="shared" si="17"/>
        <v>19.423869973539972</v>
      </c>
      <c r="O127" s="56">
        <f t="shared" si="18"/>
        <v>97.877069904978867</v>
      </c>
      <c r="P127" s="57">
        <f t="shared" si="19"/>
        <v>100.51155543928763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1.2828779962804628</v>
      </c>
      <c r="K128" s="51">
        <f t="shared" si="11"/>
        <v>1.991382950384305</v>
      </c>
      <c r="L128" s="55">
        <f t="shared" si="12"/>
        <v>1.1468207960036813E-2</v>
      </c>
      <c r="M128" s="51">
        <f t="shared" si="21"/>
        <v>2.0028511583443418</v>
      </c>
      <c r="N128" s="94">
        <f t="shared" si="17"/>
        <v>19.181298163787069</v>
      </c>
      <c r="O128" s="56">
        <f t="shared" si="18"/>
        <v>98.035405692219172</v>
      </c>
      <c r="P128" s="57">
        <f t="shared" si="19"/>
        <v>100.65866317777474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1.2773507689643016</v>
      </c>
      <c r="K129" s="51">
        <f t="shared" si="11"/>
        <v>1.9920938754358017</v>
      </c>
      <c r="L129" s="55">
        <f t="shared" si="12"/>
        <v>1.140059082258464E-2</v>
      </c>
      <c r="M129" s="51">
        <f t="shared" si="21"/>
        <v>2.0034944662583865</v>
      </c>
      <c r="N129" s="94">
        <f t="shared" si="17"/>
        <v>18.938726354034173</v>
      </c>
      <c r="O129" s="56">
        <f t="shared" si="18"/>
        <v>98.196017684116299</v>
      </c>
      <c r="P129" s="57">
        <f t="shared" si="19"/>
        <v>100.80787644326169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1.2717522893205828</v>
      </c>
      <c r="K130" s="51">
        <f t="shared" ref="K130:K193" si="22">+$I$14+$I$13*J130</f>
        <v>1.992813965130209</v>
      </c>
      <c r="L130" s="55">
        <f t="shared" ref="L130:L193" si="23">SQRT(2*$I$20*$I$17)*SQRT((1/$I$2)+((J130-$I$11)^2/$I$8))</f>
        <v>1.1332164285823485E-2</v>
      </c>
      <c r="M130" s="51">
        <f t="shared" si="21"/>
        <v>2.0041461294160325</v>
      </c>
      <c r="N130" s="94">
        <f t="shared" si="17"/>
        <v>18.696154544281281</v>
      </c>
      <c r="O130" s="56">
        <f t="shared" si="18"/>
        <v>98.358968393059484</v>
      </c>
      <c r="P130" s="57">
        <f t="shared" si="19"/>
        <v>100.95925319984185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1.2660806962827338</v>
      </c>
      <c r="K131" s="51">
        <f t="shared" si="22"/>
        <v>1.9935434588423118</v>
      </c>
      <c r="L131" s="55">
        <f t="shared" si="23"/>
        <v>1.1262909191881781E-2</v>
      </c>
      <c r="M131" s="51">
        <f t="shared" si="21"/>
        <v>2.0048063680341937</v>
      </c>
      <c r="N131" s="94">
        <f t="shared" si="17"/>
        <v>18.453582734528371</v>
      </c>
      <c r="O131" s="56">
        <f t="shared" si="18"/>
        <v>98.524322887789182</v>
      </c>
      <c r="P131" s="57">
        <f t="shared" si="19"/>
        <v>101.11285379639082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1.2603340549034028</v>
      </c>
      <c r="K132" s="51">
        <f t="shared" si="22"/>
        <v>1.994282605449615</v>
      </c>
      <c r="L132" s="55">
        <f t="shared" si="23"/>
        <v>1.1192805719443694E-2</v>
      </c>
      <c r="M132" s="51">
        <f t="shared" si="21"/>
        <v>2.0054754111690585</v>
      </c>
      <c r="N132" s="94">
        <f t="shared" si="17"/>
        <v>18.211010924775479</v>
      </c>
      <c r="O132" s="56">
        <f t="shared" si="18"/>
        <v>98.692148933177535</v>
      </c>
      <c r="P132" s="57">
        <f t="shared" si="19"/>
        <v>101.26874109815368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1.2545103523913901</v>
      </c>
      <c r="K133" s="51">
        <f t="shared" si="22"/>
        <v>1.995031663842084</v>
      </c>
      <c r="L133" s="55">
        <f t="shared" si="23"/>
        <v>1.1121833354550928E-2</v>
      </c>
      <c r="M133" s="51">
        <f t="shared" si="21"/>
        <v>2.0061534971966348</v>
      </c>
      <c r="N133" s="94">
        <f t="shared" si="17"/>
        <v>17.96843911502258</v>
      </c>
      <c r="O133" s="56">
        <f t="shared" si="18"/>
        <v>98.862517139630498</v>
      </c>
      <c r="P133" s="57">
        <f t="shared" si="19"/>
        <v>101.42698062750161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1.2486074938792335</v>
      </c>
      <c r="K134" s="51">
        <f t="shared" si="22"/>
        <v>1.9957909034665269</v>
      </c>
      <c r="L134" s="55">
        <f t="shared" si="23"/>
        <v>1.1049970859948709E-2</v>
      </c>
      <c r="M134" s="51">
        <f t="shared" si="21"/>
        <v>2.0068408743264756</v>
      </c>
      <c r="N134" s="94">
        <f t="shared" si="17"/>
        <v>17.725867305269684</v>
      </c>
      <c r="O134" s="56">
        <f t="shared" si="18"/>
        <v>99.035501122915207</v>
      </c>
      <c r="P134" s="57">
        <f t="shared" si="19"/>
        <v>101.58764071462825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1.2426232978991774</v>
      </c>
      <c r="K135" s="51">
        <f t="shared" si="22"/>
        <v>1.9965606049084867</v>
      </c>
      <c r="L135" s="55">
        <f t="shared" si="23"/>
        <v>1.0977196242908219E-2</v>
      </c>
      <c r="M135" s="51">
        <f t="shared" si="21"/>
        <v>2.0075378011513951</v>
      </c>
      <c r="N135" s="94">
        <f t="shared" si="17"/>
        <v>17.483295495516792</v>
      </c>
      <c r="O135" s="56">
        <f t="shared" si="18"/>
        <v>99.211177675291168</v>
      </c>
      <c r="P135" s="57">
        <f t="shared" si="19"/>
        <v>101.7507926590453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1.2365554915430743</v>
      </c>
      <c r="K136" s="51">
        <f t="shared" si="22"/>
        <v>1.9973410605147852</v>
      </c>
      <c r="L136" s="55">
        <f t="shared" si="23"/>
        <v>1.0903486721457504E-2</v>
      </c>
      <c r="M136" s="51">
        <f t="shared" si="21"/>
        <v>2.0082445472362429</v>
      </c>
      <c r="N136" s="94">
        <f t="shared" si="17"/>
        <v>17.240723685763886</v>
      </c>
      <c r="O136" s="56">
        <f t="shared" si="18"/>
        <v>99.389626948917325</v>
      </c>
      <c r="P136" s="57">
        <f t="shared" si="19"/>
        <v>101.91651090281282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1.2304017052793508</v>
      </c>
      <c r="K137" s="51">
        <f t="shared" si="22"/>
        <v>1.9981325750601788</v>
      </c>
      <c r="L137" s="55">
        <f t="shared" si="23"/>
        <v>1.0828818688953018E-2</v>
      </c>
      <c r="M137" s="51">
        <f t="shared" si="21"/>
        <v>2.0089613937491317</v>
      </c>
      <c r="N137" s="94">
        <f t="shared" si="17"/>
        <v>16.99815187601099</v>
      </c>
      <c r="O137" s="56">
        <f t="shared" si="18"/>
        <v>99.570932652599581</v>
      </c>
      <c r="P137" s="57">
        <f t="shared" si="19"/>
        <v>102.08487321654496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1.2241594673974519</v>
      </c>
      <c r="K138" s="51">
        <f t="shared" si="22"/>
        <v>1.9989354664619254</v>
      </c>
      <c r="L138" s="55">
        <f t="shared" si="23"/>
        <v>1.0753167676925463E-2</v>
      </c>
      <c r="M138" s="51">
        <f t="shared" si="21"/>
        <v>2.0096886341388509</v>
      </c>
      <c r="N138" s="94">
        <f t="shared" si="17"/>
        <v>16.755580066258091</v>
      </c>
      <c r="O138" s="56">
        <f t="shared" si="18"/>
        <v>99.755182263056156</v>
      </c>
      <c r="P138" s="57">
        <f t="shared" si="19"/>
        <v>102.25596089933337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1.2178261980471756</v>
      </c>
      <c r="K139" s="51">
        <f t="shared" si="22"/>
        <v>1.99975006654646</v>
      </c>
      <c r="L139" s="55">
        <f t="shared" si="23"/>
        <v>1.0676508316136158E-2</v>
      </c>
      <c r="M139" s="51">
        <f t="shared" si="21"/>
        <v>2.010426574862596</v>
      </c>
      <c r="N139" s="94">
        <f t="shared" si="17"/>
        <v>16.513008256505202</v>
      </c>
      <c r="O139" s="56">
        <f t="shared" si="18"/>
        <v>99.942467251999929</v>
      </c>
      <c r="P139" s="57">
        <f t="shared" si="19"/>
        <v>102.42985899385776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1.211399202836914</v>
      </c>
      <c r="K140" s="51">
        <f t="shared" si="22"/>
        <v>2.0005767218728052</v>
      </c>
      <c r="L140" s="55">
        <f t="shared" si="23"/>
        <v>1.0598814295784379E-2</v>
      </c>
      <c r="M140" s="51">
        <f t="shared" si="21"/>
        <v>2.0111755361685897</v>
      </c>
      <c r="N140" s="94">
        <f t="shared" si="17"/>
        <v>16.270436446752299</v>
      </c>
      <c r="O140" s="56">
        <f t="shared" si="18"/>
        <v>100.13288333047291</v>
      </c>
      <c r="P140" s="57">
        <f t="shared" si="19"/>
        <v>102.6066565180884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1.2048756659510504</v>
      </c>
      <c r="K141" s="51">
        <f t="shared" si="22"/>
        <v>2.0014157946178259</v>
      </c>
      <c r="L141" s="55">
        <f t="shared" si="23"/>
        <v>1.0520058320812632E-2</v>
      </c>
      <c r="M141" s="51">
        <f t="shared" si="21"/>
        <v>2.0119358529386386</v>
      </c>
      <c r="N141" s="94">
        <f t="shared" si="17"/>
        <v>16.027864636999404</v>
      </c>
      <c r="O141" s="56">
        <f t="shared" si="18"/>
        <v>100.32653071202364</v>
      </c>
      <c r="P141" s="57">
        <f t="shared" si="19"/>
        <v>102.78644671513433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1.1982526427425046</v>
      </c>
      <c r="K142" s="51">
        <f t="shared" si="22"/>
        <v>2.0022676635289942</v>
      </c>
      <c r="L142" s="55">
        <f t="shared" si="23"/>
        <v>1.0440212067265529E-2</v>
      </c>
      <c r="M142" s="51">
        <f t="shared" si="21"/>
        <v>2.0127078755962597</v>
      </c>
      <c r="N142" s="94">
        <f t="shared" si="17"/>
        <v>15.785292827246508</v>
      </c>
      <c r="O142" s="56">
        <f t="shared" si="18"/>
        <v>100.52351439648916</v>
      </c>
      <c r="P142" s="57">
        <f t="shared" si="19"/>
        <v>102.96932732297363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1.1915270517516561</v>
      </c>
      <c r="K143" s="51">
        <f t="shared" si="22"/>
        <v>2.0031327249509365</v>
      </c>
      <c r="L143" s="55">
        <f t="shared" si="23"/>
        <v>1.0359246135670415E-2</v>
      </c>
      <c r="M143" s="51">
        <f t="shared" si="21"/>
        <v>2.0134919710866068</v>
      </c>
      <c r="N143" s="94">
        <f t="shared" si="17"/>
        <v>15.542721017493612</v>
      </c>
      <c r="O143" s="56">
        <f t="shared" si="18"/>
        <v>100.7239444763417</v>
      </c>
      <c r="P143" s="57">
        <f t="shared" si="19"/>
        <v>103.15540086598915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1.1846956660974994</v>
      </c>
      <c r="K144" s="51">
        <f t="shared" si="22"/>
        <v>2.0040113939327195</v>
      </c>
      <c r="L144" s="55">
        <f t="shared" si="23"/>
        <v>1.0277130002424037E-2</v>
      </c>
      <c r="M144" s="51">
        <f t="shared" si="21"/>
        <v>2.0142885239351438</v>
      </c>
      <c r="N144" s="94">
        <f t="shared" si="17"/>
        <v>15.300149207740711</v>
      </c>
      <c r="O144" s="56">
        <f t="shared" si="18"/>
        <v>100.92793646777429</v>
      </c>
      <c r="P144" s="57">
        <f t="shared" si="19"/>
        <v>103.34477497045977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1.1777551041808301</v>
      </c>
      <c r="K145" s="51">
        <f t="shared" si="22"/>
        <v>2.0049041054236327</v>
      </c>
      <c r="L145" s="55">
        <f t="shared" si="23"/>
        <v>1.0193831969191092E-2</v>
      </c>
      <c r="M145" s="51">
        <f t="shared" si="21"/>
        <v>2.0150979373928237</v>
      </c>
      <c r="N145" s="94">
        <f t="shared" si="17"/>
        <v>15.057577397987812</v>
      </c>
      <c r="O145" s="56">
        <f t="shared" si="18"/>
        <v>101.13561166895522</v>
      </c>
      <c r="P145" s="57">
        <f t="shared" si="19"/>
        <v>103.53756270640658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1.1707018196324133</v>
      </c>
      <c r="K146" s="51">
        <f t="shared" si="22"/>
        <v>2.0058113155660746</v>
      </c>
      <c r="L146" s="55">
        <f t="shared" si="23"/>
        <v>1.0109319110348351E-2</v>
      </c>
      <c r="M146" s="51">
        <f t="shared" si="21"/>
        <v>2.0159206346764229</v>
      </c>
      <c r="N146" s="94">
        <f t="shared" si="17"/>
        <v>14.815005588234916</v>
      </c>
      <c r="O146" s="56">
        <f t="shared" si="18"/>
        <v>101.34709754815424</v>
      </c>
      <c r="P146" s="57">
        <f t="shared" si="19"/>
        <v>103.73388295848066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1.1635320904313391</v>
      </c>
      <c r="K147" s="51">
        <f t="shared" si="22"/>
        <v>2.0067335030951794</v>
      </c>
      <c r="L147" s="55">
        <f t="shared" si="23"/>
        <v>1.0023557218543923E-2</v>
      </c>
      <c r="M147" s="51">
        <f t="shared" si="21"/>
        <v>2.0167570603137235</v>
      </c>
      <c r="N147" s="94">
        <f t="shared" si="17"/>
        <v>14.572433778482015</v>
      </c>
      <c r="O147" s="56">
        <f t="shared" si="18"/>
        <v>101.56252816477043</v>
      </c>
      <c r="P147" s="57">
        <f t="shared" si="19"/>
        <v>103.93386082890164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1.1562420071099762</v>
      </c>
      <c r="K148" s="51">
        <f t="shared" si="22"/>
        <v>2.0076711708559212</v>
      </c>
      <c r="L148" s="55">
        <f t="shared" si="23"/>
        <v>9.9365107484869677E-3</v>
      </c>
      <c r="M148" s="51">
        <f t="shared" si="21"/>
        <v>2.017607681604408</v>
      </c>
      <c r="N148" s="94">
        <f t="shared" si="17"/>
        <v>14.329861968729118</v>
      </c>
      <c r="O148" s="56">
        <f t="shared" si="18"/>
        <v>101.78204462664785</v>
      </c>
      <c r="P148" s="57">
        <f t="shared" si="19"/>
        <v>104.13762807582823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1.1488274599519483</v>
      </c>
      <c r="K149" s="51">
        <f t="shared" si="22"/>
        <v>2.0086248474497417</v>
      </c>
      <c r="L149" s="55">
        <f t="shared" si="23"/>
        <v>9.8481427591416044E-3</v>
      </c>
      <c r="M149" s="51">
        <f t="shared" si="21"/>
        <v>2.0184729902088834</v>
      </c>
      <c r="N149" s="94">
        <f t="shared" si="17"/>
        <v>14.08729015897622</v>
      </c>
      <c r="O149" s="56">
        <f t="shared" si="18"/>
        <v>102.00579558748117</v>
      </c>
      <c r="P149" s="57">
        <f t="shared" si="19"/>
        <v>104.34532359096866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1.1412841250781747</v>
      </c>
      <c r="K150" s="51">
        <f t="shared" si="22"/>
        <v>2.0095950890241951</v>
      </c>
      <c r="L150" s="55">
        <f t="shared" si="23"/>
        <v>9.7584148545724562E-3</v>
      </c>
      <c r="M150" s="51">
        <f t="shared" si="21"/>
        <v>2.0193535038787678</v>
      </c>
      <c r="N150" s="94">
        <f t="shared" si="17"/>
        <v>13.84471834922333</v>
      </c>
      <c r="O150" s="56">
        <f t="shared" si="18"/>
        <v>102.23393778858498</v>
      </c>
      <c r="P150" s="57">
        <f t="shared" si="19"/>
        <v>104.55709392071817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1.1336074493030277</v>
      </c>
      <c r="K151" s="51">
        <f t="shared" si="22"/>
        <v>2.0105824812207875</v>
      </c>
      <c r="L151" s="55">
        <f t="shared" si="23"/>
        <v>9.6672871237826075E-3</v>
      </c>
      <c r="M151" s="51">
        <f t="shared" si="21"/>
        <v>2.0202497683445699</v>
      </c>
      <c r="N151" s="94">
        <f t="shared" si="17"/>
        <v>13.60214653947043</v>
      </c>
      <c r="O151" s="56">
        <f t="shared" si="18"/>
        <v>102.46663664983787</v>
      </c>
      <c r="P151" s="57">
        <f t="shared" si="19"/>
        <v>104.7730938356796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1.1257926336278063</v>
      </c>
      <c r="K152" s="51">
        <f t="shared" si="22"/>
        <v>2.0115876412980835</v>
      </c>
      <c r="L152" s="55">
        <f t="shared" si="23"/>
        <v>9.5747180800022629E-3</v>
      </c>
      <c r="M152" s="51">
        <f t="shared" si="21"/>
        <v>2.0211623593780859</v>
      </c>
      <c r="N152" s="94">
        <f t="shared" si="17"/>
        <v>13.359574729717535</v>
      </c>
      <c r="O152" s="56">
        <f t="shared" si="18"/>
        <v>102.70406691523128</v>
      </c>
      <c r="P152" s="57">
        <f t="shared" si="19"/>
        <v>104.99348695405611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1.1178346152216756</v>
      </c>
      <c r="K153" s="51">
        <f t="shared" si="22"/>
        <v>2.0126112204493602</v>
      </c>
      <c r="L153" s="55">
        <f t="shared" si="23"/>
        <v>9.4806646000344073E-3</v>
      </c>
      <c r="M153" s="51">
        <f t="shared" si="21"/>
        <v>2.0220918850493947</v>
      </c>
      <c r="N153" s="94">
        <f t="shared" si="17"/>
        <v>13.117002919964634</v>
      </c>
      <c r="O153" s="56">
        <f t="shared" si="18"/>
        <v>102.94641335916366</v>
      </c>
      <c r="P153" s="57">
        <f t="shared" si="19"/>
        <v>105.21844642515424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1.1097280477206546</v>
      </c>
      <c r="K154" s="51">
        <f t="shared" si="22"/>
        <v>2.0136539063365997</v>
      </c>
      <c r="L154" s="55">
        <f t="shared" si="23"/>
        <v>9.3850818644500636E-3</v>
      </c>
      <c r="M154" s="51">
        <f t="shared" si="21"/>
        <v>2.0230389882010495</v>
      </c>
      <c r="N154" s="94">
        <f t="shared" si="17"/>
        <v>12.874431110211738</v>
      </c>
      <c r="O154" s="56">
        <f t="shared" si="18"/>
        <v>103.19387156043898</v>
      </c>
      <c r="P154" s="57">
        <f t="shared" si="19"/>
        <v>105.44815568009709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1.101467279652657</v>
      </c>
      <c r="K155" s="51">
        <f t="shared" si="22"/>
        <v>2.0147164258655095</v>
      </c>
      <c r="L155" s="55">
        <f t="shared" si="23"/>
        <v>9.2879232996597397E-3</v>
      </c>
      <c r="M155" s="51">
        <f t="shared" si="21"/>
        <v>2.0240043491651694</v>
      </c>
      <c r="N155" s="94">
        <f t="shared" si="17"/>
        <v>12.631859300458837</v>
      </c>
      <c r="O155" s="56">
        <f t="shared" si="18"/>
        <v>103.44664875187148</v>
      </c>
      <c r="P155" s="57">
        <f t="shared" si="19"/>
        <v>105.68280925784198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1.0930463307705367</v>
      </c>
      <c r="K156" s="51">
        <f t="shared" si="22"/>
        <v>2.0157995482296229</v>
      </c>
      <c r="L156" s="55">
        <f t="shared" si="23"/>
        <v>9.1891405231826189E-3</v>
      </c>
      <c r="M156" s="51">
        <f t="shared" si="21"/>
        <v>2.0249886887528055</v>
      </c>
      <c r="N156" s="94">
        <f t="shared" si="17"/>
        <v>12.389287490705943</v>
      </c>
      <c r="O156" s="56">
        <f t="shared" si="18"/>
        <v>103.70496475449492</v>
      </c>
      <c r="P156" s="57">
        <f t="shared" si="19"/>
        <v>105.92261371576426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1.0844588660448953</v>
      </c>
      <c r="K157" s="51">
        <f t="shared" si="22"/>
        <v>2.0169040882554063</v>
      </c>
      <c r="L157" s="55">
        <f t="shared" si="23"/>
        <v>9.0886832938058427E-3</v>
      </c>
      <c r="M157" s="51">
        <f t="shared" si="21"/>
        <v>2.0259927715492121</v>
      </c>
      <c r="N157" s="94">
        <f t="shared" si="17"/>
        <v>12.146715680953044</v>
      </c>
      <c r="O157" s="56">
        <f t="shared" si="18"/>
        <v>103.96905300664378</v>
      </c>
      <c r="P157" s="57">
        <f t="shared" si="19"/>
        <v>106.16778863543094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1.0756981670333516</v>
      </c>
      <c r="K158" s="51">
        <f t="shared" si="22"/>
        <v>2.0180309100848106</v>
      </c>
      <c r="L158" s="55">
        <f t="shared" si="23"/>
        <v>8.9864994687940368E-3</v>
      </c>
      <c r="M158" s="51">
        <f t="shared" si="21"/>
        <v>2.0270174095536047</v>
      </c>
      <c r="N158" s="94">
        <f t="shared" si="17"/>
        <v>11.904143871200146</v>
      </c>
      <c r="O158" s="56">
        <f t="shared" si="18"/>
        <v>104.2391616996518</v>
      </c>
      <c r="P158" s="57">
        <f t="shared" si="19"/>
        <v>106.41856773577541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1.0667571003021361</v>
      </c>
      <c r="K159" s="51">
        <f t="shared" si="22"/>
        <v>2.0191809312369604</v>
      </c>
      <c r="L159" s="55">
        <f t="shared" si="23"/>
        <v>8.8825349708993324E-3</v>
      </c>
      <c r="M159" s="51">
        <f t="shared" si="21"/>
        <v>2.0280634662078598</v>
      </c>
      <c r="N159" s="94">
        <f t="shared" si="17"/>
        <v>11.66157206144725</v>
      </c>
      <c r="O159" s="56">
        <f t="shared" si="18"/>
        <v>104.5155550336399</v>
      </c>
      <c r="P159" s="57">
        <f t="shared" si="19"/>
        <v>106.67520010776532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1.0576280825281639</v>
      </c>
      <c r="K160" s="51">
        <f t="shared" si="22"/>
        <v>2.0203551270968085</v>
      </c>
      <c r="L160" s="55">
        <f t="shared" si="23"/>
        <v>8.7767337686683496E-3</v>
      </c>
      <c r="M160" s="51">
        <f t="shared" si="21"/>
        <v>2.0291318608654767</v>
      </c>
      <c r="N160" s="94">
        <f t="shared" si="17"/>
        <v>11.419000251694353</v>
      </c>
      <c r="O160" s="56">
        <f t="shared" si="18"/>
        <v>104.79851460889004</v>
      </c>
      <c r="P160" s="57">
        <f t="shared" si="19"/>
        <v>106.93795158686274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1.0483030418538439</v>
      </c>
      <c r="K161" s="51">
        <f t="shared" si="22"/>
        <v>2.0215545358857714</v>
      </c>
      <c r="L161" s="55">
        <f t="shared" si="23"/>
        <v>8.6690378744878806E-3</v>
      </c>
      <c r="M161" s="51">
        <f t="shared" si="21"/>
        <v>2.0302235737602592</v>
      </c>
      <c r="N161" s="94">
        <f t="shared" si="17"/>
        <v>11.176428441941455</v>
      </c>
      <c r="O161" s="56">
        <f t="shared" si="18"/>
        <v>105.08834097067175</v>
      </c>
      <c r="P161" s="57">
        <f t="shared" si="19"/>
        <v>107.20710628219516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1.0387733750011574</v>
      </c>
      <c r="K162" s="51">
        <f t="shared" si="22"/>
        <v>2.0227802641778183</v>
      </c>
      <c r="L162" s="55">
        <f t="shared" si="23"/>
        <v>8.5593873660110321E-3</v>
      </c>
      <c r="M162" s="51">
        <f t="shared" si="21"/>
        <v>2.0313396515438296</v>
      </c>
      <c r="N162" s="94">
        <f t="shared" si="17"/>
        <v>10.933856632188556</v>
      </c>
      <c r="O162" s="56">
        <f t="shared" si="18"/>
        <v>105.38535532819334</v>
      </c>
      <c r="P162" s="57">
        <f t="shared" si="19"/>
        <v>107.48296828446728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1.0290298995740221</v>
      </c>
      <c r="K163" s="51">
        <f t="shared" si="22"/>
        <v>2.0240334930344535</v>
      </c>
      <c r="L163" s="55">
        <f t="shared" si="23"/>
        <v>8.4477204381332421E-3</v>
      </c>
      <c r="M163" s="51">
        <f t="shared" si="21"/>
        <v>2.0324812134725865</v>
      </c>
      <c r="N163" s="94">
        <f t="shared" si="17"/>
        <v>10.691284822435664</v>
      </c>
      <c r="O163" s="56">
        <f t="shared" si="18"/>
        <v>105.68990147165793</v>
      </c>
      <c r="P163" s="57">
        <f t="shared" si="19"/>
        <v>107.76586357835767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1.0190628008862062</v>
      </c>
      <c r="K164" s="51">
        <f t="shared" si="22"/>
        <v>2.0253154848438348</v>
      </c>
      <c r="L164" s="55">
        <f t="shared" si="23"/>
        <v>8.3339734946372406E-3</v>
      </c>
      <c r="M164" s="51">
        <f t="shared" si="21"/>
        <v>2.0336494583384721</v>
      </c>
      <c r="N164" s="94">
        <f t="shared" si="17"/>
        <v>10.448713012682765</v>
      </c>
      <c r="O164" s="56">
        <f t="shared" si="18"/>
        <v>106.00234791533461</v>
      </c>
      <c r="P164" s="57">
        <f t="shared" si="19"/>
        <v>108.05614218959211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1.0088615725430534</v>
      </c>
      <c r="K165" s="51">
        <f t="shared" si="22"/>
        <v>2.0266275909632956</v>
      </c>
      <c r="L165" s="55">
        <f t="shared" si="23"/>
        <v>8.2180812911222846E-3</v>
      </c>
      <c r="M165" s="51">
        <f t="shared" si="21"/>
        <v>2.0348456722544177</v>
      </c>
      <c r="N165" s="94">
        <f t="shared" si="17"/>
        <v>10.206141202929865</v>
      </c>
      <c r="O165" s="56">
        <f t="shared" si="18"/>
        <v>106.32309029923977</v>
      </c>
      <c r="P165" s="57">
        <f t="shared" si="19"/>
        <v>108.35418060223662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0.99841494987529089</v>
      </c>
      <c r="K166" s="51">
        <f t="shared" si="22"/>
        <v>2.0279712602812432</v>
      </c>
      <c r="L166" s="55">
        <f t="shared" si="23"/>
        <v>8.099977144038947E-3</v>
      </c>
      <c r="M166" s="51">
        <f t="shared" si="21"/>
        <v>2.0360712374252823</v>
      </c>
      <c r="N166" s="94">
        <f t="shared" si="17"/>
        <v>9.9635693931769715</v>
      </c>
      <c r="O166" s="56">
        <f t="shared" si="18"/>
        <v>106.65255408761725</v>
      </c>
      <c r="P166" s="57">
        <f t="shared" si="19"/>
        <v>108.66038448822462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0.98771083516757341</v>
      </c>
      <c r="K167" s="51">
        <f t="shared" si="22"/>
        <v>2.0293480488344406</v>
      </c>
      <c r="L167" s="55">
        <f t="shared" si="23"/>
        <v>7.9795932247829302E-3</v>
      </c>
      <c r="M167" s="51">
        <f t="shared" si="21"/>
        <v>2.0373276420592235</v>
      </c>
      <c r="N167" s="94">
        <f t="shared" si="17"/>
        <v>9.7209975834240723</v>
      </c>
      <c r="O167" s="56">
        <f t="shared" si="18"/>
        <v>106.9911976091345</v>
      </c>
      <c r="P167" s="57">
        <f t="shared" si="19"/>
        <v>108.97519179898258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0.97673621343731531</v>
      </c>
      <c r="K168" s="51">
        <f t="shared" si="22"/>
        <v>2.0307596306407341</v>
      </c>
      <c r="L168" s="55">
        <f t="shared" si="23"/>
        <v>7.85686096314662E-3</v>
      </c>
      <c r="M168" s="51">
        <f t="shared" si="21"/>
        <v>2.0386164916038805</v>
      </c>
      <c r="N168" s="94">
        <f t="shared" ref="N168:N204" si="24">10^$J168</f>
        <v>9.4784257736711748</v>
      </c>
      <c r="O168" s="56">
        <f t="shared" ref="O168:O204" si="25">10^K168</f>
        <v>107.33951549181586</v>
      </c>
      <c r="P168" s="57">
        <f t="shared" ref="P168:P204" si="26">10^M168</f>
        <v>109.29907627860847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0.96547705729344269</v>
      </c>
      <c r="K169" s="51">
        <f t="shared" si="22"/>
        <v>2.0322078099363439</v>
      </c>
      <c r="L169" s="55">
        <f t="shared" si="23"/>
        <v>7.7317115913683064E-3</v>
      </c>
      <c r="M169" s="51">
        <f t="shared" ref="M169:M204" si="28">+$I$14+$I$13*J169+L169</f>
        <v>2.0399395215277121</v>
      </c>
      <c r="N169" s="94">
        <f t="shared" si="24"/>
        <v>9.2358539639182773</v>
      </c>
      <c r="O169" s="56">
        <f t="shared" si="25"/>
        <v>107.69804255555077</v>
      </c>
      <c r="P169" s="57">
        <f t="shared" si="26"/>
        <v>109.63255146980248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0.95391821913066233</v>
      </c>
      <c r="K170" s="51">
        <f t="shared" si="22"/>
        <v>2.0336945350420925</v>
      </c>
      <c r="L170" s="55">
        <f t="shared" si="23"/>
        <v>7.6040768690695303E-3</v>
      </c>
      <c r="M170" s="51">
        <f t="shared" si="28"/>
        <v>2.041298611911162</v>
      </c>
      <c r="N170" s="94">
        <f t="shared" si="24"/>
        <v>8.9932821541653816</v>
      </c>
      <c r="O170" s="56">
        <f t="shared" si="25"/>
        <v>108.06735823696468</v>
      </c>
      <c r="P170" s="57">
        <f t="shared" si="26"/>
        <v>109.97617529825017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0.94204330858082352</v>
      </c>
      <c r="K171" s="51">
        <f t="shared" si="22"/>
        <v>2.035221914125902</v>
      </c>
      <c r="L171" s="55">
        <f t="shared" si="23"/>
        <v>7.4738900412206757E-3</v>
      </c>
      <c r="M171" s="51">
        <f t="shared" si="28"/>
        <v>2.0426958041671228</v>
      </c>
      <c r="N171" s="94">
        <f t="shared" si="24"/>
        <v>8.7507103444124787</v>
      </c>
      <c r="O171" s="56">
        <f t="shared" si="25"/>
        <v>108.4480916360469</v>
      </c>
      <c r="P171" s="57">
        <f t="shared" si="26"/>
        <v>110.33055533912128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0.92983455273379279</v>
      </c>
      <c r="K172" s="51">
        <f t="shared" si="22"/>
        <v>2.0367922331815129</v>
      </c>
      <c r="L172" s="55">
        <f t="shared" si="23"/>
        <v>7.3410870968576621E-3</v>
      </c>
      <c r="M172" s="51">
        <f t="shared" si="28"/>
        <v>2.0441333202783705</v>
      </c>
      <c r="N172" s="94">
        <f t="shared" si="24"/>
        <v>8.5081385346595848</v>
      </c>
      <c r="O172" s="56">
        <f t="shared" si="25"/>
        <v>108.84092729188131</v>
      </c>
      <c r="P172" s="57">
        <f t="shared" si="26"/>
        <v>110.69635489175855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0.91727263613635857</v>
      </c>
      <c r="K173" s="51">
        <f t="shared" si="22"/>
        <v>2.0384079766082066</v>
      </c>
      <c r="L173" s="55">
        <f t="shared" si="23"/>
        <v>7.2056084168540474E-3</v>
      </c>
      <c r="M173" s="51">
        <f t="shared" si="28"/>
        <v>2.0456135850250607</v>
      </c>
      <c r="N173" s="94">
        <f t="shared" si="24"/>
        <v>8.2655667249066873</v>
      </c>
      <c r="O173" s="56">
        <f t="shared" si="25"/>
        <v>109.2466118170147</v>
      </c>
      <c r="P173" s="57">
        <f t="shared" si="26"/>
        <v>111.07430001675714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0.90433651695366657</v>
      </c>
      <c r="K174" s="51">
        <f t="shared" si="22"/>
        <v>2.0400718508565543</v>
      </c>
      <c r="L174" s="55">
        <f t="shared" si="23"/>
        <v>7.0674009263587793E-3</v>
      </c>
      <c r="M174" s="51">
        <f t="shared" si="28"/>
        <v>2.0471392517829132</v>
      </c>
      <c r="N174" s="94">
        <f t="shared" si="24"/>
        <v>8.0229949151537916</v>
      </c>
      <c r="O174" s="56">
        <f t="shared" si="25"/>
        <v>109.66596154755895</v>
      </c>
      <c r="P174" s="57">
        <f t="shared" si="26"/>
        <v>111.46518772513926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0.89100321490029089</v>
      </c>
      <c r="K175" s="51">
        <f t="shared" si="22"/>
        <v>2.0417868117052249</v>
      </c>
      <c r="L175" s="55">
        <f t="shared" si="23"/>
        <v>6.9264209038974837E-3</v>
      </c>
      <c r="M175" s="51">
        <f t="shared" si="28"/>
        <v>2.0487132326091224</v>
      </c>
      <c r="N175" s="94">
        <f t="shared" si="24"/>
        <v>7.7804231054008923</v>
      </c>
      <c r="O175" s="56">
        <f t="shared" si="25"/>
        <v>110.09987140059499</v>
      </c>
      <c r="P175" s="57">
        <f t="shared" si="26"/>
        <v>111.8698955544769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0.87724756557358519</v>
      </c>
      <c r="K176" s="51">
        <f t="shared" si="22"/>
        <v>2.0435560958592101</v>
      </c>
      <c r="L176" s="55">
        <f t="shared" si="23"/>
        <v>6.7826376478351737E-3</v>
      </c>
      <c r="M176" s="51">
        <f t="shared" si="28"/>
        <v>2.0503387335070453</v>
      </c>
      <c r="N176" s="94">
        <f t="shared" si="24"/>
        <v>7.5378512956479975</v>
      </c>
      <c r="O176" s="56">
        <f t="shared" si="25"/>
        <v>110.54932517380317</v>
      </c>
      <c r="P176" s="57">
        <f t="shared" si="26"/>
        <v>112.28939282458961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0.86304193459231227</v>
      </c>
      <c r="K177" s="51">
        <f t="shared" si="22"/>
        <v>2.045383257717992</v>
      </c>
      <c r="L177" s="55">
        <f t="shared" si="23"/>
        <v>6.6360382663421145E-3</v>
      </c>
      <c r="M177" s="51">
        <f t="shared" si="28"/>
        <v>2.052019295984334</v>
      </c>
      <c r="N177" s="94">
        <f t="shared" si="24"/>
        <v>7.2952794858950973</v>
      </c>
      <c r="O177" s="56">
        <f t="shared" si="25"/>
        <v>111.01540757716798</v>
      </c>
      <c r="P177" s="57">
        <f t="shared" si="26"/>
        <v>112.72475393991326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0.8483558833810585</v>
      </c>
      <c r="K178" s="51">
        <f t="shared" si="22"/>
        <v>2.0472722123631386</v>
      </c>
      <c r="L178" s="55">
        <f t="shared" si="23"/>
        <v>6.4866339452718325E-3</v>
      </c>
      <c r="M178" s="51">
        <f t="shared" si="28"/>
        <v>2.0537588463084107</v>
      </c>
      <c r="N178" s="94">
        <f t="shared" si="24"/>
        <v>7.0527076761422034</v>
      </c>
      <c r="O178" s="56">
        <f t="shared" si="25"/>
        <v>111.49931835666007</v>
      </c>
      <c r="P178" s="57">
        <f t="shared" si="26"/>
        <v>113.17717420231094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0.83315577644061822</v>
      </c>
      <c r="K179" s="51">
        <f t="shared" si="22"/>
        <v>2.0492272860721199</v>
      </c>
      <c r="L179" s="55">
        <f t="shared" si="23"/>
        <v>6.3344681677676646E-3</v>
      </c>
      <c r="M179" s="51">
        <f t="shared" si="28"/>
        <v>2.0555617542398874</v>
      </c>
      <c r="N179" s="94">
        <f t="shared" si="24"/>
        <v>6.810135866389305</v>
      </c>
      <c r="O179" s="56">
        <f t="shared" si="25"/>
        <v>112.00238895985383</v>
      </c>
      <c r="P179" s="57">
        <f t="shared" si="26"/>
        <v>113.64798872452802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0.8174043173634068</v>
      </c>
      <c r="K180" s="51">
        <f t="shared" si="22"/>
        <v>2.0512532759970998</v>
      </c>
      <c r="L180" s="55">
        <f t="shared" si="23"/>
        <v>6.1796275212717628E-3</v>
      </c>
      <c r="M180" s="51">
        <f t="shared" si="28"/>
        <v>2.0574329035183716</v>
      </c>
      <c r="N180" s="94">
        <f t="shared" si="24"/>
        <v>6.5675640566364049</v>
      </c>
      <c r="O180" s="56">
        <f t="shared" si="25"/>
        <v>112.52610231010308</v>
      </c>
      <c r="P180" s="57">
        <f t="shared" si="26"/>
        <v>114.13869520101549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0.80105999749405732</v>
      </c>
      <c r="K181" s="51">
        <f t="shared" si="22"/>
        <v>2.0533555210795158</v>
      </c>
      <c r="L181" s="55">
        <f t="shared" si="23"/>
        <v>6.0222559471185926E-3</v>
      </c>
      <c r="M181" s="51">
        <f t="shared" si="28"/>
        <v>2.0593777770266346</v>
      </c>
      <c r="N181" s="94">
        <f t="shared" si="24"/>
        <v>6.3249922468835091</v>
      </c>
      <c r="O181" s="56">
        <f t="shared" si="25"/>
        <v>113.07211640838682</v>
      </c>
      <c r="P181" s="57">
        <f t="shared" si="26"/>
        <v>114.65098151377464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0.78407643672474125</v>
      </c>
      <c r="K182" s="51">
        <f t="shared" si="22"/>
        <v>2.0555399868385451</v>
      </c>
      <c r="L182" s="55">
        <f t="shared" si="23"/>
        <v>5.8625735850729626E-3</v>
      </c>
      <c r="M182" s="51">
        <f t="shared" si="28"/>
        <v>2.0614025604236179</v>
      </c>
      <c r="N182" s="94">
        <f t="shared" si="24"/>
        <v>6.0824204371306134</v>
      </c>
      <c r="O182" s="56">
        <f t="shared" si="25"/>
        <v>113.64229268303804</v>
      </c>
      <c r="P182" s="57">
        <f t="shared" si="26"/>
        <v>115.18675944594791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0.76640159006675246</v>
      </c>
      <c r="K183" s="51">
        <f t="shared" si="22"/>
        <v>2.0578133674237415</v>
      </c>
      <c r="L183" s="55">
        <f t="shared" si="23"/>
        <v>5.7009017654578355E-3</v>
      </c>
      <c r="M183" s="51">
        <f t="shared" si="28"/>
        <v>2.0635142691891994</v>
      </c>
      <c r="N183" s="94">
        <f t="shared" si="24"/>
        <v>5.8398486273777133</v>
      </c>
      <c r="O183" s="56">
        <f t="shared" si="25"/>
        <v>114.23873027543932</v>
      </c>
      <c r="P183" s="57">
        <f t="shared" si="26"/>
        <v>115.74820617239601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0.74797678580508742</v>
      </c>
      <c r="K184" s="51">
        <f t="shared" si="22"/>
        <v>2.0601832093298711</v>
      </c>
      <c r="L184" s="55">
        <f t="shared" si="23"/>
        <v>5.5376962351827144E-3</v>
      </c>
      <c r="M184" s="51">
        <f t="shared" si="28"/>
        <v>2.0657209055650538</v>
      </c>
      <c r="N184" s="94">
        <f t="shared" si="24"/>
        <v>5.5972768176248175</v>
      </c>
      <c r="O184" s="56">
        <f t="shared" si="25"/>
        <v>114.86380781034379</v>
      </c>
      <c r="P184" s="57">
        <f t="shared" si="26"/>
        <v>116.33781573207658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0.72873555042795535</v>
      </c>
      <c r="K185" s="51">
        <f t="shared" si="22"/>
        <v>2.0626580625372561</v>
      </c>
      <c r="L185" s="55">
        <f t="shared" si="23"/>
        <v>5.3735914024578254E-3</v>
      </c>
      <c r="M185" s="51">
        <f t="shared" si="28"/>
        <v>2.0680316539397139</v>
      </c>
      <c r="N185" s="94">
        <f t="shared" si="24"/>
        <v>5.3547050078719218</v>
      </c>
      <c r="O185" s="56">
        <f t="shared" si="25"/>
        <v>115.52023469041049</v>
      </c>
      <c r="P185" s="57">
        <f t="shared" si="26"/>
        <v>116.9584634129985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0.70860216096694617</v>
      </c>
      <c r="K186" s="51">
        <f t="shared" si="22"/>
        <v>2.0652476667132094</v>
      </c>
      <c r="L186" s="55">
        <f t="shared" si="23"/>
        <v>5.2094592701014911E-3</v>
      </c>
      <c r="M186" s="51">
        <f t="shared" si="28"/>
        <v>2.0704571259833107</v>
      </c>
      <c r="N186" s="94">
        <f t="shared" si="24"/>
        <v>5.1121331981190226</v>
      </c>
      <c r="O186" s="56">
        <f t="shared" si="25"/>
        <v>116.21111463121174</v>
      </c>
      <c r="P186" s="57">
        <f t="shared" si="26"/>
        <v>117.61348696585155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0.68748984515902878</v>
      </c>
      <c r="K187" s="51">
        <f t="shared" si="22"/>
        <v>2.067963182711452</v>
      </c>
      <c r="L187" s="55">
        <f t="shared" si="23"/>
        <v>5.0464877858357945E-3</v>
      </c>
      <c r="M187" s="51">
        <f t="shared" si="28"/>
        <v>2.0730096704972878</v>
      </c>
      <c r="N187" s="94">
        <f t="shared" si="24"/>
        <v>4.8695613883661224</v>
      </c>
      <c r="O187" s="56">
        <f t="shared" si="25"/>
        <v>116.94002509817855</v>
      </c>
      <c r="P187" s="57">
        <f t="shared" si="26"/>
        <v>118.30678989738323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0.66529852133783385</v>
      </c>
      <c r="K188" s="51">
        <f t="shared" si="22"/>
        <v>2.0708174832726458</v>
      </c>
      <c r="L188" s="55">
        <f t="shared" si="23"/>
        <v>4.8862844672500922E-3</v>
      </c>
      <c r="M188" s="51">
        <f t="shared" si="28"/>
        <v>2.075703767739896</v>
      </c>
      <c r="N188" s="94">
        <f t="shared" si="24"/>
        <v>4.6269895786132267</v>
      </c>
      <c r="O188" s="56">
        <f t="shared" si="25"/>
        <v>117.7111176465304</v>
      </c>
      <c r="P188" s="57">
        <f t="shared" si="26"/>
        <v>119.04297389260277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0.64191192915936057</v>
      </c>
      <c r="K189" s="51">
        <f t="shared" si="22"/>
        <v>2.0738255220772381</v>
      </c>
      <c r="L189" s="55">
        <f t="shared" si="23"/>
        <v>4.7310120628547914E-3</v>
      </c>
      <c r="M189" s="51">
        <f t="shared" si="28"/>
        <v>2.0785565341400929</v>
      </c>
      <c r="N189" s="94">
        <f t="shared" si="24"/>
        <v>4.3844177688603283</v>
      </c>
      <c r="O189" s="56">
        <f t="shared" si="25"/>
        <v>118.52924609401978</v>
      </c>
      <c r="P189" s="57">
        <f t="shared" si="26"/>
        <v>119.82750981011588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0.61719394285447693</v>
      </c>
      <c r="K190" s="51">
        <f t="shared" si="22"/>
        <v>2.0770048079436463</v>
      </c>
      <c r="L190" s="55">
        <f t="shared" si="23"/>
        <v>4.5835630191188711E-3</v>
      </c>
      <c r="M190" s="51">
        <f t="shared" si="28"/>
        <v>2.0815883709627649</v>
      </c>
      <c r="N190" s="94">
        <f t="shared" si="24"/>
        <v>4.1418459591074361</v>
      </c>
      <c r="O190" s="56">
        <f t="shared" si="25"/>
        <v>119.4001322820795</v>
      </c>
      <c r="P190" s="57">
        <f t="shared" si="26"/>
        <v>120.66695983525214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0.59098377054738993</v>
      </c>
      <c r="K191" s="51">
        <f t="shared" si="22"/>
        <v>2.0803760223032715</v>
      </c>
      <c r="L191" s="55">
        <f t="shared" si="23"/>
        <v>4.4477773392692758E-3</v>
      </c>
      <c r="M191" s="51">
        <f t="shared" si="28"/>
        <v>2.0848237996425407</v>
      </c>
      <c r="N191" s="94">
        <f t="shared" si="24"/>
        <v>3.8992741493545364</v>
      </c>
      <c r="O191" s="56">
        <f t="shared" si="25"/>
        <v>120.33058340068528</v>
      </c>
      <c r="P191" s="57">
        <f t="shared" si="26"/>
        <v>121.56926742241049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0.56308960963259891</v>
      </c>
      <c r="K192" s="51">
        <f t="shared" si="22"/>
        <v>2.0839638352609229</v>
      </c>
      <c r="L192" s="55">
        <f t="shared" si="23"/>
        <v>4.3287019080617819E-3</v>
      </c>
      <c r="M192" s="51">
        <f t="shared" si="28"/>
        <v>2.0882925371689844</v>
      </c>
      <c r="N192" s="94">
        <f t="shared" si="24"/>
        <v>3.6567023396016372</v>
      </c>
      <c r="O192" s="56">
        <f t="shared" si="25"/>
        <v>121.32878128833823</v>
      </c>
      <c r="P192" s="57">
        <f t="shared" si="26"/>
        <v>122.54413684848807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0.53328012114583723</v>
      </c>
      <c r="K193" s="51">
        <f t="shared" si="22"/>
        <v>2.0877980021813927</v>
      </c>
      <c r="L193" s="55">
        <f t="shared" si="23"/>
        <v>4.2328758335667118E-3</v>
      </c>
      <c r="M193" s="51">
        <f t="shared" si="28"/>
        <v>2.0920308780149592</v>
      </c>
      <c r="N193" s="94">
        <f t="shared" si="24"/>
        <v>3.4141305298487414</v>
      </c>
      <c r="O193" s="56">
        <f t="shared" si="25"/>
        <v>122.40467416915922</v>
      </c>
      <c r="P193" s="57">
        <f t="shared" si="26"/>
        <v>123.60353115126495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0.50127275659033943</v>
      </c>
      <c r="K194" s="51">
        <f t="shared" ref="K194:K204" si="29">+$I$14+$I$13*J194</f>
        <v>2.0919148651206751</v>
      </c>
      <c r="L194" s="55">
        <f t="shared" ref="L194:L204" si="30">SQRT(2*$I$20*$I$17)*SQRT((1/$I$2)+((J194-$I$11)^2/$I$8))</f>
        <v>4.1686044802907683E-3</v>
      </c>
      <c r="M194" s="51">
        <f t="shared" si="28"/>
        <v>2.0960834696009658</v>
      </c>
      <c r="N194" s="94">
        <f t="shared" si="24"/>
        <v>3.1715587200958417</v>
      </c>
      <c r="O194" s="56">
        <f t="shared" si="25"/>
        <v>123.57051740392396</v>
      </c>
      <c r="P194" s="57">
        <f t="shared" si="26"/>
        <v>124.76232792290249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0.46671743082173822</v>
      </c>
      <c r="K195" s="51">
        <f t="shared" si="29"/>
        <v>2.0963594528581293</v>
      </c>
      <c r="L195" s="55">
        <f t="shared" si="30"/>
        <v>4.1461597910633901E-3</v>
      </c>
      <c r="M195" s="51">
        <f t="shared" si="28"/>
        <v>2.1005056126491928</v>
      </c>
      <c r="N195" s="94">
        <f t="shared" si="24"/>
        <v>2.928986910342946</v>
      </c>
      <c r="O195" s="56">
        <f t="shared" si="25"/>
        <v>124.84163645160963</v>
      </c>
      <c r="P195" s="57">
        <f t="shared" si="26"/>
        <v>126.03919265932527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0.42917312001065777</v>
      </c>
      <c r="K196" s="51">
        <f t="shared" si="29"/>
        <v>2.1011884909218859</v>
      </c>
      <c r="L196" s="55">
        <f t="shared" si="30"/>
        <v>4.1778363433321109E-3</v>
      </c>
      <c r="M196" s="51">
        <f t="shared" si="28"/>
        <v>2.1053663272652181</v>
      </c>
      <c r="N196" s="94">
        <f t="shared" si="24"/>
        <v>2.6864151005900503</v>
      </c>
      <c r="O196" s="56">
        <f t="shared" si="25"/>
        <v>126.23753072806871</v>
      </c>
      <c r="P196" s="57">
        <f t="shared" si="26"/>
        <v>127.45777336543827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0.38807335373634405</v>
      </c>
      <c r="K197" s="51">
        <f t="shared" si="29"/>
        <v>2.1064748400773907</v>
      </c>
      <c r="L197" s="55">
        <f t="shared" si="30"/>
        <v>4.2778408680060089E-3</v>
      </c>
      <c r="M197" s="51">
        <f t="shared" si="28"/>
        <v>2.1107526809453967</v>
      </c>
      <c r="N197" s="94">
        <f t="shared" si="24"/>
        <v>2.443843290837151</v>
      </c>
      <c r="O197" s="56">
        <f t="shared" si="25"/>
        <v>127.7835178771884</v>
      </c>
      <c r="P197" s="57">
        <f t="shared" si="26"/>
        <v>129.04841682140315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0.34267360705407796</v>
      </c>
      <c r="K198" s="51">
        <f t="shared" si="29"/>
        <v>2.1123142628841314</v>
      </c>
      <c r="L198" s="55">
        <f t="shared" si="30"/>
        <v>4.4621387736345141E-3</v>
      </c>
      <c r="M198" s="51">
        <f t="shared" si="28"/>
        <v>2.1167764016577659</v>
      </c>
      <c r="N198" s="94">
        <f t="shared" si="24"/>
        <v>2.2012714810842517</v>
      </c>
      <c r="O198" s="56">
        <f t="shared" si="25"/>
        <v>129.5132682520167</v>
      </c>
      <c r="P198" s="57">
        <f t="shared" si="26"/>
        <v>130.85080586609891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0.29196785044977597</v>
      </c>
      <c r="K199" s="51">
        <f t="shared" si="29"/>
        <v>2.1188361572378693</v>
      </c>
      <c r="L199" s="55">
        <f t="shared" si="30"/>
        <v>4.7486205836681271E-3</v>
      </c>
      <c r="M199" s="51">
        <f t="shared" si="28"/>
        <v>2.1235847778215375</v>
      </c>
      <c r="N199" s="94">
        <f t="shared" si="24"/>
        <v>1.9586996713313598</v>
      </c>
      <c r="O199" s="56">
        <f t="shared" si="25"/>
        <v>131.47287415548462</v>
      </c>
      <c r="P199" s="57">
        <f t="shared" si="26"/>
        <v>132.91829991549704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0.23454964220107938</v>
      </c>
      <c r="K200" s="51">
        <f t="shared" si="29"/>
        <v>2.1262214229997283</v>
      </c>
      <c r="L200" s="55">
        <f t="shared" si="30"/>
        <v>5.1582164551922252E-3</v>
      </c>
      <c r="M200" s="51">
        <f t="shared" si="28"/>
        <v>2.1313796394549205</v>
      </c>
      <c r="N200" s="94">
        <f t="shared" si="24"/>
        <v>1.7161278615784605</v>
      </c>
      <c r="O200" s="56">
        <f t="shared" si="25"/>
        <v>133.7277147234779</v>
      </c>
      <c r="P200" s="57">
        <f t="shared" si="26"/>
        <v>135.3254997070087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0.16836666040009435</v>
      </c>
      <c r="K201" s="51">
        <f t="shared" si="29"/>
        <v>2.1347340346680599</v>
      </c>
      <c r="L201" s="55">
        <f t="shared" si="30"/>
        <v>5.717865465105069E-3</v>
      </c>
      <c r="M201" s="51">
        <f t="shared" si="28"/>
        <v>2.140451900133165</v>
      </c>
      <c r="N201" s="94">
        <f t="shared" si="24"/>
        <v>1.473556051825561</v>
      </c>
      <c r="O201" s="56">
        <f t="shared" si="25"/>
        <v>136.37477110572928</v>
      </c>
      <c r="P201" s="57">
        <f t="shared" si="26"/>
        <v>138.18213551333625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9.025249352864359E-2</v>
      </c>
      <c r="K202" s="51">
        <f t="shared" si="29"/>
        <v>2.1447812635821557</v>
      </c>
      <c r="L202" s="55">
        <f t="shared" si="30"/>
        <v>6.4668640087677124E-3</v>
      </c>
      <c r="M202" s="51">
        <f t="shared" si="28"/>
        <v>2.1512481275909234</v>
      </c>
      <c r="N202" s="94">
        <f t="shared" si="24"/>
        <v>1.2309842420726653</v>
      </c>
      <c r="O202" s="56">
        <f t="shared" si="25"/>
        <v>139.56652443437952</v>
      </c>
      <c r="P202" s="57">
        <f t="shared" si="26"/>
        <v>141.66029034617131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-5.0618006496474036E-3</v>
      </c>
      <c r="K203" s="51">
        <f t="shared" si="29"/>
        <v>2.1570408135556027</v>
      </c>
      <c r="L203" s="55">
        <f t="shared" si="30"/>
        <v>7.4702476699523585E-3</v>
      </c>
      <c r="M203" s="51">
        <f t="shared" si="28"/>
        <v>2.1645110612255549</v>
      </c>
      <c r="N203" s="94">
        <f t="shared" si="24"/>
        <v>0.98841243231976605</v>
      </c>
      <c r="O203" s="56">
        <f t="shared" si="25"/>
        <v>143.56243422306031</v>
      </c>
      <c r="P203" s="57">
        <f t="shared" si="26"/>
        <v>146.05319478594058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-0.12735396627347864</v>
      </c>
      <c r="K204" s="51">
        <f t="shared" si="29"/>
        <v>2.1727703211677771</v>
      </c>
      <c r="L204" s="55">
        <f t="shared" si="30"/>
        <v>8.850566231018344E-3</v>
      </c>
      <c r="M204" s="51">
        <f t="shared" si="28"/>
        <v>2.1816208873987954</v>
      </c>
      <c r="N204" s="97">
        <f t="shared" si="24"/>
        <v>0.74584062256687034</v>
      </c>
      <c r="O204" s="91">
        <f t="shared" si="25"/>
        <v>148.85736298171247</v>
      </c>
      <c r="P204" s="92">
        <f t="shared" si="26"/>
        <v>151.92207636329982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2" zoomScaleNormal="100" workbookViewId="0">
      <selection activeCell="B2" sqref="B2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60L'!P7</f>
        <v>15758.206889405415</v>
      </c>
      <c r="B2" s="48">
        <f>'New Vestas G27 60L'!T7</f>
        <v>99.747593372498528</v>
      </c>
      <c r="C2" s="50">
        <f t="shared" ref="C2:D44" si="0">IF(ISNA(A2),"",LOG10(A2))</f>
        <v>4.1975067980303828</v>
      </c>
      <c r="D2" s="50">
        <f t="shared" si="0"/>
        <v>1.9989024261868313</v>
      </c>
      <c r="E2" s="51">
        <f>IF(C2="","",C2^2)</f>
        <v>17.619063319511277</v>
      </c>
      <c r="F2" s="51">
        <f>IF(D2="","",D2^2)</f>
        <v>3.9956109094156007</v>
      </c>
      <c r="G2" s="52">
        <f>IF(OR(C2="",D2=""),"",C2*D2)</f>
        <v>8.3904065225186493</v>
      </c>
      <c r="H2" s="53" t="s">
        <v>57</v>
      </c>
      <c r="I2" s="54">
        <f>COUNT(C:C)</f>
        <v>43</v>
      </c>
      <c r="J2" s="51">
        <f t="shared" ref="J2:J65" si="1">LOG($I$24+($I$25-$I$24)*(ROW()-2)/100)</f>
        <v>4.1975067980303828</v>
      </c>
      <c r="K2" s="51">
        <f t="shared" ref="K2:K65" si="2">+$I$14+$I$13*J2</f>
        <v>1.9765766511347556</v>
      </c>
      <c r="L2" s="55">
        <f t="shared" ref="L2:L65" si="3">SQRT(2*$I$20*$I$17)*SQRT((1/$I$2)+((J2-$I$11)^2/$I$8))</f>
        <v>1.2888668674492069E-2</v>
      </c>
      <c r="M2" s="51">
        <f t="shared" ref="M2:M65" si="4">+$I$14+$I$13*J2-L2</f>
        <v>1.9636879824602635</v>
      </c>
      <c r="N2" s="94">
        <f>10^$J2</f>
        <v>15758.206889405428</v>
      </c>
      <c r="O2" s="56">
        <f>10^K2</f>
        <v>94.749439849172944</v>
      </c>
      <c r="P2" s="57">
        <f t="shared" ref="P2:P65" si="5">10^M2</f>
        <v>91.97885150743403</v>
      </c>
      <c r="R2" s="47"/>
      <c r="S2" s="47"/>
      <c r="T2" s="47"/>
    </row>
    <row r="3" spans="1:20" ht="12.75" customHeight="1" x14ac:dyDescent="0.35">
      <c r="A3" s="49">
        <f>'New Vestas G27 60L'!P8</f>
        <v>13617.34463367356</v>
      </c>
      <c r="B3" s="48">
        <f>'New Vestas G27 60L'!T8</f>
        <v>95.996428134623116</v>
      </c>
      <c r="C3" s="50">
        <f t="shared" si="0"/>
        <v>4.1340924289150118</v>
      </c>
      <c r="D3" s="50">
        <f t="shared" si="0"/>
        <v>1.982255073974126</v>
      </c>
      <c r="E3" s="51">
        <f t="shared" ref="E3:F44" si="6">IF(C3="","",C3^2)</f>
        <v>17.090720210812421</v>
      </c>
      <c r="F3" s="51">
        <f t="shared" si="6"/>
        <v>3.9293351782961681</v>
      </c>
      <c r="G3" s="52">
        <f t="shared" ref="G3:G44" si="7">IF(OR(C3="",D3=""),"",C3*D3)</f>
        <v>8.1948256934948009</v>
      </c>
      <c r="H3" s="53" t="s">
        <v>58</v>
      </c>
      <c r="I3" s="58">
        <f>SUM(C:C)</f>
        <v>140.51704646054142</v>
      </c>
      <c r="J3" s="51">
        <f t="shared" si="1"/>
        <v>4.1932728316330827</v>
      </c>
      <c r="K3" s="51">
        <f t="shared" si="2"/>
        <v>1.9771212339077917</v>
      </c>
      <c r="L3" s="55">
        <f t="shared" si="3"/>
        <v>1.2836056821066847E-2</v>
      </c>
      <c r="M3" s="51">
        <f t="shared" si="4"/>
        <v>1.9642851770867249</v>
      </c>
      <c r="N3" s="94">
        <f t="shared" ref="N3:N66" si="8">10^$J3</f>
        <v>15605.325496704039</v>
      </c>
      <c r="O3" s="56">
        <f t="shared" ref="O3:O66" si="9">10^K3</f>
        <v>94.868325258856544</v>
      </c>
      <c r="P3" s="57">
        <f t="shared" si="5"/>
        <v>92.105417839414145</v>
      </c>
      <c r="R3" s="47"/>
      <c r="S3" s="47"/>
      <c r="T3" s="47"/>
    </row>
    <row r="4" spans="1:20" ht="12.75" customHeight="1" x14ac:dyDescent="0.35">
      <c r="A4" s="49">
        <f>'New Vestas G27 60L'!P9</f>
        <v>470.06761926483398</v>
      </c>
      <c r="B4" s="48">
        <f>'New Vestas G27 60L'!T9</f>
        <v>147.17769522532859</v>
      </c>
      <c r="C4" s="50">
        <f t="shared" si="0"/>
        <v>2.6721603357256902</v>
      </c>
      <c r="D4" s="50">
        <f t="shared" si="0"/>
        <v>2.1678419976744219</v>
      </c>
      <c r="E4" s="51">
        <f t="shared" si="6"/>
        <v>7.1404408598256337</v>
      </c>
      <c r="F4" s="51">
        <f t="shared" si="6"/>
        <v>4.6995389268810284</v>
      </c>
      <c r="G4" s="52">
        <f t="shared" si="7"/>
        <v>5.7928214003059342</v>
      </c>
      <c r="H4" s="59" t="s">
        <v>59</v>
      </c>
      <c r="I4" s="58">
        <f>SUM(D:D)</f>
        <v>90.134570989181711</v>
      </c>
      <c r="J4" s="51">
        <f t="shared" si="1"/>
        <v>4.1889971812968909</v>
      </c>
      <c r="K4" s="51">
        <f t="shared" si="2"/>
        <v>1.9776711781676473</v>
      </c>
      <c r="L4" s="55">
        <f t="shared" si="3"/>
        <v>1.2782952477958638E-2</v>
      </c>
      <c r="M4" s="51">
        <f t="shared" si="4"/>
        <v>1.9648882256896887</v>
      </c>
      <c r="N4" s="94">
        <f t="shared" si="8"/>
        <v>15452.444104002621</v>
      </c>
      <c r="O4" s="56">
        <f t="shared" si="9"/>
        <v>94.988532490945019</v>
      </c>
      <c r="P4" s="57">
        <f t="shared" si="5"/>
        <v>92.233401562766531</v>
      </c>
      <c r="R4" s="47"/>
      <c r="S4" s="47"/>
      <c r="T4" s="47"/>
    </row>
    <row r="5" spans="1:20" ht="12.75" customHeight="1" x14ac:dyDescent="0.35">
      <c r="A5" s="49">
        <f>'New Vestas G27 60L'!P10</f>
        <v>626.75682568644538</v>
      </c>
      <c r="B5" s="48">
        <f>'New Vestas G27 60L'!T10</f>
        <v>145.28074012362984</v>
      </c>
      <c r="C5" s="50">
        <f t="shared" si="0"/>
        <v>2.7970990723339906</v>
      </c>
      <c r="D5" s="50">
        <f t="shared" si="0"/>
        <v>2.1622080436686786</v>
      </c>
      <c r="E5" s="51">
        <f t="shared" si="6"/>
        <v>7.8237632204516707</v>
      </c>
      <c r="F5" s="51">
        <f t="shared" si="6"/>
        <v>4.6751436241055346</v>
      </c>
      <c r="G5" s="52">
        <f t="shared" si="7"/>
        <v>6.0479101131387534</v>
      </c>
      <c r="H5" s="59" t="s">
        <v>60</v>
      </c>
      <c r="I5" s="58">
        <f>SUM(E:E)</f>
        <v>463.47671902248732</v>
      </c>
      <c r="J5" s="51">
        <f t="shared" si="1"/>
        <v>4.1846790180866922</v>
      </c>
      <c r="K5" s="51">
        <f t="shared" si="2"/>
        <v>1.9782265905339176</v>
      </c>
      <c r="L5" s="55">
        <f t="shared" si="3"/>
        <v>1.2729346431315906E-2</v>
      </c>
      <c r="M5" s="51">
        <f t="shared" si="4"/>
        <v>1.9654972441026017</v>
      </c>
      <c r="N5" s="94">
        <f t="shared" si="8"/>
        <v>15299.562711301212</v>
      </c>
      <c r="O5" s="56">
        <f t="shared" si="9"/>
        <v>95.11008953978623</v>
      </c>
      <c r="P5" s="57">
        <f t="shared" si="5"/>
        <v>92.362832734359429</v>
      </c>
      <c r="R5" s="47"/>
      <c r="S5" s="47"/>
      <c r="T5" s="47"/>
    </row>
    <row r="6" spans="1:20" ht="12.75" customHeight="1" x14ac:dyDescent="0.35">
      <c r="A6" s="49">
        <f>'New Vestas G27 60L'!P11</f>
        <v>783.44603210805667</v>
      </c>
      <c r="B6" s="48">
        <f>'New Vestas G27 60L'!T11</f>
        <v>136.67148235438162</v>
      </c>
      <c r="C6" s="50">
        <f t="shared" si="0"/>
        <v>2.8940090853420468</v>
      </c>
      <c r="D6" s="50">
        <f t="shared" si="0"/>
        <v>2.1356779048519354</v>
      </c>
      <c r="E6" s="51">
        <f t="shared" si="6"/>
        <v>8.375288586042311</v>
      </c>
      <c r="F6" s="51">
        <f t="shared" si="6"/>
        <v>4.5611201132727528</v>
      </c>
      <c r="G6" s="52">
        <f t="shared" si="7"/>
        <v>6.1806712600057683</v>
      </c>
      <c r="H6" s="59" t="s">
        <v>61</v>
      </c>
      <c r="I6" s="58">
        <f>SUM(F:F)</f>
        <v>189.01150037978979</v>
      </c>
      <c r="J6" s="51">
        <f t="shared" si="1"/>
        <v>4.1803174880922764</v>
      </c>
      <c r="K6" s="51">
        <f t="shared" si="2"/>
        <v>1.9787875808385533</v>
      </c>
      <c r="L6" s="55">
        <f t="shared" si="3"/>
        <v>1.2675229210163938E-2</v>
      </c>
      <c r="M6" s="51">
        <f t="shared" si="4"/>
        <v>1.9661123516283894</v>
      </c>
      <c r="N6" s="94">
        <f t="shared" si="8"/>
        <v>15146.681318599807</v>
      </c>
      <c r="O6" s="56">
        <f t="shared" si="9"/>
        <v>95.23302527990036</v>
      </c>
      <c r="P6" s="57">
        <f t="shared" si="5"/>
        <v>92.49374235474221</v>
      </c>
      <c r="R6" s="47"/>
      <c r="S6" s="47"/>
      <c r="T6" s="47"/>
    </row>
    <row r="7" spans="1:20" ht="12.75" customHeight="1" x14ac:dyDescent="0.35">
      <c r="A7" s="49">
        <f>'New Vestas G27 60L'!P12</f>
        <v>940.13523852966796</v>
      </c>
      <c r="B7" s="48">
        <f>'New Vestas G27 60L'!T12</f>
        <v>135.65004499192844</v>
      </c>
      <c r="C7" s="50">
        <f t="shared" si="0"/>
        <v>2.9731903313896715</v>
      </c>
      <c r="D7" s="50">
        <f t="shared" si="0"/>
        <v>2.1324199421429006</v>
      </c>
      <c r="E7" s="51">
        <f t="shared" si="6"/>
        <v>8.8398607466690251</v>
      </c>
      <c r="F7" s="51">
        <f t="shared" si="6"/>
        <v>4.5472148096487315</v>
      </c>
      <c r="G7" s="52">
        <f t="shared" si="7"/>
        <v>6.340090354441795</v>
      </c>
      <c r="H7" s="59" t="s">
        <v>62</v>
      </c>
      <c r="I7" s="58">
        <f>SUM(G:G)</f>
        <v>293.99344654750513</v>
      </c>
      <c r="J7" s="51">
        <f t="shared" si="1"/>
        <v>4.1759117114148543</v>
      </c>
      <c r="K7" s="51">
        <f t="shared" si="2"/>
        <v>1.9793542622562184</v>
      </c>
      <c r="L7" s="55">
        <f t="shared" si="3"/>
        <v>1.2620591076947303E-2</v>
      </c>
      <c r="M7" s="51">
        <f t="shared" si="4"/>
        <v>1.9667336711792711</v>
      </c>
      <c r="N7" s="94">
        <f t="shared" si="8"/>
        <v>14993.799925898415</v>
      </c>
      <c r="O7" s="56">
        <f t="shared" si="9"/>
        <v>95.35736950287054</v>
      </c>
      <c r="P7" s="57">
        <f t="shared" si="5"/>
        <v>92.626162407564891</v>
      </c>
      <c r="R7" s="47"/>
      <c r="S7" s="47"/>
      <c r="T7" s="47"/>
    </row>
    <row r="8" spans="1:20" ht="12.75" customHeight="1" x14ac:dyDescent="0.35">
      <c r="A8" s="49">
        <f>'New Vestas G27 60L'!P13</f>
        <v>1096.8244449512792</v>
      </c>
      <c r="B8" s="48">
        <f>'New Vestas G27 60L'!T13</f>
        <v>134.0449291366449</v>
      </c>
      <c r="C8" s="50">
        <f t="shared" si="0"/>
        <v>3.040137121020285</v>
      </c>
      <c r="D8" s="50">
        <f t="shared" si="0"/>
        <v>2.1272503894518477</v>
      </c>
      <c r="E8" s="51">
        <f t="shared" si="6"/>
        <v>9.2424337146055073</v>
      </c>
      <c r="F8" s="51">
        <f t="shared" si="6"/>
        <v>4.5251942194230379</v>
      </c>
      <c r="G8" s="52">
        <f t="shared" si="7"/>
        <v>6.4671328746774206</v>
      </c>
      <c r="H8" s="53" t="s">
        <v>63</v>
      </c>
      <c r="I8" s="58">
        <f>+I5-I3^2/$I$2</f>
        <v>4.289734231930197</v>
      </c>
      <c r="J8" s="51">
        <f t="shared" si="1"/>
        <v>4.1714607811016249</v>
      </c>
      <c r="K8" s="51">
        <f t="shared" si="2"/>
        <v>1.9799267514413275</v>
      </c>
      <c r="L8" s="55">
        <f t="shared" si="3"/>
        <v>1.2565422017646127E-2</v>
      </c>
      <c r="M8" s="51">
        <f t="shared" si="4"/>
        <v>1.9673613294236814</v>
      </c>
      <c r="N8" s="94">
        <f t="shared" si="8"/>
        <v>14840.918533197013</v>
      </c>
      <c r="O8" s="56">
        <f t="shared" si="9"/>
        <v>95.483152956172717</v>
      </c>
      <c r="P8" s="57">
        <f t="shared" si="5"/>
        <v>92.760125901061542</v>
      </c>
      <c r="R8" s="47"/>
      <c r="S8" s="47"/>
      <c r="T8" s="47"/>
    </row>
    <row r="9" spans="1:20" ht="12.75" customHeight="1" x14ac:dyDescent="0.35">
      <c r="A9" s="49">
        <f>'New Vestas G27 60L'!P14</f>
        <v>1253.5136513728908</v>
      </c>
      <c r="B9" s="48">
        <f>'New Vestas G27 60L'!T14</f>
        <v>131.914502637814</v>
      </c>
      <c r="C9" s="50">
        <f t="shared" si="0"/>
        <v>3.0981290679979718</v>
      </c>
      <c r="D9" s="50">
        <f t="shared" si="0"/>
        <v>2.1202925443662295</v>
      </c>
      <c r="E9" s="51">
        <f t="shared" si="6"/>
        <v>9.5984037219739822</v>
      </c>
      <c r="F9" s="51">
        <f t="shared" si="6"/>
        <v>4.4956404736950191</v>
      </c>
      <c r="G9" s="52">
        <f t="shared" si="7"/>
        <v>6.5689399643603945</v>
      </c>
      <c r="H9" s="59" t="s">
        <v>64</v>
      </c>
      <c r="I9" s="58">
        <f>+I6-I4^2/$I$2</f>
        <v>7.5665789002869133E-2</v>
      </c>
      <c r="J9" s="51">
        <f t="shared" si="1"/>
        <v>4.1669637620251887</v>
      </c>
      <c r="K9" s="51">
        <f t="shared" si="2"/>
        <v>1.9805051686721784</v>
      </c>
      <c r="L9" s="55">
        <f t="shared" si="3"/>
        <v>1.2509711731444212E-2</v>
      </c>
      <c r="M9" s="51">
        <f t="shared" si="4"/>
        <v>1.9679954569407343</v>
      </c>
      <c r="N9" s="94">
        <f t="shared" si="8"/>
        <v>14688.037140495597</v>
      </c>
      <c r="O9" s="56">
        <f t="shared" si="9"/>
        <v>95.610407384069575</v>
      </c>
      <c r="P9" s="57">
        <f t="shared" si="5"/>
        <v>92.895666911726138</v>
      </c>
      <c r="R9" s="47"/>
      <c r="S9" s="47"/>
      <c r="T9" s="47"/>
    </row>
    <row r="10" spans="1:20" ht="12.75" customHeight="1" x14ac:dyDescent="0.35">
      <c r="A10" s="49">
        <f>'New Vestas G27 60L'!P15</f>
        <v>1410.2028577945018</v>
      </c>
      <c r="B10" s="48">
        <f>'New Vestas G27 60L'!T15</f>
        <v>128.29569598226558</v>
      </c>
      <c r="C10" s="50">
        <f t="shared" si="0"/>
        <v>3.1492815904453528</v>
      </c>
      <c r="D10" s="50">
        <f t="shared" si="0"/>
        <v>2.108212087064675</v>
      </c>
      <c r="E10" s="51">
        <f t="shared" si="6"/>
        <v>9.9179745359180114</v>
      </c>
      <c r="F10" s="51">
        <f t="shared" si="6"/>
        <v>4.4445582040455927</v>
      </c>
      <c r="G10" s="52">
        <f t="shared" si="7"/>
        <v>6.6393535145471567</v>
      </c>
      <c r="H10" s="59" t="s">
        <v>65</v>
      </c>
      <c r="I10" s="58">
        <f>+I7-I3*I4/$I$2</f>
        <v>-0.55175576383942371</v>
      </c>
      <c r="J10" s="51">
        <f t="shared" si="1"/>
        <v>4.1624196897043264</v>
      </c>
      <c r="K10" s="51">
        <f t="shared" si="2"/>
        <v>1.9810896380026271</v>
      </c>
      <c r="L10" s="55">
        <f t="shared" si="3"/>
        <v>1.2453449619925294E-2</v>
      </c>
      <c r="M10" s="51">
        <f t="shared" si="4"/>
        <v>1.9686361883827017</v>
      </c>
      <c r="N10" s="94">
        <f t="shared" si="8"/>
        <v>14535.155747794184</v>
      </c>
      <c r="O10" s="56">
        <f t="shared" si="9"/>
        <v>95.739165570699939</v>
      </c>
      <c r="P10" s="57">
        <f t="shared" si="5"/>
        <v>93.032820630321737</v>
      </c>
      <c r="R10" s="47"/>
      <c r="S10" s="47"/>
      <c r="T10" s="47"/>
    </row>
    <row r="11" spans="1:20" ht="12.75" customHeight="1" x14ac:dyDescent="0.35">
      <c r="A11" s="49">
        <f>'New Vestas G27 60L'!P16</f>
        <v>1566.8920642161133</v>
      </c>
      <c r="B11" s="48">
        <f>'New Vestas G27 60L'!T16</f>
        <v>118.75255262448876</v>
      </c>
      <c r="C11" s="50">
        <f t="shared" si="0"/>
        <v>3.1950390810060281</v>
      </c>
      <c r="D11" s="50">
        <f t="shared" si="0"/>
        <v>2.0746429536974516</v>
      </c>
      <c r="E11" s="51">
        <f t="shared" si="6"/>
        <v>10.208274729155844</v>
      </c>
      <c r="F11" s="51">
        <f t="shared" si="6"/>
        <v>4.3041433853264861</v>
      </c>
      <c r="G11" s="52">
        <f t="shared" si="7"/>
        <v>6.628565316197137</v>
      </c>
      <c r="H11" s="59" t="s">
        <v>66</v>
      </c>
      <c r="I11" s="58">
        <f>+I3/$I$2</f>
        <v>3.2678382897800331</v>
      </c>
      <c r="J11" s="51">
        <f t="shared" si="1"/>
        <v>4.1578275690624382</v>
      </c>
      <c r="K11" s="51">
        <f t="shared" si="2"/>
        <v>1.9816802874217796</v>
      </c>
      <c r="L11" s="55">
        <f t="shared" si="3"/>
        <v>1.23966247757728E-2</v>
      </c>
      <c r="M11" s="51">
        <f t="shared" si="4"/>
        <v>1.9692836626460068</v>
      </c>
      <c r="N11" s="94">
        <f t="shared" si="8"/>
        <v>14382.274355092801</v>
      </c>
      <c r="O11" s="56">
        <f t="shared" si="9"/>
        <v>95.869461385507421</v>
      </c>
      <c r="P11" s="57">
        <f t="shared" si="5"/>
        <v>93.171623410373286</v>
      </c>
      <c r="R11" s="47"/>
      <c r="S11" s="47"/>
      <c r="T11" s="47"/>
    </row>
    <row r="12" spans="1:20" ht="12.75" customHeight="1" x14ac:dyDescent="0.35">
      <c r="A12" s="49">
        <f>'New Vestas G27 60L'!P17</f>
        <v>1723.5812706377249</v>
      </c>
      <c r="B12" s="48">
        <f>'New Vestas G27 60L'!T17</f>
        <v>117.93540273452622</v>
      </c>
      <c r="C12" s="50">
        <f t="shared" si="0"/>
        <v>3.236431766164253</v>
      </c>
      <c r="D12" s="50">
        <f t="shared" si="0"/>
        <v>2.0716441944444934</v>
      </c>
      <c r="E12" s="51">
        <f t="shared" si="6"/>
        <v>10.474490577037066</v>
      </c>
      <c r="F12" s="51">
        <f t="shared" si="6"/>
        <v>4.2917096683755744</v>
      </c>
      <c r="G12" s="52">
        <f t="shared" si="7"/>
        <v>6.7047350790899127</v>
      </c>
      <c r="H12" s="59" t="s">
        <v>67</v>
      </c>
      <c r="I12" s="58">
        <f>+I4/$I$2</f>
        <v>2.0961528137019001</v>
      </c>
      <c r="J12" s="51">
        <f t="shared" si="1"/>
        <v>4.1531863731196283</v>
      </c>
      <c r="K12" s="51">
        <f t="shared" si="2"/>
        <v>1.9822772490222191</v>
      </c>
      <c r="L12" s="55">
        <f t="shared" si="3"/>
        <v>1.2339225970946636E-2</v>
      </c>
      <c r="M12" s="51">
        <f t="shared" si="4"/>
        <v>1.9699380230512724</v>
      </c>
      <c r="N12" s="94">
        <f t="shared" si="8"/>
        <v>14229.392962391379</v>
      </c>
      <c r="O12" s="56">
        <f t="shared" si="9"/>
        <v>96.001329831159907</v>
      </c>
      <c r="P12" s="57">
        <f t="shared" si="5"/>
        <v>93.312112819304119</v>
      </c>
      <c r="R12" s="47"/>
      <c r="S12" s="47"/>
      <c r="T12" s="47"/>
    </row>
    <row r="13" spans="1:20" ht="12.75" customHeight="1" x14ac:dyDescent="0.35">
      <c r="A13" s="49">
        <f>'New Vestas G27 60L'!P18</f>
        <v>626.75682568644538</v>
      </c>
      <c r="B13" s="48">
        <f>'New Vestas G27 60L'!T18</f>
        <v>140.49363704278807</v>
      </c>
      <c r="C13" s="50">
        <f t="shared" si="0"/>
        <v>2.7970990723339906</v>
      </c>
      <c r="D13" s="50">
        <f t="shared" si="0"/>
        <v>2.1476566554882024</v>
      </c>
      <c r="E13" s="51">
        <f t="shared" si="6"/>
        <v>7.8237632204516707</v>
      </c>
      <c r="F13" s="51">
        <f t="shared" si="6"/>
        <v>4.612429109862771</v>
      </c>
      <c r="G13" s="52">
        <f t="shared" si="7"/>
        <v>6.0072084387579716</v>
      </c>
      <c r="H13" s="59" t="s">
        <v>68</v>
      </c>
      <c r="I13" s="60">
        <f>+I10/I8</f>
        <v>-0.12862236539795083</v>
      </c>
      <c r="J13" s="51">
        <f t="shared" si="1"/>
        <v>4.1484950416141571</v>
      </c>
      <c r="K13" s="51">
        <f t="shared" si="2"/>
        <v>1.9828806591773187</v>
      </c>
      <c r="L13" s="55">
        <f t="shared" si="3"/>
        <v>1.2281241644309564E-2</v>
      </c>
      <c r="M13" s="51">
        <f t="shared" si="4"/>
        <v>1.970599417533009</v>
      </c>
      <c r="N13" s="94">
        <f t="shared" si="8"/>
        <v>14076.511569689974</v>
      </c>
      <c r="O13" s="56">
        <f t="shared" si="9"/>
        <v>96.134807094126089</v>
      </c>
      <c r="P13" s="57">
        <f t="shared" si="5"/>
        <v>93.454327692392482</v>
      </c>
      <c r="R13" s="47"/>
      <c r="S13" s="47"/>
      <c r="T13" s="47"/>
    </row>
    <row r="14" spans="1:20" ht="12.75" customHeight="1" x14ac:dyDescent="0.35">
      <c r="A14" s="49">
        <f>'New Vestas G27 60L'!P19</f>
        <v>783.44603210805667</v>
      </c>
      <c r="B14" s="48">
        <f>'New Vestas G27 60L'!T19</f>
        <v>139.58684160747444</v>
      </c>
      <c r="C14" s="50">
        <f t="shared" si="0"/>
        <v>2.8940090853420468</v>
      </c>
      <c r="D14" s="50">
        <f t="shared" si="0"/>
        <v>2.1448444807040103</v>
      </c>
      <c r="E14" s="51">
        <f t="shared" si="6"/>
        <v>8.375288586042311</v>
      </c>
      <c r="F14" s="51">
        <f t="shared" si="6"/>
        <v>4.6003578464064558</v>
      </c>
      <c r="G14" s="52">
        <f t="shared" si="7"/>
        <v>6.2071994138031501</v>
      </c>
      <c r="H14" s="59" t="s">
        <v>69</v>
      </c>
      <c r="I14" s="60">
        <f>+I12-I13*I11</f>
        <v>2.516469904271402</v>
      </c>
      <c r="J14" s="51">
        <f t="shared" si="1"/>
        <v>4.1437524795486107</v>
      </c>
      <c r="K14" s="51">
        <f t="shared" si="2"/>
        <v>1.9834906587282359</v>
      </c>
      <c r="L14" s="55">
        <f t="shared" si="3"/>
        <v>1.2222659888673581E-2</v>
      </c>
      <c r="M14" s="51">
        <f t="shared" si="4"/>
        <v>1.9712679988395623</v>
      </c>
      <c r="N14" s="94">
        <f t="shared" si="8"/>
        <v>13923.630176988585</v>
      </c>
      <c r="O14" s="56">
        <f t="shared" si="9"/>
        <v>96.269930598086816</v>
      </c>
      <c r="P14" s="57">
        <f t="shared" si="5"/>
        <v>93.598308189733146</v>
      </c>
      <c r="R14" s="47"/>
      <c r="S14" s="47"/>
      <c r="T14" s="47"/>
    </row>
    <row r="15" spans="1:20" ht="12.75" customHeight="1" thickBot="1" x14ac:dyDescent="0.4">
      <c r="A15" s="49">
        <f>'New Vestas G27 60L'!P20</f>
        <v>940.13523852966796</v>
      </c>
      <c r="B15" s="48">
        <f>'New Vestas G27 60L'!T20</f>
        <v>138.62154323923824</v>
      </c>
      <c r="C15" s="50">
        <f t="shared" si="0"/>
        <v>2.9731903313896715</v>
      </c>
      <c r="D15" s="50">
        <f t="shared" si="0"/>
        <v>2.1418307294306733</v>
      </c>
      <c r="E15" s="51">
        <f t="shared" si="6"/>
        <v>8.8398607466690251</v>
      </c>
      <c r="F15" s="51">
        <f t="shared" si="6"/>
        <v>4.5874388735335305</v>
      </c>
      <c r="G15" s="52">
        <f t="shared" si="7"/>
        <v>6.3680704162165656</v>
      </c>
      <c r="H15" s="61" t="s">
        <v>70</v>
      </c>
      <c r="I15" s="62">
        <f>+I10^2/(I8*I9)</f>
        <v>0.93791570010971292</v>
      </c>
      <c r="J15" s="51">
        <f t="shared" si="1"/>
        <v>4.1389575556558134</v>
      </c>
      <c r="K15" s="51">
        <f t="shared" si="2"/>
        <v>1.9841073931812305</v>
      </c>
      <c r="L15" s="55">
        <f t="shared" si="3"/>
        <v>1.2163468437235505E-2</v>
      </c>
      <c r="M15" s="51">
        <f t="shared" si="4"/>
        <v>1.9719439247439949</v>
      </c>
      <c r="N15" s="94">
        <f t="shared" si="8"/>
        <v>13770.748784287172</v>
      </c>
      <c r="O15" s="56">
        <f t="shared" si="9"/>
        <v>96.406739060372658</v>
      </c>
      <c r="P15" s="57">
        <f t="shared" si="5"/>
        <v>93.744095856407156</v>
      </c>
      <c r="R15" s="47"/>
      <c r="S15" s="47"/>
      <c r="T15" s="47"/>
    </row>
    <row r="16" spans="1:20" ht="12.75" customHeight="1" x14ac:dyDescent="0.35">
      <c r="A16" s="49">
        <f>'New Vestas G27 60L'!P21</f>
        <v>1096.8244449512792</v>
      </c>
      <c r="B16" s="48">
        <f>'New Vestas G27 60L'!T21</f>
        <v>138.1242683093964</v>
      </c>
      <c r="C16" s="50">
        <f t="shared" si="0"/>
        <v>3.040137121020285</v>
      </c>
      <c r="D16" s="50">
        <f t="shared" si="0"/>
        <v>2.1402699904316598</v>
      </c>
      <c r="E16" s="51">
        <f t="shared" si="6"/>
        <v>9.2424337146055073</v>
      </c>
      <c r="F16" s="51">
        <f t="shared" si="6"/>
        <v>4.5807556319423366</v>
      </c>
      <c r="G16" s="52">
        <f t="shared" si="7"/>
        <v>6.5067142469170189</v>
      </c>
      <c r="H16" s="63" t="s">
        <v>71</v>
      </c>
      <c r="I16" s="64"/>
      <c r="J16" s="51">
        <f t="shared" si="1"/>
        <v>4.1341091007791011</v>
      </c>
      <c r="K16" s="51">
        <f t="shared" si="2"/>
        <v>1.9847310129159985</v>
      </c>
      <c r="L16" s="55">
        <f t="shared" si="3"/>
        <v>1.2103654649368991E-2</v>
      </c>
      <c r="M16" s="51">
        <f t="shared" si="4"/>
        <v>1.9726273582666296</v>
      </c>
      <c r="N16" s="94">
        <f t="shared" si="8"/>
        <v>13617.867391585753</v>
      </c>
      <c r="O16" s="56">
        <f t="shared" si="9"/>
        <v>96.545272551635875</v>
      </c>
      <c r="P16" s="57">
        <f t="shared" si="5"/>
        <v>93.891733686078396</v>
      </c>
      <c r="R16" s="47"/>
      <c r="S16" s="47"/>
      <c r="T16" s="47"/>
    </row>
    <row r="17" spans="1:20" ht="12.75" customHeight="1" x14ac:dyDescent="0.35">
      <c r="A17" s="49">
        <f>'New Vestas G27 60L'!P22</f>
        <v>1253.5136513728908</v>
      </c>
      <c r="B17" s="48">
        <f>'New Vestas G27 60L'!T22</f>
        <v>135.05286440592008</v>
      </c>
      <c r="C17" s="50">
        <f t="shared" si="0"/>
        <v>3.0981290679979718</v>
      </c>
      <c r="D17" s="50">
        <f t="shared" si="0"/>
        <v>2.1305037997970175</v>
      </c>
      <c r="E17" s="51">
        <f t="shared" si="6"/>
        <v>9.5984037219739822</v>
      </c>
      <c r="F17" s="51">
        <f t="shared" si="6"/>
        <v>4.5390464409495301</v>
      </c>
      <c r="G17" s="52">
        <f t="shared" si="7"/>
        <v>6.6005757516312711</v>
      </c>
      <c r="H17" s="53" t="s">
        <v>72</v>
      </c>
      <c r="I17" s="65">
        <f>(+I9-(+I10^2/I8))/($I$2-2)</f>
        <v>1.1457701307047105E-4</v>
      </c>
      <c r="J17" s="51">
        <f t="shared" si="1"/>
        <v>4.1292059061611619</v>
      </c>
      <c r="K17" s="51">
        <f t="shared" si="2"/>
        <v>1.9853616734057644</v>
      </c>
      <c r="L17" s="55">
        <f t="shared" si="3"/>
        <v>1.2043205495738533E-2</v>
      </c>
      <c r="M17" s="51">
        <f t="shared" si="4"/>
        <v>1.973318467910026</v>
      </c>
      <c r="N17" s="94">
        <f t="shared" si="8"/>
        <v>13464.985998884355</v>
      </c>
      <c r="O17" s="56">
        <f t="shared" si="9"/>
        <v>96.685572558979374</v>
      </c>
      <c r="P17" s="57">
        <f t="shared" si="5"/>
        <v>94.041266188249878</v>
      </c>
      <c r="R17" s="47"/>
      <c r="S17" s="47"/>
      <c r="T17" s="47"/>
    </row>
    <row r="18" spans="1:20" ht="12.75" customHeight="1" x14ac:dyDescent="0.35">
      <c r="A18" s="49">
        <f>'New Vestas G27 60L'!P23</f>
        <v>1410.2028577945018</v>
      </c>
      <c r="B18" s="48">
        <f>'New Vestas G27 60L'!T23</f>
        <v>134.17532043706771</v>
      </c>
      <c r="C18" s="50">
        <f t="shared" si="0"/>
        <v>3.1492815904453528</v>
      </c>
      <c r="D18" s="50">
        <f t="shared" si="0"/>
        <v>2.1276726411409932</v>
      </c>
      <c r="E18" s="51">
        <f t="shared" si="6"/>
        <v>9.9179745359180114</v>
      </c>
      <c r="F18" s="51">
        <f t="shared" si="6"/>
        <v>4.5269908678598894</v>
      </c>
      <c r="G18" s="52">
        <f t="shared" si="7"/>
        <v>6.7006402792395718</v>
      </c>
      <c r="H18" s="66" t="s">
        <v>53</v>
      </c>
      <c r="I18" s="67">
        <v>0.95</v>
      </c>
      <c r="J18" s="51">
        <f t="shared" si="1"/>
        <v>4.1242467216351653</v>
      </c>
      <c r="K18" s="51">
        <f t="shared" si="2"/>
        <v>1.9859995354499431</v>
      </c>
      <c r="L18" s="55">
        <f t="shared" si="3"/>
        <v>1.1982107542698912E-2</v>
      </c>
      <c r="M18" s="51">
        <f t="shared" si="4"/>
        <v>1.9740174279072442</v>
      </c>
      <c r="N18" s="94">
        <f t="shared" si="8"/>
        <v>13312.104606182957</v>
      </c>
      <c r="O18" s="56">
        <f t="shared" si="9"/>
        <v>96.827682052786741</v>
      </c>
      <c r="P18" s="57">
        <f t="shared" si="5"/>
        <v>94.192739459436908</v>
      </c>
      <c r="R18" s="47"/>
      <c r="S18" s="47"/>
      <c r="T18" s="47"/>
    </row>
    <row r="19" spans="1:20" ht="12.75" customHeight="1" x14ac:dyDescent="0.35">
      <c r="A19" s="49">
        <f>'New Vestas G27 60L'!P24</f>
        <v>1723.5812706377249</v>
      </c>
      <c r="B19" s="48">
        <f>'New Vestas G27 60L'!T24</f>
        <v>126.80395105123425</v>
      </c>
      <c r="C19" s="50">
        <f t="shared" si="0"/>
        <v>3.236431766164253</v>
      </c>
      <c r="D19" s="50">
        <f t="shared" si="0"/>
        <v>2.1031327858250162</v>
      </c>
      <c r="E19" s="51">
        <f t="shared" si="6"/>
        <v>10.474490577037066</v>
      </c>
      <c r="F19" s="51">
        <f t="shared" si="6"/>
        <v>4.4231675148120937</v>
      </c>
      <c r="G19" s="52">
        <f t="shared" si="7"/>
        <v>6.8066457565056027</v>
      </c>
      <c r="H19" s="53" t="s">
        <v>73</v>
      </c>
      <c r="I19" s="68">
        <f>_xlfn.T.INV(1-(1-I18)/2,I2-2)</f>
        <v>2.0195409704413745</v>
      </c>
      <c r="J19" s="51">
        <f t="shared" si="1"/>
        <v>4.1192302537114189</v>
      </c>
      <c r="K19" s="51">
        <f t="shared" si="2"/>
        <v>1.9866447654202384</v>
      </c>
      <c r="L19" s="55">
        <f t="shared" si="3"/>
        <v>1.1920346935941694E-2</v>
      </c>
      <c r="M19" s="51">
        <f t="shared" si="4"/>
        <v>1.9747244184842967</v>
      </c>
      <c r="N19" s="94">
        <f t="shared" si="8"/>
        <v>13159.223213481517</v>
      </c>
      <c r="O19" s="56">
        <f t="shared" si="9"/>
        <v>96.971645557513114</v>
      </c>
      <c r="P19" s="57">
        <f t="shared" si="5"/>
        <v>94.346201258530002</v>
      </c>
      <c r="R19" s="47"/>
      <c r="S19" s="47"/>
      <c r="T19" s="47"/>
    </row>
    <row r="20" spans="1:20" ht="12.75" customHeight="1" x14ac:dyDescent="0.35">
      <c r="A20" s="49">
        <f>'New Vestas G27 60L'!P25</f>
        <v>1880.2704770593359</v>
      </c>
      <c r="B20" s="48">
        <f>'New Vestas G27 60L'!T25</f>
        <v>124.2298220526136</v>
      </c>
      <c r="C20" s="50">
        <f t="shared" si="0"/>
        <v>3.2742203270536527</v>
      </c>
      <c r="D20" s="50">
        <f t="shared" si="0"/>
        <v>2.0942258631370101</v>
      </c>
      <c r="E20" s="51">
        <f t="shared" si="6"/>
        <v>10.720518750091328</v>
      </c>
      <c r="F20" s="51">
        <f t="shared" si="6"/>
        <v>4.3857819658319546</v>
      </c>
      <c r="G20" s="52">
        <f t="shared" si="7"/>
        <v>6.8569568905246792</v>
      </c>
      <c r="H20" s="53" t="s">
        <v>74</v>
      </c>
      <c r="I20" s="68">
        <f>_xlfn.F.INV(I18,2,I2-2)</f>
        <v>3.2256838422954499</v>
      </c>
      <c r="J20" s="51">
        <f t="shared" si="1"/>
        <v>4.1141551635522324</v>
      </c>
      <c r="K20" s="51">
        <f t="shared" si="2"/>
        <v>1.9872975355211207</v>
      </c>
      <c r="L20" s="55">
        <f t="shared" si="3"/>
        <v>1.1857909383348414E-2</v>
      </c>
      <c r="M20" s="51">
        <f t="shared" si="4"/>
        <v>1.9754396261377722</v>
      </c>
      <c r="N20" s="94">
        <f t="shared" si="8"/>
        <v>13006.341820780128</v>
      </c>
      <c r="O20" s="56">
        <f t="shared" si="9"/>
        <v>97.117509226723328</v>
      </c>
      <c r="P20" s="57">
        <f t="shared" si="5"/>
        <v>94.501701086645411</v>
      </c>
      <c r="R20" s="47"/>
      <c r="S20" s="47"/>
      <c r="T20" s="47"/>
    </row>
    <row r="21" spans="1:20" ht="12.75" customHeight="1" x14ac:dyDescent="0.35">
      <c r="A21" s="49">
        <f>'New Vestas G27 60L'!P26</f>
        <v>783.44603210805667</v>
      </c>
      <c r="B21" s="48">
        <f>'New Vestas G27 60L'!T26</f>
        <v>144.49728289345654</v>
      </c>
      <c r="C21" s="50">
        <f t="shared" si="0"/>
        <v>2.8940090853420468</v>
      </c>
      <c r="D21" s="50">
        <f t="shared" si="0"/>
        <v>2.1598596807571133</v>
      </c>
      <c r="E21" s="51">
        <f t="shared" si="6"/>
        <v>8.375288586042311</v>
      </c>
      <c r="F21" s="51">
        <f t="shared" si="6"/>
        <v>4.6649938405602196</v>
      </c>
      <c r="G21" s="52">
        <f t="shared" si="7"/>
        <v>6.2506535391750591</v>
      </c>
      <c r="H21" s="53" t="s">
        <v>75</v>
      </c>
      <c r="I21" s="68">
        <f>I19*SQRT(I17)*(($I$8)^(-1/2))</f>
        <v>1.0437253290818309E-2</v>
      </c>
      <c r="J21" s="51">
        <f t="shared" si="1"/>
        <v>4.109020064827031</v>
      </c>
      <c r="K21" s="51">
        <f t="shared" si="2"/>
        <v>1.987958024065708</v>
      </c>
      <c r="L21" s="55">
        <f t="shared" si="3"/>
        <v>1.1794780137007441E-2</v>
      </c>
      <c r="M21" s="51">
        <f t="shared" si="4"/>
        <v>1.9761632439287005</v>
      </c>
      <c r="N21" s="94">
        <f t="shared" si="8"/>
        <v>12853.46042807873</v>
      </c>
      <c r="O21" s="56">
        <f t="shared" si="9"/>
        <v>97.265320922683131</v>
      </c>
      <c r="P21" s="57">
        <f t="shared" si="5"/>
        <v>94.659290271787256</v>
      </c>
      <c r="R21" s="47"/>
      <c r="S21" s="47"/>
      <c r="T21" s="47"/>
    </row>
    <row r="22" spans="1:20" ht="12.75" customHeight="1" thickBot="1" x14ac:dyDescent="0.4">
      <c r="A22" s="49">
        <f>'New Vestas G27 60L'!P27</f>
        <v>940.13523852966796</v>
      </c>
      <c r="B22" s="48">
        <f>'New Vestas G27 60L'!T27</f>
        <v>139.66875925554606</v>
      </c>
      <c r="C22" s="50">
        <f t="shared" si="0"/>
        <v>2.9731903313896715</v>
      </c>
      <c r="D22" s="50">
        <f t="shared" si="0"/>
        <v>2.1450992751177198</v>
      </c>
      <c r="E22" s="51">
        <f t="shared" si="6"/>
        <v>8.8398607466690251</v>
      </c>
      <c r="F22" s="51">
        <f t="shared" si="6"/>
        <v>4.6014509001105672</v>
      </c>
      <c r="G22" s="52">
        <f t="shared" si="7"/>
        <v>6.3777884246509977</v>
      </c>
      <c r="H22" s="61" t="s">
        <v>76</v>
      </c>
      <c r="I22" s="69">
        <f>I19*SQRT(I17)*(1/I2+I11^2/I8)^(1/2)</f>
        <v>3.4266200932347016E-2</v>
      </c>
      <c r="J22" s="51">
        <f t="shared" si="1"/>
        <v>4.103823521439157</v>
      </c>
      <c r="K22" s="51">
        <f t="shared" si="2"/>
        <v>1.9886264157681495</v>
      </c>
      <c r="L22" s="55">
        <f t="shared" si="3"/>
        <v>1.1730943974350047E-2</v>
      </c>
      <c r="M22" s="51">
        <f t="shared" si="4"/>
        <v>1.9768954717937994</v>
      </c>
      <c r="N22" s="94">
        <f t="shared" si="8"/>
        <v>12700.579035377321</v>
      </c>
      <c r="O22" s="56">
        <f t="shared" si="9"/>
        <v>97.415130300839294</v>
      </c>
      <c r="P22" s="57">
        <f t="shared" si="5"/>
        <v>94.819022058668509</v>
      </c>
      <c r="R22" s="47"/>
      <c r="S22" s="47"/>
      <c r="T22" s="47"/>
    </row>
    <row r="23" spans="1:20" ht="12.75" customHeight="1" x14ac:dyDescent="0.35">
      <c r="A23" s="49">
        <f>'New Vestas G27 60L'!P28</f>
        <v>1096.8244449512792</v>
      </c>
      <c r="B23" s="48">
        <f>'New Vestas G27 60L'!T28</f>
        <v>134.05011356779568</v>
      </c>
      <c r="C23" s="50">
        <f t="shared" si="0"/>
        <v>3.040137121020285</v>
      </c>
      <c r="D23" s="50">
        <f t="shared" si="0"/>
        <v>2.1272671862550872</v>
      </c>
      <c r="E23" s="51">
        <f t="shared" si="6"/>
        <v>9.2424337146055073</v>
      </c>
      <c r="F23" s="51">
        <f t="shared" si="6"/>
        <v>4.5252656817176353</v>
      </c>
      <c r="G23" s="52">
        <f t="shared" si="7"/>
        <v>6.4671839392624628</v>
      </c>
      <c r="H23" s="63" t="s">
        <v>77</v>
      </c>
      <c r="I23" s="70"/>
      <c r="J23" s="51">
        <f t="shared" si="1"/>
        <v>4.0985640451150047</v>
      </c>
      <c r="K23" s="51">
        <f t="shared" si="2"/>
        <v>1.9893029020537165</v>
      </c>
      <c r="L23" s="55">
        <f t="shared" si="3"/>
        <v>1.1666385178358139E-2</v>
      </c>
      <c r="M23" s="51">
        <f t="shared" si="4"/>
        <v>1.9776365168753585</v>
      </c>
      <c r="N23" s="94">
        <f t="shared" si="8"/>
        <v>12547.697642675912</v>
      </c>
      <c r="O23" s="56">
        <f t="shared" si="9"/>
        <v>97.566988899550836</v>
      </c>
      <c r="P23" s="57">
        <f t="shared" si="5"/>
        <v>94.980951704072893</v>
      </c>
      <c r="R23" s="47"/>
      <c r="S23" s="47"/>
      <c r="T23" s="47"/>
    </row>
    <row r="24" spans="1:20" ht="12.75" customHeight="1" x14ac:dyDescent="0.35">
      <c r="A24" s="49">
        <f>'New Vestas G27 60L'!P29</f>
        <v>1253.5136513728908</v>
      </c>
      <c r="B24" s="48">
        <f>'New Vestas G27 60L'!T29</f>
        <v>133.2599915179558</v>
      </c>
      <c r="C24" s="50">
        <f t="shared" si="0"/>
        <v>3.0981290679979718</v>
      </c>
      <c r="D24" s="50">
        <f t="shared" si="0"/>
        <v>2.1246997812891255</v>
      </c>
      <c r="E24" s="51">
        <f t="shared" si="6"/>
        <v>9.5984037219739822</v>
      </c>
      <c r="F24" s="51">
        <f t="shared" si="6"/>
        <v>4.5143491606100579</v>
      </c>
      <c r="G24" s="52">
        <f t="shared" si="7"/>
        <v>6.5825941531807732</v>
      </c>
      <c r="H24" s="66" t="s">
        <v>78</v>
      </c>
      <c r="I24" s="71">
        <f>10^(MAX(C:C))</f>
        <v>15758.206889405428</v>
      </c>
      <c r="J24" s="51">
        <f t="shared" si="1"/>
        <v>4.0932400928453774</v>
      </c>
      <c r="K24" s="51">
        <f t="shared" si="2"/>
        <v>1.9899876813879018</v>
      </c>
      <c r="L24" s="55">
        <f t="shared" si="3"/>
        <v>1.1601087516794277E-2</v>
      </c>
      <c r="M24" s="51">
        <f t="shared" si="4"/>
        <v>1.9783865938711076</v>
      </c>
      <c r="N24" s="94">
        <f t="shared" si="8"/>
        <v>12394.816249974496</v>
      </c>
      <c r="O24" s="56">
        <f t="shared" si="9"/>
        <v>97.720950235466276</v>
      </c>
      <c r="P24" s="57">
        <f t="shared" si="5"/>
        <v>95.145136578167822</v>
      </c>
      <c r="R24" s="47"/>
      <c r="S24" s="47"/>
      <c r="T24" s="47"/>
    </row>
    <row r="25" spans="1:20" ht="12.75" customHeight="1" thickBot="1" x14ac:dyDescent="0.4">
      <c r="A25" s="49">
        <f>'New Vestas G27 60L'!P30</f>
        <v>1410.2028577945018</v>
      </c>
      <c r="B25" s="48">
        <f>'New Vestas G27 60L'!T30</f>
        <v>131.35784584241532</v>
      </c>
      <c r="C25" s="50">
        <f t="shared" si="0"/>
        <v>3.1492815904453528</v>
      </c>
      <c r="D25" s="50">
        <f t="shared" si="0"/>
        <v>2.118456017771535</v>
      </c>
      <c r="E25" s="51">
        <f t="shared" si="6"/>
        <v>9.9179745359180114</v>
      </c>
      <c r="F25" s="51">
        <f t="shared" si="6"/>
        <v>4.4878558992324304</v>
      </c>
      <c r="G25" s="52">
        <f t="shared" si="7"/>
        <v>6.6716145369360689</v>
      </c>
      <c r="H25" s="72" t="s">
        <v>79</v>
      </c>
      <c r="I25" s="73">
        <f>10^(MIN(C:C))</f>
        <v>470.06761926483415</v>
      </c>
      <c r="J25" s="51">
        <f t="shared" si="1"/>
        <v>4.0878500641680615</v>
      </c>
      <c r="K25" s="51">
        <f t="shared" si="2"/>
        <v>1.9906809596259409</v>
      </c>
      <c r="L25" s="55">
        <f t="shared" si="3"/>
        <v>1.153503422040213E-2</v>
      </c>
      <c r="M25" s="51">
        <f t="shared" si="4"/>
        <v>1.9791459254055388</v>
      </c>
      <c r="N25" s="94">
        <f t="shared" si="8"/>
        <v>12241.934857273114</v>
      </c>
      <c r="O25" s="56">
        <f t="shared" si="9"/>
        <v>97.87706990497756</v>
      </c>
      <c r="P25" s="57">
        <f t="shared" si="5"/>
        <v>95.311636272218408</v>
      </c>
      <c r="R25" s="47"/>
      <c r="S25" s="47"/>
      <c r="T25" s="47"/>
    </row>
    <row r="26" spans="1:20" ht="12.75" customHeight="1" x14ac:dyDescent="0.35">
      <c r="A26" s="49">
        <f>'New Vestas G27 60L'!P31</f>
        <v>1566.8920642161133</v>
      </c>
      <c r="B26" s="48">
        <f>'New Vestas G27 60L'!T31</f>
        <v>127.55355449133431</v>
      </c>
      <c r="C26" s="50">
        <f t="shared" si="0"/>
        <v>3.1950390810060281</v>
      </c>
      <c r="D26" s="50">
        <f t="shared" si="0"/>
        <v>2.1056925654504224</v>
      </c>
      <c r="E26" s="51">
        <f t="shared" si="6"/>
        <v>10.208274729155844</v>
      </c>
      <c r="F26" s="51">
        <f t="shared" si="6"/>
        <v>4.4339411801931812</v>
      </c>
      <c r="G26" s="52">
        <f t="shared" si="7"/>
        <v>6.7277700391979431</v>
      </c>
      <c r="H26" s="63" t="s">
        <v>80</v>
      </c>
      <c r="I26" s="70"/>
      <c r="J26" s="51">
        <f t="shared" si="1"/>
        <v>4.0823922982796326</v>
      </c>
      <c r="K26" s="51">
        <f t="shared" si="2"/>
        <v>1.991382950384299</v>
      </c>
      <c r="L26" s="55">
        <f t="shared" si="3"/>
        <v>1.1468207960022807E-2</v>
      </c>
      <c r="M26" s="51">
        <f t="shared" si="4"/>
        <v>1.9799147424242762</v>
      </c>
      <c r="N26" s="94">
        <f t="shared" si="8"/>
        <v>12089.053464571711</v>
      </c>
      <c r="O26" s="56">
        <f t="shared" si="9"/>
        <v>98.035405692217779</v>
      </c>
      <c r="P26" s="57">
        <f t="shared" si="5"/>
        <v>95.480512713189469</v>
      </c>
      <c r="R26" s="47" t="s">
        <v>81</v>
      </c>
      <c r="S26" s="47"/>
      <c r="T26" s="47"/>
    </row>
    <row r="27" spans="1:20" ht="12.75" customHeight="1" x14ac:dyDescent="0.35">
      <c r="A27" s="49">
        <f>'New Vestas G27 60L'!P32</f>
        <v>2550.8950269241709</v>
      </c>
      <c r="B27" s="48">
        <f>'New Vestas G27 60L'!T32</f>
        <v>121.45685861059646</v>
      </c>
      <c r="C27" s="50">
        <f t="shared" si="0"/>
        <v>3.4066925871219031</v>
      </c>
      <c r="D27" s="50">
        <f t="shared" si="0"/>
        <v>2.0844220442348695</v>
      </c>
      <c r="E27" s="51">
        <f t="shared" si="6"/>
        <v>11.605554383151325</v>
      </c>
      <c r="F27" s="51">
        <f t="shared" si="6"/>
        <v>4.3448152584922726</v>
      </c>
      <c r="G27" s="52">
        <f t="shared" si="7"/>
        <v>7.1009851265284141</v>
      </c>
      <c r="H27" s="53" t="str">
        <f>"m lower " &amp; TEXT(I18,"##%") &amp; " conf"</f>
        <v>m lower 95% conf</v>
      </c>
      <c r="I27" s="74">
        <f>-I13-I21</f>
        <v>0.11818511210713252</v>
      </c>
      <c r="J27" s="51">
        <f t="shared" si="1"/>
        <v>4.0768650709634713</v>
      </c>
      <c r="K27" s="51">
        <f t="shared" si="2"/>
        <v>1.9920938754357957</v>
      </c>
      <c r="L27" s="55">
        <f t="shared" si="3"/>
        <v>1.1400590822570715E-2</v>
      </c>
      <c r="M27" s="51">
        <f t="shared" si="4"/>
        <v>1.980693284613225</v>
      </c>
      <c r="N27" s="94">
        <f t="shared" si="8"/>
        <v>11936.172071870295</v>
      </c>
      <c r="O27" s="56">
        <f t="shared" si="9"/>
        <v>98.196017684114892</v>
      </c>
      <c r="P27" s="57">
        <f t="shared" si="5"/>
        <v>95.651830285767147</v>
      </c>
      <c r="R27" s="47"/>
      <c r="S27" s="47"/>
      <c r="T27" s="47"/>
    </row>
    <row r="28" spans="1:20" ht="12.75" customHeight="1" x14ac:dyDescent="0.35">
      <c r="A28" s="49">
        <f>'New Vestas G27 60L'!P33</f>
        <v>2943.3404156817351</v>
      </c>
      <c r="B28" s="48">
        <f>'New Vestas G27 60L'!T33</f>
        <v>118.50686190062923</v>
      </c>
      <c r="C28" s="50">
        <f t="shared" si="0"/>
        <v>3.4688404938707471</v>
      </c>
      <c r="D28" s="50">
        <f t="shared" si="0"/>
        <v>2.0737434980195326</v>
      </c>
      <c r="E28" s="51">
        <f t="shared" si="6"/>
        <v>12.032854371917448</v>
      </c>
      <c r="F28" s="51">
        <f t="shared" si="6"/>
        <v>4.3004120955782872</v>
      </c>
      <c r="G28" s="52">
        <f t="shared" si="7"/>
        <v>7.1934854198313261</v>
      </c>
      <c r="H28" s="75" t="s">
        <v>82</v>
      </c>
      <c r="I28" s="76">
        <f>-I13</f>
        <v>0.12862236539795083</v>
      </c>
      <c r="J28" s="51">
        <f t="shared" si="1"/>
        <v>4.0712665913197519</v>
      </c>
      <c r="K28" s="51">
        <f t="shared" si="2"/>
        <v>1.9928139651302033</v>
      </c>
      <c r="L28" s="55">
        <f t="shared" si="3"/>
        <v>1.1332164285809639E-2</v>
      </c>
      <c r="M28" s="51">
        <f t="shared" si="4"/>
        <v>1.9814818008443935</v>
      </c>
      <c r="N28" s="94">
        <f t="shared" si="8"/>
        <v>11783.290679168871</v>
      </c>
      <c r="O28" s="56">
        <f t="shared" si="9"/>
        <v>98.358968393058177</v>
      </c>
      <c r="P28" s="57">
        <f t="shared" si="5"/>
        <v>95.825655962381859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60L'!P34</f>
        <v>3139.5631100605183</v>
      </c>
      <c r="B29" s="48">
        <f>'New Vestas G27 60L'!T34</f>
        <v>114.45975897621136</v>
      </c>
      <c r="C29" s="50">
        <f t="shared" si="0"/>
        <v>3.4968692174709908</v>
      </c>
      <c r="D29" s="50">
        <f t="shared" si="0"/>
        <v>2.0586528270571542</v>
      </c>
      <c r="E29" s="51">
        <f t="shared" si="6"/>
        <v>12.22809432409618</v>
      </c>
      <c r="F29" s="51">
        <f t="shared" si="6"/>
        <v>4.2380514623504135</v>
      </c>
      <c r="G29" s="52">
        <f t="shared" si="7"/>
        <v>7.1988397003957942</v>
      </c>
      <c r="H29" s="77" t="str">
        <f>"m upper " &amp; TEXT(I18,"##%") &amp; " conf"</f>
        <v>m upper 95% conf</v>
      </c>
      <c r="I29" s="74">
        <f>-I13+I21</f>
        <v>0.13905961868876915</v>
      </c>
      <c r="J29" s="51">
        <f t="shared" si="1"/>
        <v>4.0655949982819033</v>
      </c>
      <c r="K29" s="51">
        <f t="shared" si="2"/>
        <v>1.9935434588423058</v>
      </c>
      <c r="L29" s="55">
        <f t="shared" si="3"/>
        <v>1.1262909191868026E-2</v>
      </c>
      <c r="M29" s="51">
        <f t="shared" si="4"/>
        <v>1.9822805496504377</v>
      </c>
      <c r="N29" s="94">
        <f t="shared" si="8"/>
        <v>11630.409286467477</v>
      </c>
      <c r="O29" s="56">
        <f t="shared" si="9"/>
        <v>98.524322887787861</v>
      </c>
      <c r="P29" s="57">
        <f t="shared" si="5"/>
        <v>96.002059441863054</v>
      </c>
      <c r="R29" s="47"/>
      <c r="S29" s="47"/>
      <c r="T29" s="47"/>
    </row>
    <row r="30" spans="1:20" ht="12.75" customHeight="1" x14ac:dyDescent="0.35">
      <c r="A30" s="49">
        <f>'New Vestas G27 60L'!P35</f>
        <v>4513.1219707119944</v>
      </c>
      <c r="B30" s="48">
        <f>'New Vestas G27 60L'!T35</f>
        <v>112.43620751400243</v>
      </c>
      <c r="C30" s="50">
        <f t="shared" si="0"/>
        <v>3.6544770708326588</v>
      </c>
      <c r="D30" s="50">
        <f t="shared" si="0"/>
        <v>2.0509061883804511</v>
      </c>
      <c r="E30" s="51">
        <f t="shared" si="6"/>
        <v>13.35520266124165</v>
      </c>
      <c r="F30" s="51">
        <f t="shared" si="6"/>
        <v>4.2062161935372302</v>
      </c>
      <c r="G30" s="52">
        <f t="shared" si="7"/>
        <v>7.4949896398651639</v>
      </c>
      <c r="H30" s="77" t="str">
        <f>"C lower " &amp; TEXT(I18,"##%") &amp; " conf"</f>
        <v>C lower 95% conf</v>
      </c>
      <c r="I30" s="78">
        <f>10^(I14-I22)</f>
        <v>303.5314547259843</v>
      </c>
      <c r="J30" s="51">
        <f t="shared" si="1"/>
        <v>4.0598483569025721</v>
      </c>
      <c r="K30" s="51">
        <f t="shared" si="2"/>
        <v>1.9942826054496092</v>
      </c>
      <c r="L30" s="55">
        <f t="shared" si="3"/>
        <v>1.1192805719430021E-2</v>
      </c>
      <c r="M30" s="51">
        <f t="shared" si="4"/>
        <v>1.9830897997301793</v>
      </c>
      <c r="N30" s="94">
        <f t="shared" si="8"/>
        <v>11477.527893766059</v>
      </c>
      <c r="O30" s="56">
        <f t="shared" si="9"/>
        <v>98.692148933176227</v>
      </c>
      <c r="P30" s="57">
        <f t="shared" si="5"/>
        <v>96.181113297420467</v>
      </c>
      <c r="R30" s="47"/>
      <c r="S30" s="47"/>
      <c r="T30" s="47"/>
    </row>
    <row r="31" spans="1:20" ht="12.75" customHeight="1" x14ac:dyDescent="0.35">
      <c r="A31" s="49">
        <f>'New Vestas G27 60L'!P36</f>
        <v>2158.4496381666058</v>
      </c>
      <c r="B31" s="48">
        <f>'New Vestas G27 60L'!T36</f>
        <v>122.86867301238763</v>
      </c>
      <c r="C31" s="50">
        <f t="shared" si="0"/>
        <v>3.3341419199732911</v>
      </c>
      <c r="D31" s="50">
        <f t="shared" si="0"/>
        <v>2.0894411678977485</v>
      </c>
      <c r="E31" s="51">
        <f t="shared" si="6"/>
        <v>11.116502342523184</v>
      </c>
      <c r="F31" s="51">
        <f t="shared" si="6"/>
        <v>4.3657643941059074</v>
      </c>
      <c r="G31" s="52">
        <f t="shared" si="7"/>
        <v>6.9664933872058352</v>
      </c>
      <c r="H31" s="75" t="s">
        <v>83</v>
      </c>
      <c r="I31" s="79">
        <f>10^I14</f>
        <v>328.45048256073738</v>
      </c>
      <c r="J31" s="51">
        <f t="shared" si="1"/>
        <v>4.0540246543905596</v>
      </c>
      <c r="K31" s="51">
        <f t="shared" si="2"/>
        <v>1.9950316638420782</v>
      </c>
      <c r="L31" s="55">
        <f t="shared" si="3"/>
        <v>1.1121833354537347E-2</v>
      </c>
      <c r="M31" s="51">
        <f t="shared" si="4"/>
        <v>1.9839098304875409</v>
      </c>
      <c r="N31" s="94">
        <f t="shared" si="8"/>
        <v>11324.646501064668</v>
      </c>
      <c r="O31" s="56">
        <f t="shared" si="9"/>
        <v>98.862517139629176</v>
      </c>
      <c r="P31" s="57">
        <f t="shared" si="5"/>
        <v>96.362893134706823</v>
      </c>
      <c r="R31" s="47"/>
      <c r="S31" s="47"/>
      <c r="T31" s="47"/>
    </row>
    <row r="32" spans="1:20" ht="12.75" customHeight="1" thickBot="1" x14ac:dyDescent="0.4">
      <c r="A32" s="49">
        <f>'New Vestas G27 60L'!P37</f>
        <v>2354.6723325453881</v>
      </c>
      <c r="B32" s="48">
        <f>'New Vestas G27 60L'!T37</f>
        <v>120.50280576371755</v>
      </c>
      <c r="C32" s="50">
        <f t="shared" si="0"/>
        <v>3.3719304808626909</v>
      </c>
      <c r="D32" s="50">
        <f t="shared" si="0"/>
        <v>2.0809971590562313</v>
      </c>
      <c r="E32" s="51">
        <f t="shared" si="6"/>
        <v>11.369915167770898</v>
      </c>
      <c r="F32" s="51">
        <f t="shared" si="6"/>
        <v>4.3305491760001056</v>
      </c>
      <c r="G32" s="52">
        <f t="shared" si="7"/>
        <v>7.0169777512103719</v>
      </c>
      <c r="H32" s="61" t="str">
        <f>"C upper " &amp; TEXT(I18,"##%") &amp; " conf"</f>
        <v>C upper 95% conf</v>
      </c>
      <c r="I32" s="80">
        <f>10^(I14+I22)</f>
        <v>355.41528831590358</v>
      </c>
      <c r="J32" s="51">
        <f t="shared" si="1"/>
        <v>4.0481217958784033</v>
      </c>
      <c r="K32" s="51">
        <f t="shared" si="2"/>
        <v>1.9957909034665211</v>
      </c>
      <c r="L32" s="55">
        <f t="shared" si="3"/>
        <v>1.1049970859935216E-2</v>
      </c>
      <c r="M32" s="51">
        <f t="shared" si="4"/>
        <v>1.9847409326065859</v>
      </c>
      <c r="N32" s="94">
        <f t="shared" si="8"/>
        <v>11171.765108363259</v>
      </c>
      <c r="O32" s="56">
        <f t="shared" si="9"/>
        <v>99.035501122913885</v>
      </c>
      <c r="P32" s="57">
        <f t="shared" si="5"/>
        <v>96.547477760794095</v>
      </c>
      <c r="R32" s="47"/>
      <c r="S32" s="47"/>
      <c r="T32" s="47"/>
    </row>
    <row r="33" spans="1:20" ht="12.75" customHeight="1" x14ac:dyDescent="0.35">
      <c r="A33" s="49">
        <f>'New Vestas G27 60L'!P38</f>
        <v>2550.8950269241709</v>
      </c>
      <c r="B33" s="48">
        <f>'New Vestas G27 60L'!T38</f>
        <v>119.69792309148957</v>
      </c>
      <c r="C33" s="50">
        <f t="shared" si="0"/>
        <v>3.4066925871219031</v>
      </c>
      <c r="D33" s="50">
        <f t="shared" si="0"/>
        <v>2.078086614919938</v>
      </c>
      <c r="E33" s="51">
        <f t="shared" si="6"/>
        <v>11.605554383151325</v>
      </c>
      <c r="F33" s="51">
        <f t="shared" si="6"/>
        <v>4.3184439791094062</v>
      </c>
      <c r="G33" s="52">
        <f t="shared" si="7"/>
        <v>7.0794022664450011</v>
      </c>
      <c r="H33" s="63" t="s">
        <v>84</v>
      </c>
      <c r="I33" s="81"/>
      <c r="J33" s="51">
        <f t="shared" si="1"/>
        <v>4.0421375998983464</v>
      </c>
      <c r="K33" s="51">
        <f t="shared" si="2"/>
        <v>1.996560604908481</v>
      </c>
      <c r="L33" s="55">
        <f t="shared" si="3"/>
        <v>1.0977196242894808E-2</v>
      </c>
      <c r="M33" s="51">
        <f t="shared" si="4"/>
        <v>1.9855834086655861</v>
      </c>
      <c r="N33" s="94">
        <f t="shared" si="8"/>
        <v>11018.883715661845</v>
      </c>
      <c r="O33" s="56">
        <f t="shared" si="9"/>
        <v>99.211177675289846</v>
      </c>
      <c r="P33" s="57">
        <f t="shared" si="5"/>
        <v>96.73494936497066</v>
      </c>
      <c r="R33" s="47"/>
      <c r="S33" s="47"/>
      <c r="T33" s="47"/>
    </row>
    <row r="34" spans="1:20" ht="12.75" customHeight="1" thickBot="1" x14ac:dyDescent="0.4">
      <c r="A34" s="49">
        <f>'New Vestas G27 60L'!P39</f>
        <v>2747.1177213029532</v>
      </c>
      <c r="B34" s="48">
        <f>'New Vestas G27 60L'!T39</f>
        <v>116.28326933052243</v>
      </c>
      <c r="C34" s="50">
        <f t="shared" si="0"/>
        <v>3.4388772704933044</v>
      </c>
      <c r="D34" s="50">
        <f t="shared" si="0"/>
        <v>2.0655172335580176</v>
      </c>
      <c r="E34" s="51">
        <f t="shared" si="6"/>
        <v>11.82587688151548</v>
      </c>
      <c r="F34" s="51">
        <f t="shared" si="6"/>
        <v>4.2663614421251665</v>
      </c>
      <c r="G34" s="52">
        <f t="shared" si="7"/>
        <v>7.103060266294877</v>
      </c>
      <c r="H34" s="82" t="str">
        <f>"G27 Fit: S = " &amp; TEXT(I31,"0,00 E+00 ") &amp; " * N ^ -" &amp; TEXT(I28,"0,00")</f>
        <v>G27 Fit: S = 328 E+00  * N ^ -000</v>
      </c>
      <c r="I34" s="62"/>
      <c r="J34" s="51">
        <f t="shared" si="1"/>
        <v>4.0360697935422438</v>
      </c>
      <c r="K34" s="51">
        <f t="shared" si="2"/>
        <v>1.9973410605147794</v>
      </c>
      <c r="L34" s="55">
        <f t="shared" si="3"/>
        <v>1.090348672144419E-2</v>
      </c>
      <c r="M34" s="51">
        <f t="shared" si="4"/>
        <v>1.9864375737933353</v>
      </c>
      <c r="N34" s="94">
        <f t="shared" si="8"/>
        <v>10866.002322960443</v>
      </c>
      <c r="O34" s="56">
        <f t="shared" si="9"/>
        <v>99.389626948916003</v>
      </c>
      <c r="P34" s="57">
        <f t="shared" si="5"/>
        <v>96.925393712359664</v>
      </c>
      <c r="R34" s="47"/>
      <c r="S34" s="47"/>
      <c r="T34" s="47"/>
    </row>
    <row r="35" spans="1:20" ht="12.75" customHeight="1" thickBot="1" x14ac:dyDescent="0.4">
      <c r="A35" s="49">
        <f>'New Vestas G27 60L'!P40</f>
        <v>2943.3404156817351</v>
      </c>
      <c r="B35" s="48">
        <f>'New Vestas G27 60L'!T40</f>
        <v>112.50275980945165</v>
      </c>
      <c r="C35" s="50">
        <f t="shared" si="0"/>
        <v>3.4688404938707471</v>
      </c>
      <c r="D35" s="50">
        <f t="shared" si="0"/>
        <v>2.0511631762724014</v>
      </c>
      <c r="E35" s="51">
        <f t="shared" si="6"/>
        <v>12.032854371917448</v>
      </c>
      <c r="F35" s="51">
        <f t="shared" si="6"/>
        <v>4.2072703756958862</v>
      </c>
      <c r="G35" s="52">
        <f t="shared" si="7"/>
        <v>7.1151578853902473</v>
      </c>
      <c r="H35" s="82" t="str">
        <f>"G27 Fit: N = " &amp; TEXT((1/I31)^(-1/I28),"0,00 E+00 ") &amp; " * S ^ -" &amp; TEXT(1/I28,"0,00")</f>
        <v>G27 Fit: N = 3,671 E+16  * S ^ -008</v>
      </c>
      <c r="I35" s="84"/>
      <c r="J35" s="51">
        <f t="shared" si="1"/>
        <v>4.0299160072785201</v>
      </c>
      <c r="K35" s="51">
        <f t="shared" si="2"/>
        <v>1.9981325750601733</v>
      </c>
      <c r="L35" s="55">
        <f t="shared" si="3"/>
        <v>1.0828818688939793E-2</v>
      </c>
      <c r="M35" s="51">
        <f t="shared" si="4"/>
        <v>1.9873037563712335</v>
      </c>
      <c r="N35" s="94">
        <f t="shared" si="8"/>
        <v>10713.120930259038</v>
      </c>
      <c r="O35" s="56">
        <f t="shared" si="9"/>
        <v>99.570932652598245</v>
      </c>
      <c r="P35" s="57">
        <f t="shared" si="5"/>
        <v>97.118900351456389</v>
      </c>
      <c r="R35" s="47"/>
      <c r="S35" s="47"/>
      <c r="T35" s="47"/>
    </row>
    <row r="36" spans="1:20" ht="12.75" customHeight="1" x14ac:dyDescent="0.35">
      <c r="A36" s="49">
        <f>'New Vestas G27 60L'!P41</f>
        <v>3924.4538875756475</v>
      </c>
      <c r="B36" s="48">
        <f>'New Vestas G27 60L'!T41</f>
        <v>110.77104254496116</v>
      </c>
      <c r="C36" s="50">
        <f t="shared" si="0"/>
        <v>3.5937792304790475</v>
      </c>
      <c r="D36" s="50">
        <f t="shared" si="0"/>
        <v>2.0444262431849234</v>
      </c>
      <c r="E36" s="51">
        <f t="shared" si="6"/>
        <v>12.915249157422574</v>
      </c>
      <c r="F36" s="51">
        <f t="shared" si="6"/>
        <v>4.1796786638232195</v>
      </c>
      <c r="G36" s="52">
        <f t="shared" si="7"/>
        <v>7.3472165710042843</v>
      </c>
      <c r="H36" s="83"/>
      <c r="I36" s="83"/>
      <c r="J36" s="51">
        <f t="shared" si="1"/>
        <v>4.0236737693966216</v>
      </c>
      <c r="K36" s="51">
        <f t="shared" si="2"/>
        <v>1.9989354664619197</v>
      </c>
      <c r="L36" s="55">
        <f t="shared" si="3"/>
        <v>1.0753167676912336E-2</v>
      </c>
      <c r="M36" s="51">
        <f t="shared" si="4"/>
        <v>1.9881822987850073</v>
      </c>
      <c r="N36" s="94">
        <f t="shared" si="8"/>
        <v>10560.23953755764</v>
      </c>
      <c r="O36" s="56">
        <f t="shared" si="9"/>
        <v>99.75518226305482</v>
      </c>
      <c r="P36" s="57">
        <f t="shared" si="5"/>
        <v>97.315562836793035</v>
      </c>
      <c r="R36" s="47"/>
      <c r="S36" s="47"/>
      <c r="T36" s="47"/>
    </row>
    <row r="37" spans="1:20" ht="12.75" customHeight="1" x14ac:dyDescent="0.35">
      <c r="A37" s="49">
        <f>'New Vestas G27 60L'!P42</f>
        <v>4513.1219707119944</v>
      </c>
      <c r="B37" s="48">
        <f>'New Vestas G27 60L'!T42</f>
        <v>107.81980608012526</v>
      </c>
      <c r="C37" s="50">
        <f t="shared" si="0"/>
        <v>3.6544770708326588</v>
      </c>
      <c r="D37" s="50">
        <f t="shared" si="0"/>
        <v>2.0326985463907135</v>
      </c>
      <c r="E37" s="51">
        <f t="shared" si="6"/>
        <v>13.35520266124165</v>
      </c>
      <c r="F37" s="51">
        <f t="shared" si="6"/>
        <v>4.1318633804989195</v>
      </c>
      <c r="G37" s="52">
        <f t="shared" si="7"/>
        <v>7.4284502296997381</v>
      </c>
      <c r="H37" s="95">
        <f>1/I28</f>
        <v>7.7746976344747871</v>
      </c>
      <c r="I37" s="85">
        <f>I31-I30</f>
        <v>24.919027834753081</v>
      </c>
      <c r="J37" s="51">
        <f t="shared" si="1"/>
        <v>4.0173405000463456</v>
      </c>
      <c r="K37" s="51">
        <f t="shared" si="2"/>
        <v>1.9997500665464545</v>
      </c>
      <c r="L37" s="55">
        <f t="shared" si="3"/>
        <v>1.0676508316123127E-2</v>
      </c>
      <c r="M37" s="51">
        <f t="shared" si="4"/>
        <v>1.9890735582303314</v>
      </c>
      <c r="N37" s="94">
        <f t="shared" si="8"/>
        <v>10407.358144856249</v>
      </c>
      <c r="O37" s="56">
        <f t="shared" si="9"/>
        <v>99.942467251998593</v>
      </c>
      <c r="P37" s="57">
        <f t="shared" si="5"/>
        <v>97.515478968063405</v>
      </c>
      <c r="R37" s="47"/>
      <c r="S37" s="47"/>
      <c r="T37" s="47"/>
    </row>
    <row r="38" spans="1:20" ht="12.75" customHeight="1" x14ac:dyDescent="0.35">
      <c r="A38" s="49">
        <f>'New Vestas G27 60L'!P43</f>
        <v>1962.2269437878238</v>
      </c>
      <c r="B38" s="48">
        <f>'New Vestas G27 60L'!T43</f>
        <v>123.47843261256035</v>
      </c>
      <c r="C38" s="50">
        <f t="shared" si="0"/>
        <v>3.2927492348150662</v>
      </c>
      <c r="D38" s="50">
        <f t="shared" si="0"/>
        <v>2.0915911080789567</v>
      </c>
      <c r="E38" s="51">
        <f t="shared" si="6"/>
        <v>10.842197523375203</v>
      </c>
      <c r="F38" s="51">
        <f t="shared" si="6"/>
        <v>4.3747533633949578</v>
      </c>
      <c r="G38" s="52">
        <f t="shared" si="7"/>
        <v>6.8870850206729806</v>
      </c>
      <c r="H38" s="95">
        <f>((1/I27)-(1/I29))/2</f>
        <v>0.63507119867887063</v>
      </c>
      <c r="I38" s="85">
        <f>I32-I31</f>
        <v>26.964805755166196</v>
      </c>
      <c r="J38" s="51">
        <f t="shared" si="1"/>
        <v>4.0109135048360836</v>
      </c>
      <c r="K38" s="51">
        <f t="shared" si="2"/>
        <v>2.0005767218727994</v>
      </c>
      <c r="L38" s="55">
        <f t="shared" si="3"/>
        <v>1.059881429577144E-2</v>
      </c>
      <c r="M38" s="51">
        <f t="shared" si="4"/>
        <v>1.9899779075770281</v>
      </c>
      <c r="N38" s="94">
        <f t="shared" si="8"/>
        <v>10254.476752154826</v>
      </c>
      <c r="O38" s="56">
        <f t="shared" si="9"/>
        <v>100.13288333047167</v>
      </c>
      <c r="P38" s="57">
        <f t="shared" si="5"/>
        <v>97.718751047176966</v>
      </c>
      <c r="R38" s="47"/>
      <c r="S38" s="47"/>
      <c r="T38" s="47"/>
    </row>
    <row r="39" spans="1:20" ht="12.75" customHeight="1" x14ac:dyDescent="0.35">
      <c r="A39" s="49">
        <f>'New Vestas G27 60L'!P44</f>
        <v>2158.4496381666058</v>
      </c>
      <c r="B39" s="48">
        <f>'New Vestas G27 60L'!T44</f>
        <v>121.5759826600215</v>
      </c>
      <c r="C39" s="50">
        <f t="shared" si="0"/>
        <v>3.3341419199732911</v>
      </c>
      <c r="D39" s="50">
        <f t="shared" si="0"/>
        <v>2.0848477885186458</v>
      </c>
      <c r="E39" s="51">
        <f t="shared" si="6"/>
        <v>11.116502342523184</v>
      </c>
      <c r="F39" s="51">
        <f t="shared" si="6"/>
        <v>4.346590301291088</v>
      </c>
      <c r="G39" s="52">
        <f t="shared" si="7"/>
        <v>6.9511784084636279</v>
      </c>
      <c r="H39" s="86"/>
      <c r="I39" s="86"/>
      <c r="J39" s="51">
        <f t="shared" si="1"/>
        <v>4.0043899679502202</v>
      </c>
      <c r="K39" s="51">
        <f t="shared" si="2"/>
        <v>2.0014157946178202</v>
      </c>
      <c r="L39" s="55">
        <f t="shared" si="3"/>
        <v>1.0520058320799792E-2</v>
      </c>
      <c r="M39" s="51">
        <f t="shared" si="4"/>
        <v>1.9908957362970203</v>
      </c>
      <c r="N39" s="94">
        <f t="shared" si="8"/>
        <v>10101.595359453429</v>
      </c>
      <c r="O39" s="56">
        <f t="shared" si="9"/>
        <v>100.3265307120223</v>
      </c>
      <c r="P39" s="57">
        <f t="shared" si="5"/>
        <v>97.925486154866334</v>
      </c>
      <c r="R39" s="47"/>
      <c r="S39" s="47"/>
      <c r="T39" s="47"/>
    </row>
    <row r="40" spans="1:20" ht="12.75" customHeight="1" x14ac:dyDescent="0.35">
      <c r="A40" s="49">
        <f>'New Vestas G27 60L'!P45</f>
        <v>2354.6723325453881</v>
      </c>
      <c r="B40" s="48">
        <f>'New Vestas G27 60L'!T45</f>
        <v>120.45402499570373</v>
      </c>
      <c r="C40" s="50">
        <f t="shared" si="0"/>
        <v>3.3719304808626909</v>
      </c>
      <c r="D40" s="50">
        <f t="shared" si="0"/>
        <v>2.0808213166151264</v>
      </c>
      <c r="E40" s="51">
        <f t="shared" si="6"/>
        <v>11.369915167770898</v>
      </c>
      <c r="F40" s="51">
        <f t="shared" si="6"/>
        <v>4.3298173516799077</v>
      </c>
      <c r="G40" s="52">
        <f t="shared" si="7"/>
        <v>7.0163848227233805</v>
      </c>
      <c r="H40" s="86" t="b">
        <f>H37=H38</f>
        <v>0</v>
      </c>
      <c r="I40" s="86"/>
      <c r="J40" s="51">
        <f t="shared" si="1"/>
        <v>3.9977669447416742</v>
      </c>
      <c r="K40" s="51">
        <f t="shared" si="2"/>
        <v>2.0022676635289889</v>
      </c>
      <c r="L40" s="55">
        <f t="shared" si="3"/>
        <v>1.0440212067252782E-2</v>
      </c>
      <c r="M40" s="51">
        <f t="shared" si="4"/>
        <v>1.991827451461736</v>
      </c>
      <c r="N40" s="94">
        <f t="shared" si="8"/>
        <v>9948.7139667520096</v>
      </c>
      <c r="O40" s="56">
        <f t="shared" si="9"/>
        <v>100.52351439648791</v>
      </c>
      <c r="P40" s="57">
        <f t="shared" si="5"/>
        <v>98.13579644864592</v>
      </c>
      <c r="R40" s="47"/>
      <c r="S40" s="47"/>
      <c r="T40" s="47"/>
    </row>
    <row r="41" spans="1:20" ht="12.75" customHeight="1" x14ac:dyDescent="0.35">
      <c r="A41" s="49">
        <f>'New Vestas G27 60L'!P46</f>
        <v>2550.8950269241709</v>
      </c>
      <c r="B41" s="48">
        <f>'New Vestas G27 60L'!T46</f>
        <v>119.21011541135141</v>
      </c>
      <c r="C41" s="50">
        <f t="shared" si="0"/>
        <v>3.4066925871219031</v>
      </c>
      <c r="D41" s="50">
        <f t="shared" si="0"/>
        <v>2.0763131084322626</v>
      </c>
      <c r="E41" s="51">
        <f t="shared" si="6"/>
        <v>11.605554383151325</v>
      </c>
      <c r="F41" s="51">
        <f t="shared" si="6"/>
        <v>4.311076124247645</v>
      </c>
      <c r="G41" s="52">
        <f t="shared" si="7"/>
        <v>7.073360475040225</v>
      </c>
      <c r="H41" s="86"/>
      <c r="I41" s="86"/>
      <c r="J41" s="51">
        <f t="shared" si="1"/>
        <v>3.9910413537508256</v>
      </c>
      <c r="K41" s="51">
        <f t="shared" si="2"/>
        <v>2.0031327249509312</v>
      </c>
      <c r="L41" s="55">
        <f t="shared" si="3"/>
        <v>1.0359246135657769E-2</v>
      </c>
      <c r="M41" s="51">
        <f t="shared" si="4"/>
        <v>1.9927734788152733</v>
      </c>
      <c r="N41" s="94">
        <f t="shared" si="8"/>
        <v>9795.8325740506061</v>
      </c>
      <c r="O41" s="56">
        <f t="shared" si="9"/>
        <v>100.72394447634045</v>
      </c>
      <c r="P41" s="57">
        <f t="shared" si="5"/>
        <v>98.349799484112907</v>
      </c>
      <c r="R41" s="47"/>
      <c r="S41" s="47"/>
      <c r="T41" s="47"/>
    </row>
    <row r="42" spans="1:20" ht="12.75" customHeight="1" x14ac:dyDescent="0.35">
      <c r="A42" s="49">
        <f>'New Vestas G27 60L'!P47</f>
        <v>2747.1177213029532</v>
      </c>
      <c r="B42" s="48">
        <f>'New Vestas G27 60L'!T47</f>
        <v>118.81986926724086</v>
      </c>
      <c r="C42" s="50">
        <f t="shared" si="0"/>
        <v>3.4388772704933044</v>
      </c>
      <c r="D42" s="50">
        <f t="shared" si="0"/>
        <v>2.0748890702040486</v>
      </c>
      <c r="E42" s="51">
        <f t="shared" si="6"/>
        <v>11.82587688151548</v>
      </c>
      <c r="F42" s="51">
        <f t="shared" si="6"/>
        <v>4.3051646536522208</v>
      </c>
      <c r="G42" s="52">
        <f t="shared" si="7"/>
        <v>7.1352888623196886</v>
      </c>
      <c r="H42" s="86"/>
      <c r="I42" s="86"/>
      <c r="J42" s="51">
        <f t="shared" si="1"/>
        <v>3.9842099680966689</v>
      </c>
      <c r="K42" s="51">
        <f t="shared" si="2"/>
        <v>2.0040113939327142</v>
      </c>
      <c r="L42" s="55">
        <f t="shared" si="3"/>
        <v>1.0277130002411492E-2</v>
      </c>
      <c r="M42" s="51">
        <f t="shared" si="4"/>
        <v>1.9937342639303026</v>
      </c>
      <c r="N42" s="94">
        <f t="shared" si="8"/>
        <v>9642.9511813491918</v>
      </c>
      <c r="O42" s="56">
        <f t="shared" si="9"/>
        <v>100.92793646777304</v>
      </c>
      <c r="P42" s="57">
        <f t="shared" si="5"/>
        <v>98.56761856179925</v>
      </c>
      <c r="R42" s="47"/>
      <c r="S42" s="47"/>
      <c r="T42" s="47"/>
    </row>
    <row r="43" spans="1:20" ht="12.75" customHeight="1" thickBot="1" x14ac:dyDescent="0.4">
      <c r="A43" s="49">
        <f>'New Vestas G27 60L'!P48</f>
        <v>3335.7858044393001</v>
      </c>
      <c r="B43" s="48">
        <f>'New Vestas G27 60L'!T48</f>
        <v>116.35644048254314</v>
      </c>
      <c r="C43" s="50">
        <f t="shared" si="0"/>
        <v>3.5231981561933399</v>
      </c>
      <c r="D43" s="50">
        <f t="shared" si="0"/>
        <v>2.0657904270607994</v>
      </c>
      <c r="E43" s="51">
        <f t="shared" si="6"/>
        <v>12.41292524780415</v>
      </c>
      <c r="F43" s="51">
        <f t="shared" si="6"/>
        <v>4.2674900885360403</v>
      </c>
      <c r="G43" s="52">
        <f t="shared" si="7"/>
        <v>7.2781890237024607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3.9772694061799996</v>
      </c>
      <c r="K43" s="51">
        <f t="shared" si="2"/>
        <v>2.004904105423627</v>
      </c>
      <c r="L43" s="55">
        <f t="shared" si="3"/>
        <v>1.0193831969178647E-2</v>
      </c>
      <c r="M43" s="51">
        <f t="shared" si="4"/>
        <v>1.9947102734544484</v>
      </c>
      <c r="N43" s="94">
        <f t="shared" si="8"/>
        <v>9490.0697886477974</v>
      </c>
      <c r="O43" s="56">
        <f t="shared" si="9"/>
        <v>101.13561166895387</v>
      </c>
      <c r="P43" s="57">
        <f t="shared" si="5"/>
        <v>98.789383102032147</v>
      </c>
      <c r="R43" s="47"/>
      <c r="S43" s="47"/>
      <c r="T43" s="47"/>
    </row>
    <row r="44" spans="1:20" ht="12.75" customHeight="1" x14ac:dyDescent="0.35">
      <c r="A44" s="49">
        <f>'New Vestas G27 60L'!P49</f>
        <v>4513.1219707119944</v>
      </c>
      <c r="B44" s="48">
        <f>'New Vestas G27 60L'!T49</f>
        <v>114.21008668993522</v>
      </c>
      <c r="C44" s="50">
        <f t="shared" si="0"/>
        <v>3.6544770708326588</v>
      </c>
      <c r="D44" s="50">
        <f t="shared" si="0"/>
        <v>2.0577044611807001</v>
      </c>
      <c r="E44" s="51">
        <f t="shared" si="6"/>
        <v>13.35520266124165</v>
      </c>
      <c r="F44" s="51">
        <f t="shared" si="6"/>
        <v>4.2341476495629555</v>
      </c>
      <c r="G44" s="52">
        <f t="shared" si="7"/>
        <v>7.5198337719349393</v>
      </c>
      <c r="H44" s="86"/>
      <c r="I44" s="86"/>
      <c r="J44" s="51">
        <f t="shared" si="1"/>
        <v>3.9702161216315828</v>
      </c>
      <c r="K44" s="51">
        <f t="shared" si="2"/>
        <v>2.0058113155660693</v>
      </c>
      <c r="L44" s="55">
        <f t="shared" si="3"/>
        <v>1.0109319110336013E-2</v>
      </c>
      <c r="M44" s="51">
        <f t="shared" si="4"/>
        <v>1.9957019964557332</v>
      </c>
      <c r="N44" s="94">
        <f t="shared" si="8"/>
        <v>9337.1883959463848</v>
      </c>
      <c r="O44" s="56">
        <f t="shared" si="9"/>
        <v>101.34709754815297</v>
      </c>
      <c r="P44" s="57">
        <f t="shared" si="5"/>
        <v>99.01522905053406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/>
      <c r="I45" s="86"/>
      <c r="J45" s="51">
        <f t="shared" si="1"/>
        <v>3.9630463924305088</v>
      </c>
      <c r="K45" s="51">
        <f t="shared" si="2"/>
        <v>2.0067335030951741</v>
      </c>
      <c r="L45" s="55">
        <f t="shared" si="3"/>
        <v>1.0023557218531693E-2</v>
      </c>
      <c r="M45" s="51">
        <f t="shared" si="4"/>
        <v>1.9967099458766424</v>
      </c>
      <c r="N45" s="94">
        <f t="shared" si="8"/>
        <v>9184.3070032449759</v>
      </c>
      <c r="O45" s="56">
        <f t="shared" si="9"/>
        <v>101.56252816476925</v>
      </c>
      <c r="P45" s="57">
        <f t="shared" si="5"/>
        <v>99.24529931781008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3.9557563091091459</v>
      </c>
      <c r="K46" s="51">
        <f t="shared" si="2"/>
        <v>2.0076711708559163</v>
      </c>
      <c r="L46" s="55">
        <f t="shared" si="3"/>
        <v>9.9365107484748437E-3</v>
      </c>
      <c r="M46" s="51">
        <f t="shared" si="4"/>
        <v>1.9977346601074415</v>
      </c>
      <c r="N46" s="94">
        <f t="shared" si="8"/>
        <v>9031.4256105435743</v>
      </c>
      <c r="O46" s="56">
        <f t="shared" si="9"/>
        <v>101.78204462664668</v>
      </c>
      <c r="P46" s="57">
        <f t="shared" si="5"/>
        <v>99.479744255723944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3.9483417619511179</v>
      </c>
      <c r="K47" s="51">
        <f t="shared" si="2"/>
        <v>2.0086248474497364</v>
      </c>
      <c r="L47" s="55">
        <f t="shared" si="3"/>
        <v>9.8481427591295845E-3</v>
      </c>
      <c r="M47" s="51">
        <f t="shared" si="4"/>
        <v>1.9987767046906069</v>
      </c>
      <c r="N47" s="94">
        <f t="shared" si="8"/>
        <v>8878.5442178421599</v>
      </c>
      <c r="O47" s="56">
        <f t="shared" si="9"/>
        <v>102.00579558747991</v>
      </c>
      <c r="P47" s="57">
        <f t="shared" si="5"/>
        <v>99.718722175065864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3.9407984270773442</v>
      </c>
      <c r="K48" s="51">
        <f t="shared" si="2"/>
        <v>2.0095950890241898</v>
      </c>
      <c r="L48" s="55">
        <f t="shared" si="3"/>
        <v>9.7584148545605508E-3</v>
      </c>
      <c r="M48" s="51">
        <f t="shared" si="4"/>
        <v>1.9998366741696292</v>
      </c>
      <c r="N48" s="94">
        <f t="shared" si="8"/>
        <v>8725.6628251407583</v>
      </c>
      <c r="O48" s="56">
        <f t="shared" si="9"/>
        <v>102.23393778858372</v>
      </c>
      <c r="P48" s="57">
        <f t="shared" si="5"/>
        <v>99.962399908375659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3.9331217513021972</v>
      </c>
      <c r="K49" s="51">
        <f t="shared" si="2"/>
        <v>2.0105824812207826</v>
      </c>
      <c r="L49" s="55">
        <f t="shared" si="3"/>
        <v>9.6672871237708131E-3</v>
      </c>
      <c r="M49" s="51">
        <f t="shared" si="4"/>
        <v>2.0009151940970118</v>
      </c>
      <c r="N49" s="94">
        <f t="shared" si="8"/>
        <v>8572.7814324393585</v>
      </c>
      <c r="O49" s="56">
        <f t="shared" si="9"/>
        <v>102.46663664983669</v>
      </c>
      <c r="P49" s="57">
        <f t="shared" si="5"/>
        <v>100.21095342280107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3.9253069356269759</v>
      </c>
      <c r="K50" s="51">
        <f t="shared" si="2"/>
        <v>2.0115876412980787</v>
      </c>
      <c r="L50" s="55">
        <f t="shared" si="3"/>
        <v>9.5747180799905813E-3</v>
      </c>
      <c r="M50" s="51">
        <f t="shared" si="4"/>
        <v>2.0020129232180879</v>
      </c>
      <c r="N50" s="94">
        <f t="shared" si="8"/>
        <v>8419.9000397379568</v>
      </c>
      <c r="O50" s="56">
        <f t="shared" si="9"/>
        <v>102.70406691523009</v>
      </c>
      <c r="P50" s="57">
        <f t="shared" si="5"/>
        <v>100.46456848836915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3.9173489172208451</v>
      </c>
      <c r="K51" s="51">
        <f t="shared" si="2"/>
        <v>2.0126112204493554</v>
      </c>
      <c r="L51" s="55">
        <f t="shared" si="3"/>
        <v>9.4806646000228437E-3</v>
      </c>
      <c r="M51" s="51">
        <f t="shared" si="4"/>
        <v>2.0031305558493324</v>
      </c>
      <c r="N51" s="94">
        <f t="shared" si="8"/>
        <v>8267.0186470365388</v>
      </c>
      <c r="O51" s="56">
        <f t="shared" si="9"/>
        <v>102.94641335916248</v>
      </c>
      <c r="P51" s="57">
        <f t="shared" si="5"/>
        <v>100.72344140772572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3.9092423497198241</v>
      </c>
      <c r="K52" s="51">
        <f t="shared" si="2"/>
        <v>2.0136539063365948</v>
      </c>
      <c r="L52" s="55">
        <f t="shared" si="3"/>
        <v>9.3850818644386144E-3</v>
      </c>
      <c r="M52" s="51">
        <f t="shared" si="4"/>
        <v>2.004268824472156</v>
      </c>
      <c r="N52" s="94">
        <f t="shared" si="8"/>
        <v>8114.1372543351372</v>
      </c>
      <c r="O52" s="56">
        <f t="shared" si="9"/>
        <v>103.19387156043778</v>
      </c>
      <c r="P52" s="57">
        <f t="shared" si="5"/>
        <v>100.98777981417535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3.9009815816518265</v>
      </c>
      <c r="K53" s="51">
        <f t="shared" si="2"/>
        <v>2.0147164258655046</v>
      </c>
      <c r="L53" s="55">
        <f t="shared" si="3"/>
        <v>9.287923299648412E-3</v>
      </c>
      <c r="M53" s="51">
        <f t="shared" si="4"/>
        <v>2.0054285025658563</v>
      </c>
      <c r="N53" s="94">
        <f t="shared" si="8"/>
        <v>7961.2558616337328</v>
      </c>
      <c r="O53" s="56">
        <f t="shared" si="9"/>
        <v>103.44664875187028</v>
      </c>
      <c r="P53" s="57">
        <f t="shared" si="5"/>
        <v>101.25780354574717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3.8925606327697064</v>
      </c>
      <c r="K54" s="51">
        <f t="shared" si="2"/>
        <v>2.015799548229618</v>
      </c>
      <c r="L54" s="55">
        <f t="shared" si="3"/>
        <v>9.1891405231714143E-3</v>
      </c>
      <c r="M54" s="51">
        <f t="shared" si="4"/>
        <v>2.0066104077064466</v>
      </c>
      <c r="N54" s="94">
        <f t="shared" si="8"/>
        <v>7808.3744689323321</v>
      </c>
      <c r="O54" s="56">
        <f t="shared" si="9"/>
        <v>103.70496475449373</v>
      </c>
      <c r="P54" s="57">
        <f t="shared" si="5"/>
        <v>101.53374560403793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3.883973168044065</v>
      </c>
      <c r="K55" s="51">
        <f t="shared" si="2"/>
        <v>2.0169040882554015</v>
      </c>
      <c r="L55" s="55">
        <f t="shared" si="3"/>
        <v>9.088683293794763E-3</v>
      </c>
      <c r="M55" s="51">
        <f t="shared" si="4"/>
        <v>2.0078154049616068</v>
      </c>
      <c r="N55" s="94">
        <f t="shared" si="8"/>
        <v>7655.4930762309177</v>
      </c>
      <c r="O55" s="56">
        <f t="shared" si="9"/>
        <v>103.96905300664267</v>
      </c>
      <c r="P55" s="57">
        <f t="shared" si="5"/>
        <v>101.81585320776885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3.8752124690325211</v>
      </c>
      <c r="K56" s="51">
        <f t="shared" si="2"/>
        <v>2.0180309100848057</v>
      </c>
      <c r="L56" s="55">
        <f t="shared" si="3"/>
        <v>8.9864994687830803E-3</v>
      </c>
      <c r="M56" s="51">
        <f t="shared" si="4"/>
        <v>2.0090444106160228</v>
      </c>
      <c r="N56" s="94">
        <f t="shared" si="8"/>
        <v>7502.6116835295143</v>
      </c>
      <c r="O56" s="56">
        <f t="shared" si="9"/>
        <v>104.23916169965061</v>
      </c>
      <c r="P56" s="57">
        <f t="shared" si="5"/>
        <v>102.10438895235652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3.8662714023013058</v>
      </c>
      <c r="K57" s="51">
        <f t="shared" si="2"/>
        <v>2.0191809312369555</v>
      </c>
      <c r="L57" s="55">
        <f t="shared" si="3"/>
        <v>8.8825349708885042E-3</v>
      </c>
      <c r="M57" s="51">
        <f t="shared" si="4"/>
        <v>2.0102983962660672</v>
      </c>
      <c r="N57" s="94">
        <f t="shared" si="8"/>
        <v>7349.7302908281163</v>
      </c>
      <c r="O57" s="56">
        <f t="shared" si="9"/>
        <v>104.51555503363878</v>
      </c>
      <c r="P57" s="57">
        <f t="shared" si="5"/>
        <v>102.39963208838461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3.8571423845273336</v>
      </c>
      <c r="K58" s="51">
        <f t="shared" si="2"/>
        <v>2.0203551270968041</v>
      </c>
      <c r="L58" s="55">
        <f t="shared" si="3"/>
        <v>8.776733768657655E-3</v>
      </c>
      <c r="M58" s="51">
        <f t="shared" si="4"/>
        <v>2.0115783933281466</v>
      </c>
      <c r="N58" s="94">
        <f t="shared" si="8"/>
        <v>7196.8488981267101</v>
      </c>
      <c r="O58" s="56">
        <f t="shared" si="9"/>
        <v>104.79851460888902</v>
      </c>
      <c r="P58" s="57">
        <f t="shared" si="5"/>
        <v>102.70187993370091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3.8478173438530132</v>
      </c>
      <c r="K59" s="51">
        <f t="shared" si="2"/>
        <v>2.0215545358857669</v>
      </c>
      <c r="L59" s="55">
        <f t="shared" si="3"/>
        <v>8.669037874477311E-3</v>
      </c>
      <c r="M59" s="51">
        <f t="shared" si="4"/>
        <v>2.0128854980112898</v>
      </c>
      <c r="N59" s="94">
        <f t="shared" si="8"/>
        <v>7043.9675054252912</v>
      </c>
      <c r="O59" s="56">
        <f t="shared" si="9"/>
        <v>105.08834097067064</v>
      </c>
      <c r="P59" s="57">
        <f t="shared" si="5"/>
        <v>103.01144943600085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3.8382876770003271</v>
      </c>
      <c r="K60" s="51">
        <f t="shared" si="2"/>
        <v>2.0227802641778139</v>
      </c>
      <c r="L60" s="55">
        <f t="shared" si="3"/>
        <v>8.559387366000603E-3</v>
      </c>
      <c r="M60" s="51">
        <f t="shared" si="4"/>
        <v>2.0142208768118133</v>
      </c>
      <c r="N60" s="94">
        <f t="shared" si="8"/>
        <v>6891.0861127238877</v>
      </c>
      <c r="O60" s="56">
        <f t="shared" si="9"/>
        <v>105.38535532819222</v>
      </c>
      <c r="P60" s="57">
        <f t="shared" si="5"/>
        <v>103.3286789052577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3.8285442015731914</v>
      </c>
      <c r="K61" s="51">
        <f t="shared" si="2"/>
        <v>2.024033493034449</v>
      </c>
      <c r="L61" s="55">
        <f t="shared" si="3"/>
        <v>8.4477204381229447E-3</v>
      </c>
      <c r="M61" s="51">
        <f t="shared" si="4"/>
        <v>2.0155857725963262</v>
      </c>
      <c r="N61" s="94">
        <f t="shared" si="8"/>
        <v>6738.2047200224806</v>
      </c>
      <c r="O61" s="56">
        <f t="shared" si="9"/>
        <v>105.68990147165681</v>
      </c>
      <c r="P61" s="57">
        <f t="shared" si="5"/>
        <v>103.65392993827605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3.8185771028853757</v>
      </c>
      <c r="K62" s="51">
        <f t="shared" si="2"/>
        <v>2.0253154848438308</v>
      </c>
      <c r="L62" s="55">
        <f t="shared" si="3"/>
        <v>8.3339734946270855E-3</v>
      </c>
      <c r="M62" s="51">
        <f t="shared" si="4"/>
        <v>2.0169815113492038</v>
      </c>
      <c r="N62" s="94">
        <f t="shared" si="8"/>
        <v>6585.3233273210772</v>
      </c>
      <c r="O62" s="56">
        <f t="shared" si="9"/>
        <v>106.00234791533367</v>
      </c>
      <c r="P62" s="57">
        <f t="shared" si="5"/>
        <v>103.98758956106897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3.8083758745422229</v>
      </c>
      <c r="K63" s="51">
        <f t="shared" si="2"/>
        <v>2.0266275909632916</v>
      </c>
      <c r="L63" s="55">
        <f t="shared" si="3"/>
        <v>8.2180812911122718E-3</v>
      </c>
      <c r="M63" s="51">
        <f t="shared" si="4"/>
        <v>2.0184095096721792</v>
      </c>
      <c r="N63" s="94">
        <f t="shared" si="8"/>
        <v>6432.4419346196728</v>
      </c>
      <c r="O63" s="56">
        <f t="shared" si="9"/>
        <v>106.32309029923881</v>
      </c>
      <c r="P63" s="57">
        <f t="shared" si="5"/>
        <v>104.33007261878649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3.7979292518744603</v>
      </c>
      <c r="K64" s="51">
        <f t="shared" si="2"/>
        <v>2.0279712602812392</v>
      </c>
      <c r="L64" s="55">
        <f t="shared" si="3"/>
        <v>8.0999771440290781E-3</v>
      </c>
      <c r="M64" s="51">
        <f t="shared" si="4"/>
        <v>2.0198712831372103</v>
      </c>
      <c r="N64" s="94">
        <f t="shared" si="8"/>
        <v>6279.5605419182657</v>
      </c>
      <c r="O64" s="56">
        <f t="shared" si="9"/>
        <v>106.65255408761629</v>
      </c>
      <c r="P64" s="57">
        <f t="shared" si="5"/>
        <v>104.68182444766659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3.7872251371667427</v>
      </c>
      <c r="K65" s="51">
        <f t="shared" si="2"/>
        <v>2.0293480488344366</v>
      </c>
      <c r="L65" s="55">
        <f t="shared" si="3"/>
        <v>7.9795932247732106E-3</v>
      </c>
      <c r="M65" s="51">
        <f t="shared" si="4"/>
        <v>2.0213684556096636</v>
      </c>
      <c r="N65" s="94">
        <f t="shared" si="8"/>
        <v>6126.6791492168531</v>
      </c>
      <c r="O65" s="56">
        <f t="shared" si="9"/>
        <v>106.99119760913345</v>
      </c>
      <c r="P65" s="57">
        <f t="shared" si="5"/>
        <v>105.04332386909259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3.7762505154364847</v>
      </c>
      <c r="K66" s="51">
        <f t="shared" ref="K66:K129" si="11">+$I$14+$I$13*J66</f>
        <v>2.0307596306407305</v>
      </c>
      <c r="L66" s="55">
        <f t="shared" ref="L66:L129" si="12">SQRT(2*$I$20*$I$17)*SQRT((1/$I$2)+((J66-$I$11)^2/$I$8))</f>
        <v>7.8568609631370512E-3</v>
      </c>
      <c r="M66" s="51">
        <f t="shared" ref="M66:M102" si="13">+$I$14+$I$13*J66-L66</f>
        <v>2.0229027696775934</v>
      </c>
      <c r="N66" s="94">
        <f t="shared" si="8"/>
        <v>5973.7977565154551</v>
      </c>
      <c r="O66" s="56">
        <f t="shared" si="9"/>
        <v>107.33951549181501</v>
      </c>
      <c r="P66" s="57">
        <f t="shared" ref="P66:P102" si="14">10^M66</f>
        <v>105.41508655250109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3.7649913592926123</v>
      </c>
      <c r="K67" s="51">
        <f t="shared" si="11"/>
        <v>2.0322078099363399</v>
      </c>
      <c r="L67" s="55">
        <f t="shared" si="12"/>
        <v>7.7317115913588938E-3</v>
      </c>
      <c r="M67" s="51">
        <f t="shared" si="13"/>
        <v>2.024476098344981</v>
      </c>
      <c r="N67" s="94">
        <f t="shared" ref="N67:N101" si="15">10^$J67</f>
        <v>5820.9163638140453</v>
      </c>
      <c r="O67" s="56">
        <f t="shared" ref="O67:O102" si="16">10^K67</f>
        <v>107.69804255554982</v>
      </c>
      <c r="P67" s="57">
        <f t="shared" si="14"/>
        <v>105.79766880179011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3.7534325211298318</v>
      </c>
      <c r="K68" s="51">
        <f t="shared" si="11"/>
        <v>2.033694535042089</v>
      </c>
      <c r="L68" s="55">
        <f t="shared" si="12"/>
        <v>7.6040768690602747E-3</v>
      </c>
      <c r="M68" s="51">
        <f t="shared" si="13"/>
        <v>2.0260904581730288</v>
      </c>
      <c r="N68" s="94">
        <f t="shared" si="15"/>
        <v>5668.0349711126437</v>
      </c>
      <c r="O68" s="56">
        <f t="shared" si="16"/>
        <v>108.06735823696381</v>
      </c>
      <c r="P68" s="57">
        <f t="shared" si="14"/>
        <v>106.19167182932968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3.741557610579993</v>
      </c>
      <c r="K69" s="51">
        <f t="shared" si="11"/>
        <v>2.0352219141258985</v>
      </c>
      <c r="L69" s="55">
        <f t="shared" si="12"/>
        <v>7.4738900412115788E-3</v>
      </c>
      <c r="M69" s="51">
        <f t="shared" si="13"/>
        <v>2.027748024084687</v>
      </c>
      <c r="N69" s="94">
        <f t="shared" si="15"/>
        <v>5515.1535784112339</v>
      </c>
      <c r="O69" s="56">
        <f t="shared" si="16"/>
        <v>108.44809163604603</v>
      </c>
      <c r="P69" s="57">
        <f t="shared" si="14"/>
        <v>106.59774659296335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3.7293488547329621</v>
      </c>
      <c r="K70" s="51">
        <f t="shared" si="11"/>
        <v>2.0367922331815094</v>
      </c>
      <c r="L70" s="55">
        <f t="shared" si="12"/>
        <v>7.3410870968487292E-3</v>
      </c>
      <c r="M70" s="51">
        <f t="shared" si="13"/>
        <v>2.0294511460846607</v>
      </c>
      <c r="N70" s="94">
        <f t="shared" si="15"/>
        <v>5362.2721857098231</v>
      </c>
      <c r="O70" s="56">
        <f t="shared" si="16"/>
        <v>108.84092729188035</v>
      </c>
      <c r="P70" s="57">
        <f t="shared" si="14"/>
        <v>107.01659928495725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3.7167869381355283</v>
      </c>
      <c r="K71" s="51">
        <f t="shared" si="11"/>
        <v>2.0384079766082035</v>
      </c>
      <c r="L71" s="55">
        <f t="shared" si="12"/>
        <v>7.2056084168452845E-3</v>
      </c>
      <c r="M71" s="51">
        <f t="shared" si="13"/>
        <v>2.0312023681913582</v>
      </c>
      <c r="N71" s="94">
        <f t="shared" si="15"/>
        <v>5209.3907930084215</v>
      </c>
      <c r="O71" s="56">
        <f t="shared" si="16"/>
        <v>109.24661181701391</v>
      </c>
      <c r="P71" s="57">
        <f t="shared" si="14"/>
        <v>107.4489975781716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3.7038508189528363</v>
      </c>
      <c r="K72" s="51">
        <f t="shared" si="11"/>
        <v>2.0400718508565507</v>
      </c>
      <c r="L72" s="55">
        <f t="shared" si="12"/>
        <v>7.0674009263501873E-3</v>
      </c>
      <c r="M72" s="51">
        <f t="shared" si="13"/>
        <v>2.0330044499302007</v>
      </c>
      <c r="N72" s="94">
        <f t="shared" si="15"/>
        <v>5056.5094003070208</v>
      </c>
      <c r="O72" s="56">
        <f t="shared" si="16"/>
        <v>109.66596154755797</v>
      </c>
      <c r="P72" s="57">
        <f t="shared" si="14"/>
        <v>107.89577775446025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3.6905175168994604</v>
      </c>
      <c r="K73" s="51">
        <f t="shared" si="11"/>
        <v>2.0417868117052214</v>
      </c>
      <c r="L73" s="55">
        <f t="shared" si="12"/>
        <v>6.9264209038890634E-3</v>
      </c>
      <c r="M73" s="51">
        <f t="shared" si="13"/>
        <v>2.0348603908013323</v>
      </c>
      <c r="N73" s="94">
        <f t="shared" si="15"/>
        <v>4903.6280076056073</v>
      </c>
      <c r="O73" s="56">
        <f t="shared" si="16"/>
        <v>110.09987140059411</v>
      </c>
      <c r="P73" s="57">
        <f t="shared" si="14"/>
        <v>108.35785286422025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3.6767618675727545</v>
      </c>
      <c r="K74" s="51">
        <f t="shared" si="11"/>
        <v>2.0435560958592069</v>
      </c>
      <c r="L74" s="55">
        <f t="shared" si="12"/>
        <v>6.7826376478269277E-3</v>
      </c>
      <c r="M74" s="51">
        <f t="shared" si="13"/>
        <v>2.0367734582113801</v>
      </c>
      <c r="N74" s="94">
        <f t="shared" si="15"/>
        <v>4750.7466149042048</v>
      </c>
      <c r="O74" s="56">
        <f t="shared" si="16"/>
        <v>110.54932517380239</v>
      </c>
      <c r="P74" s="57">
        <f t="shared" si="14"/>
        <v>108.83622209512191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3.6625562365914819</v>
      </c>
      <c r="K75" s="51">
        <f t="shared" si="11"/>
        <v>2.0453832577179889</v>
      </c>
      <c r="L75" s="55">
        <f t="shared" si="12"/>
        <v>6.6360382663340524E-3</v>
      </c>
      <c r="M75" s="51">
        <f t="shared" si="13"/>
        <v>2.0387472194516549</v>
      </c>
      <c r="N75" s="94">
        <f t="shared" si="15"/>
        <v>4597.8652222028022</v>
      </c>
      <c r="O75" s="56">
        <f t="shared" si="16"/>
        <v>111.01540757716718</v>
      </c>
      <c r="P75" s="57">
        <f t="shared" si="14"/>
        <v>109.33198156364377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3.6478701853802278</v>
      </c>
      <c r="K76" s="51">
        <f t="shared" si="11"/>
        <v>2.0472722123631359</v>
      </c>
      <c r="L76" s="55">
        <f t="shared" si="12"/>
        <v>6.4866339452639516E-3</v>
      </c>
      <c r="M76" s="51">
        <f t="shared" si="13"/>
        <v>2.0407855784178719</v>
      </c>
      <c r="N76" s="94">
        <f t="shared" si="15"/>
        <v>4444.9838295013951</v>
      </c>
      <c r="O76" s="56">
        <f t="shared" si="16"/>
        <v>111.49931835665937</v>
      </c>
      <c r="P76" s="57">
        <f t="shared" si="14"/>
        <v>109.84633678675236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3.6326700784397876</v>
      </c>
      <c r="K77" s="51">
        <f t="shared" si="11"/>
        <v>2.0492272860721172</v>
      </c>
      <c r="L77" s="55">
        <f t="shared" si="12"/>
        <v>6.3344681677599737E-3</v>
      </c>
      <c r="M77" s="51">
        <f t="shared" si="13"/>
        <v>2.0428928179043573</v>
      </c>
      <c r="N77" s="94">
        <f t="shared" si="15"/>
        <v>4292.1024367999844</v>
      </c>
      <c r="O77" s="56">
        <f t="shared" si="16"/>
        <v>112.00238895985314</v>
      </c>
      <c r="P77" s="57">
        <f t="shared" si="14"/>
        <v>110.38061714511552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3.6169186193625764</v>
      </c>
      <c r="K78" s="51">
        <f t="shared" si="11"/>
        <v>2.0512532759970967</v>
      </c>
      <c r="L78" s="55">
        <f t="shared" si="12"/>
        <v>6.1796275212642653E-3</v>
      </c>
      <c r="M78" s="51">
        <f t="shared" si="13"/>
        <v>2.0450736484758325</v>
      </c>
      <c r="N78" s="94">
        <f t="shared" si="15"/>
        <v>4139.2210440985782</v>
      </c>
      <c r="O78" s="56">
        <f t="shared" si="16"/>
        <v>112.52610231010229</v>
      </c>
      <c r="P78" s="57">
        <f t="shared" si="14"/>
        <v>110.93629271654112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3.6005742994932266</v>
      </c>
      <c r="K79" s="51">
        <f t="shared" si="11"/>
        <v>2.0533555210795136</v>
      </c>
      <c r="L79" s="55">
        <f t="shared" si="12"/>
        <v>6.022255947111285E-3</v>
      </c>
      <c r="M79" s="51">
        <f t="shared" si="13"/>
        <v>2.0473332651324023</v>
      </c>
      <c r="N79" s="94">
        <f t="shared" si="15"/>
        <v>3986.3396513971743</v>
      </c>
      <c r="O79" s="56">
        <f t="shared" si="16"/>
        <v>113.07211640838621</v>
      </c>
      <c r="P79" s="57">
        <f t="shared" si="14"/>
        <v>111.51499394303788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3.5835907387239105</v>
      </c>
      <c r="K80" s="51">
        <f t="shared" si="11"/>
        <v>2.0555399868385429</v>
      </c>
      <c r="L80" s="55">
        <f t="shared" si="12"/>
        <v>5.8625735850658537E-3</v>
      </c>
      <c r="M80" s="51">
        <f t="shared" si="13"/>
        <v>2.0496774132534772</v>
      </c>
      <c r="N80" s="94">
        <f t="shared" si="15"/>
        <v>3833.4582586957686</v>
      </c>
      <c r="O80" s="56">
        <f t="shared" si="16"/>
        <v>113.64229268303744</v>
      </c>
      <c r="P80" s="57">
        <f t="shared" si="14"/>
        <v>112.11853470292009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3.565915892065922</v>
      </c>
      <c r="K81" s="51">
        <f t="shared" si="11"/>
        <v>2.0578133674237393</v>
      </c>
      <c r="L81" s="55">
        <f t="shared" si="12"/>
        <v>5.7009017654509279E-3</v>
      </c>
      <c r="M81" s="51">
        <f t="shared" si="13"/>
        <v>2.0521124656582885</v>
      </c>
      <c r="N81" s="94">
        <f t="shared" si="15"/>
        <v>3680.5768659943606</v>
      </c>
      <c r="O81" s="56">
        <f t="shared" si="16"/>
        <v>114.23873027543871</v>
      </c>
      <c r="P81" s="57">
        <f t="shared" si="14"/>
        <v>112.7489394998246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3.5474910878042567</v>
      </c>
      <c r="K82" s="51">
        <f t="shared" si="11"/>
        <v>2.0601832093298689</v>
      </c>
      <c r="L82" s="55">
        <f t="shared" si="12"/>
        <v>5.5376962351760071E-3</v>
      </c>
      <c r="M82" s="51">
        <f t="shared" si="13"/>
        <v>2.0546455130946928</v>
      </c>
      <c r="N82" s="94">
        <f t="shared" si="15"/>
        <v>3527.6954732929571</v>
      </c>
      <c r="O82" s="56">
        <f t="shared" si="16"/>
        <v>114.86380781034327</v>
      </c>
      <c r="P82" s="57">
        <f t="shared" si="14"/>
        <v>113.40847566776156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3.5282498524271246</v>
      </c>
      <c r="K83" s="51">
        <f t="shared" si="11"/>
        <v>2.0626580625372544</v>
      </c>
      <c r="L83" s="55">
        <f t="shared" si="12"/>
        <v>5.3735914024513201E-3</v>
      </c>
      <c r="M83" s="51">
        <f t="shared" si="13"/>
        <v>2.0572844711348028</v>
      </c>
      <c r="N83" s="94">
        <f t="shared" si="15"/>
        <v>3374.8140805915473</v>
      </c>
      <c r="O83" s="56">
        <f t="shared" si="16"/>
        <v>115.52023469041008</v>
      </c>
      <c r="P83" s="57">
        <f t="shared" si="14"/>
        <v>114.09969174958002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3.5081164629661155</v>
      </c>
      <c r="K84" s="51">
        <f t="shared" si="11"/>
        <v>2.0652476667132076</v>
      </c>
      <c r="L84" s="55">
        <f t="shared" si="12"/>
        <v>5.2094592700951898E-3</v>
      </c>
      <c r="M84" s="51">
        <f t="shared" si="13"/>
        <v>2.0600382074431125</v>
      </c>
      <c r="N84" s="94">
        <f t="shared" si="15"/>
        <v>3221.9326878901406</v>
      </c>
      <c r="O84" s="56">
        <f t="shared" si="16"/>
        <v>116.21111463121133</v>
      </c>
      <c r="P84" s="57">
        <f t="shared" si="14"/>
        <v>114.82546357757332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3.4870041471581983</v>
      </c>
      <c r="K85" s="51">
        <f t="shared" si="11"/>
        <v>2.0679631827114502</v>
      </c>
      <c r="L85" s="55">
        <f t="shared" si="12"/>
        <v>5.0464877858296961E-3</v>
      </c>
      <c r="M85" s="51">
        <f t="shared" si="13"/>
        <v>2.0629166949256206</v>
      </c>
      <c r="N85" s="94">
        <f t="shared" si="15"/>
        <v>3069.0512951887372</v>
      </c>
      <c r="O85" s="56">
        <f t="shared" si="16"/>
        <v>116.94002509817804</v>
      </c>
      <c r="P85" s="57">
        <f t="shared" si="14"/>
        <v>115.58905014517036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3.4648128233370032</v>
      </c>
      <c r="K86" s="51">
        <f t="shared" si="11"/>
        <v>2.0708174832726445</v>
      </c>
      <c r="L86" s="55">
        <f t="shared" si="12"/>
        <v>4.8862844672441915E-3</v>
      </c>
      <c r="M86" s="51">
        <f t="shared" si="13"/>
        <v>2.0659311988054001</v>
      </c>
      <c r="N86" s="94">
        <f t="shared" si="15"/>
        <v>2916.1699024873301</v>
      </c>
      <c r="O86" s="56">
        <f t="shared" si="16"/>
        <v>117.71111764653008</v>
      </c>
      <c r="P86" s="57">
        <f t="shared" si="14"/>
        <v>116.39416224678547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3.44142623115853</v>
      </c>
      <c r="K87" s="51">
        <f t="shared" si="11"/>
        <v>2.0738255220772368</v>
      </c>
      <c r="L87" s="55">
        <f t="shared" si="12"/>
        <v>4.7310120628490833E-3</v>
      </c>
      <c r="M87" s="51">
        <f t="shared" si="13"/>
        <v>2.0690945100143878</v>
      </c>
      <c r="N87" s="94">
        <f t="shared" si="15"/>
        <v>2763.2885097859244</v>
      </c>
      <c r="O87" s="56">
        <f t="shared" si="16"/>
        <v>118.52924609401947</v>
      </c>
      <c r="P87" s="57">
        <f t="shared" si="14"/>
        <v>117.24504833556023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3.4167082448536461</v>
      </c>
      <c r="K88" s="51">
        <f t="shared" si="11"/>
        <v>2.0770048079436449</v>
      </c>
      <c r="L88" s="55">
        <f t="shared" si="12"/>
        <v>4.5835630191133452E-3</v>
      </c>
      <c r="M88" s="51">
        <f t="shared" si="13"/>
        <v>2.0724212449245316</v>
      </c>
      <c r="N88" s="94">
        <f t="shared" si="15"/>
        <v>2610.4071170845195</v>
      </c>
      <c r="O88" s="56">
        <f t="shared" si="16"/>
        <v>119.40013228207917</v>
      </c>
      <c r="P88" s="57">
        <f t="shared" si="14"/>
        <v>118.14660457545811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3.390498072546559</v>
      </c>
      <c r="K89" s="51">
        <f t="shared" si="11"/>
        <v>2.0803760223032706</v>
      </c>
      <c r="L89" s="55">
        <f t="shared" si="12"/>
        <v>4.4477773392639173E-3</v>
      </c>
      <c r="M89" s="51">
        <f t="shared" si="13"/>
        <v>2.0759282449640066</v>
      </c>
      <c r="N89" s="94">
        <f t="shared" si="15"/>
        <v>2457.5257243831124</v>
      </c>
      <c r="O89" s="56">
        <f t="shared" si="16"/>
        <v>120.33058340068497</v>
      </c>
      <c r="P89" s="57">
        <f t="shared" si="14"/>
        <v>119.10452048080876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3.3626039116317683</v>
      </c>
      <c r="K90" s="51">
        <f t="shared" si="11"/>
        <v>2.083963835260922</v>
      </c>
      <c r="L90" s="55">
        <f t="shared" si="12"/>
        <v>4.3287019080565725E-3</v>
      </c>
      <c r="M90" s="51">
        <f t="shared" si="13"/>
        <v>2.0796351333528653</v>
      </c>
      <c r="N90" s="94">
        <f t="shared" si="15"/>
        <v>2304.6443316817058</v>
      </c>
      <c r="O90" s="56">
        <f t="shared" si="16"/>
        <v>121.32878128833792</v>
      </c>
      <c r="P90" s="57">
        <f t="shared" si="14"/>
        <v>120.12547925580471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3.3327944231450064</v>
      </c>
      <c r="K91" s="51">
        <f t="shared" si="11"/>
        <v>2.0877980021813922</v>
      </c>
      <c r="L91" s="55">
        <f t="shared" si="12"/>
        <v>4.2328758335616204E-3</v>
      </c>
      <c r="M91" s="51">
        <f t="shared" si="13"/>
        <v>2.0835651263478305</v>
      </c>
      <c r="N91" s="94">
        <f t="shared" si="15"/>
        <v>2151.7629389802996</v>
      </c>
      <c r="O91" s="56">
        <f t="shared" si="16"/>
        <v>122.40467416915912</v>
      </c>
      <c r="P91" s="57">
        <f t="shared" si="14"/>
        <v>121.21744515633807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3.3007870585895085</v>
      </c>
      <c r="K92" s="51">
        <f t="shared" si="11"/>
        <v>2.0919148651206751</v>
      </c>
      <c r="L92" s="55">
        <f t="shared" si="12"/>
        <v>4.1686044802857558E-3</v>
      </c>
      <c r="M92" s="51">
        <f t="shared" si="13"/>
        <v>2.0877462606403894</v>
      </c>
      <c r="N92" s="94">
        <f t="shared" si="15"/>
        <v>1998.881546278893</v>
      </c>
      <c r="O92" s="56">
        <f t="shared" si="16"/>
        <v>123.57051740392396</v>
      </c>
      <c r="P92" s="57">
        <f t="shared" si="14"/>
        <v>122.39009183052134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3.2662317328209074</v>
      </c>
      <c r="K93" s="51">
        <f t="shared" si="11"/>
        <v>2.0963594528581293</v>
      </c>
      <c r="L93" s="55">
        <f t="shared" si="12"/>
        <v>4.1461597910584045E-3</v>
      </c>
      <c r="M93" s="51">
        <f t="shared" si="13"/>
        <v>2.0922132930670707</v>
      </c>
      <c r="N93" s="94">
        <f t="shared" si="15"/>
        <v>1846.0001535774877</v>
      </c>
      <c r="O93" s="56">
        <f t="shared" si="16"/>
        <v>124.84163645160963</v>
      </c>
      <c r="P93" s="57">
        <f t="shared" si="14"/>
        <v>123.65545877497277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3.2286874220098269</v>
      </c>
      <c r="K94" s="51">
        <f t="shared" si="11"/>
        <v>2.1011884909218863</v>
      </c>
      <c r="L94" s="55">
        <f t="shared" si="12"/>
        <v>4.1778363433270845E-3</v>
      </c>
      <c r="M94" s="51">
        <f t="shared" si="13"/>
        <v>2.0970106545785594</v>
      </c>
      <c r="N94" s="94">
        <f t="shared" si="15"/>
        <v>1693.1187608760831</v>
      </c>
      <c r="O94" s="56">
        <f t="shared" si="16"/>
        <v>126.23753072806882</v>
      </c>
      <c r="P94" s="57">
        <f t="shared" si="14"/>
        <v>125.0289703290983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3.1875876557355136</v>
      </c>
      <c r="K95" s="51">
        <f t="shared" si="11"/>
        <v>2.1064748400773912</v>
      </c>
      <c r="L95" s="55">
        <f t="shared" si="12"/>
        <v>4.2778408680008567E-3</v>
      </c>
      <c r="M95" s="51">
        <f t="shared" si="13"/>
        <v>2.1021969992093905</v>
      </c>
      <c r="N95" s="94">
        <f t="shared" si="15"/>
        <v>1540.2373681746765</v>
      </c>
      <c r="O95" s="56">
        <f t="shared" si="16"/>
        <v>127.78351787718852</v>
      </c>
      <c r="P95" s="57">
        <f t="shared" si="14"/>
        <v>126.53101714272083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3.1421879090532481</v>
      </c>
      <c r="K96" s="51">
        <f t="shared" si="11"/>
        <v>2.1123142628841323</v>
      </c>
      <c r="L96" s="55">
        <f t="shared" si="12"/>
        <v>4.4621387736291278E-3</v>
      </c>
      <c r="M96" s="51">
        <f t="shared" si="13"/>
        <v>2.107852124110503</v>
      </c>
      <c r="N96" s="94">
        <f t="shared" si="15"/>
        <v>1387.3559754732717</v>
      </c>
      <c r="O96" s="56">
        <f t="shared" si="16"/>
        <v>129.51326825201693</v>
      </c>
      <c r="P96" s="57">
        <f t="shared" si="14"/>
        <v>128.1894027499057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3.0914821524489438</v>
      </c>
      <c r="K97" s="51">
        <f t="shared" si="11"/>
        <v>2.1188361572378707</v>
      </c>
      <c r="L97" s="55">
        <f t="shared" si="12"/>
        <v>4.7486205836623956E-3</v>
      </c>
      <c r="M97" s="51">
        <f t="shared" si="13"/>
        <v>2.1140875366542082</v>
      </c>
      <c r="N97" s="94">
        <f t="shared" si="15"/>
        <v>1234.4745827718618</v>
      </c>
      <c r="O97" s="56">
        <f t="shared" si="16"/>
        <v>131.47287415548496</v>
      </c>
      <c r="P97" s="57">
        <f t="shared" si="14"/>
        <v>130.04316673996888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3.0340639442002479</v>
      </c>
      <c r="K98" s="51">
        <f t="shared" si="11"/>
        <v>2.12622142299973</v>
      </c>
      <c r="L98" s="55">
        <f t="shared" si="12"/>
        <v>5.1582164551859794E-3</v>
      </c>
      <c r="M98" s="51">
        <f t="shared" si="13"/>
        <v>2.1210632065445441</v>
      </c>
      <c r="N98" s="94">
        <f t="shared" si="15"/>
        <v>1081.5931900704575</v>
      </c>
      <c r="O98" s="56">
        <f t="shared" si="16"/>
        <v>133.7277147234785</v>
      </c>
      <c r="P98" s="57">
        <f t="shared" si="14"/>
        <v>132.14879474956803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2.9678809623992635</v>
      </c>
      <c r="K99" s="51">
        <f t="shared" si="11"/>
        <v>2.1347340346680621</v>
      </c>
      <c r="L99" s="55">
        <f t="shared" si="12"/>
        <v>5.717865465098124E-3</v>
      </c>
      <c r="M99" s="51">
        <f t="shared" si="13"/>
        <v>2.1290161692029641</v>
      </c>
      <c r="N99" s="94">
        <f t="shared" si="15"/>
        <v>928.71179736905151</v>
      </c>
      <c r="O99" s="56">
        <f t="shared" si="16"/>
        <v>136.37477110573002</v>
      </c>
      <c r="P99" s="57">
        <f t="shared" si="14"/>
        <v>134.59104626694329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2.8897667955278128</v>
      </c>
      <c r="K100" s="51">
        <f t="shared" si="11"/>
        <v>2.1447812635821584</v>
      </c>
      <c r="L100" s="55">
        <f t="shared" si="12"/>
        <v>6.4668640087598402E-3</v>
      </c>
      <c r="M100" s="51">
        <f t="shared" si="13"/>
        <v>2.1383143995733986</v>
      </c>
      <c r="N100" s="94">
        <f t="shared" si="15"/>
        <v>775.83040466764646</v>
      </c>
      <c r="O100" s="56">
        <f t="shared" si="16"/>
        <v>139.56652443438028</v>
      </c>
      <c r="P100" s="57">
        <f t="shared" si="14"/>
        <v>137.50370477917903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2.7944525013495229</v>
      </c>
      <c r="K101" s="51">
        <f t="shared" si="11"/>
        <v>2.1570408135556058</v>
      </c>
      <c r="L101" s="55">
        <f t="shared" si="12"/>
        <v>7.4702476699432347E-3</v>
      </c>
      <c r="M101" s="51">
        <f t="shared" si="13"/>
        <v>2.1495705658856625</v>
      </c>
      <c r="N101" s="94">
        <f t="shared" si="15"/>
        <v>622.94901196624096</v>
      </c>
      <c r="O101" s="56">
        <f t="shared" si="16"/>
        <v>143.56243422306133</v>
      </c>
      <c r="P101" s="57">
        <f t="shared" si="14"/>
        <v>141.11415056861918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2.6721603357256916</v>
      </c>
      <c r="K102" s="51">
        <f t="shared" si="11"/>
        <v>2.1727703211677811</v>
      </c>
      <c r="L102" s="55">
        <f t="shared" si="12"/>
        <v>8.8505662310075211E-3</v>
      </c>
      <c r="M102" s="51">
        <f t="shared" si="13"/>
        <v>2.1639197549367735</v>
      </c>
      <c r="N102" s="94">
        <f>10^$J102</f>
        <v>470.0676192648354</v>
      </c>
      <c r="O102" s="56">
        <f t="shared" si="16"/>
        <v>148.85736298171392</v>
      </c>
      <c r="P102" s="57">
        <f t="shared" si="14"/>
        <v>145.8544738480347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4.1975067980303828</v>
      </c>
      <c r="K104" s="51">
        <f t="shared" si="11"/>
        <v>1.9765766511347556</v>
      </c>
      <c r="L104" s="55">
        <f t="shared" si="12"/>
        <v>1.2888668674492069E-2</v>
      </c>
      <c r="M104" s="51">
        <f>+$I$14+$I$13*J104+L104</f>
        <v>1.9894653198092476</v>
      </c>
      <c r="N104" s="94">
        <f t="shared" ref="N104:N167" si="17">10^$J104</f>
        <v>15758.206889405428</v>
      </c>
      <c r="O104" s="56">
        <f t="shared" ref="O104:O167" si="18">10^K104</f>
        <v>94.749439849172944</v>
      </c>
      <c r="P104" s="57">
        <f t="shared" ref="P104:P167" si="19">10^M104</f>
        <v>97.60348389440864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4.1932728316330827</v>
      </c>
      <c r="K105" s="51">
        <f t="shared" si="11"/>
        <v>1.9771212339077917</v>
      </c>
      <c r="L105" s="55">
        <f t="shared" si="12"/>
        <v>1.2836056821066847E-2</v>
      </c>
      <c r="M105" s="51">
        <f t="shared" ref="M105:M168" si="21">+$I$14+$I$13*J105+L105</f>
        <v>1.9899572907288585</v>
      </c>
      <c r="N105" s="94">
        <f t="shared" si="17"/>
        <v>15605.325496704039</v>
      </c>
      <c r="O105" s="56">
        <f t="shared" si="18"/>
        <v>94.868325258856544</v>
      </c>
      <c r="P105" s="57">
        <f t="shared" si="19"/>
        <v>97.71411224811655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4.1889971812968909</v>
      </c>
      <c r="K106" s="51">
        <f t="shared" si="11"/>
        <v>1.9776711781676473</v>
      </c>
      <c r="L106" s="55">
        <f t="shared" si="12"/>
        <v>1.2782952477958638E-2</v>
      </c>
      <c r="M106" s="51">
        <f t="shared" si="21"/>
        <v>1.9904541306456058</v>
      </c>
      <c r="N106" s="94">
        <f t="shared" si="17"/>
        <v>15452.444104002621</v>
      </c>
      <c r="O106" s="56">
        <f t="shared" si="18"/>
        <v>94.988532490945019</v>
      </c>
      <c r="P106" s="57">
        <f t="shared" si="19"/>
        <v>97.825962741308317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4.1846790180866922</v>
      </c>
      <c r="K107" s="51">
        <f t="shared" si="11"/>
        <v>1.9782265905339176</v>
      </c>
      <c r="L107" s="55">
        <f t="shared" si="12"/>
        <v>1.2729346431315906E-2</v>
      </c>
      <c r="M107" s="51">
        <f t="shared" si="21"/>
        <v>1.9909559369652334</v>
      </c>
      <c r="N107" s="94">
        <f t="shared" si="17"/>
        <v>15299.562711301212</v>
      </c>
      <c r="O107" s="56">
        <f t="shared" si="18"/>
        <v>95.11008953978623</v>
      </c>
      <c r="P107" s="57">
        <f t="shared" si="19"/>
        <v>97.939061248616483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4.1803174880922764</v>
      </c>
      <c r="K108" s="51">
        <f t="shared" si="11"/>
        <v>1.9787875808385533</v>
      </c>
      <c r="L108" s="55">
        <f t="shared" si="12"/>
        <v>1.2675229210163938E-2</v>
      </c>
      <c r="M108" s="51">
        <f t="shared" si="21"/>
        <v>1.9914628100487173</v>
      </c>
      <c r="N108" s="94">
        <f t="shared" si="17"/>
        <v>15146.681318599807</v>
      </c>
      <c r="O108" s="56">
        <f t="shared" si="18"/>
        <v>95.23302527990036</v>
      </c>
      <c r="P108" s="57">
        <f t="shared" si="19"/>
        <v>98.053434460230278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4.1759117114148543</v>
      </c>
      <c r="K109" s="51">
        <f t="shared" si="11"/>
        <v>1.9793542622562184</v>
      </c>
      <c r="L109" s="55">
        <f t="shared" si="12"/>
        <v>1.2620591076947303E-2</v>
      </c>
      <c r="M109" s="51">
        <f t="shared" si="21"/>
        <v>1.9919748533331656</v>
      </c>
      <c r="N109" s="94">
        <f t="shared" si="17"/>
        <v>14993.799925898415</v>
      </c>
      <c r="O109" s="56">
        <f t="shared" si="18"/>
        <v>95.35736950287054</v>
      </c>
      <c r="P109" s="57">
        <f t="shared" si="19"/>
        <v>98.169109916231804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4.1714607811016249</v>
      </c>
      <c r="K110" s="51">
        <f t="shared" si="11"/>
        <v>1.9799267514413275</v>
      </c>
      <c r="L110" s="55">
        <f t="shared" si="12"/>
        <v>1.2565422017646127E-2</v>
      </c>
      <c r="M110" s="51">
        <f t="shared" si="21"/>
        <v>1.9924921734589736</v>
      </c>
      <c r="N110" s="94">
        <f t="shared" si="17"/>
        <v>14840.918533197013</v>
      </c>
      <c r="O110" s="56">
        <f t="shared" si="18"/>
        <v>95.483152956172717</v>
      </c>
      <c r="P110" s="57">
        <f t="shared" si="19"/>
        <v>98.286116042750422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4.1669637620251887</v>
      </c>
      <c r="K111" s="51">
        <f t="shared" si="11"/>
        <v>1.9805051686721784</v>
      </c>
      <c r="L111" s="55">
        <f t="shared" si="12"/>
        <v>1.2509711731444212E-2</v>
      </c>
      <c r="M111" s="51">
        <f t="shared" si="21"/>
        <v>1.9930148804036225</v>
      </c>
      <c r="N111" s="94">
        <f t="shared" si="17"/>
        <v>14688.037140495597</v>
      </c>
      <c r="O111" s="56">
        <f t="shared" si="18"/>
        <v>95.610407384069575</v>
      </c>
      <c r="P111" s="57">
        <f t="shared" si="19"/>
        <v>98.404482190049634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4.1624196897043264</v>
      </c>
      <c r="K112" s="51">
        <f t="shared" si="11"/>
        <v>1.9810896380026271</v>
      </c>
      <c r="L112" s="55">
        <f t="shared" si="12"/>
        <v>1.2453449619925294E-2</v>
      </c>
      <c r="M112" s="51">
        <f t="shared" si="21"/>
        <v>1.9935430876225524</v>
      </c>
      <c r="N112" s="94">
        <f t="shared" si="17"/>
        <v>14535.155747794184</v>
      </c>
      <c r="O112" s="56">
        <f t="shared" si="18"/>
        <v>95.739165570699939</v>
      </c>
      <c r="P112" s="57">
        <f t="shared" si="19"/>
        <v>98.524238672674088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4.1578275690624382</v>
      </c>
      <c r="K113" s="51">
        <f t="shared" si="11"/>
        <v>1.9816802874217796</v>
      </c>
      <c r="L113" s="55">
        <f t="shared" si="12"/>
        <v>1.23966247757728E-2</v>
      </c>
      <c r="M113" s="51">
        <f t="shared" si="21"/>
        <v>1.9940769121975523</v>
      </c>
      <c r="N113" s="94">
        <f t="shared" si="17"/>
        <v>14382.274355092801</v>
      </c>
      <c r="O113" s="56">
        <f t="shared" si="18"/>
        <v>95.869461385507421</v>
      </c>
      <c r="P113" s="57">
        <f t="shared" si="19"/>
        <v>98.645416811788877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4.1531863731196283</v>
      </c>
      <c r="K114" s="51">
        <f t="shared" si="11"/>
        <v>1.9822772490222191</v>
      </c>
      <c r="L114" s="55">
        <f t="shared" si="12"/>
        <v>1.2339225970946636E-2</v>
      </c>
      <c r="M114" s="51">
        <f t="shared" si="21"/>
        <v>1.9946164749931659</v>
      </c>
      <c r="N114" s="94">
        <f t="shared" si="17"/>
        <v>14229.392962391379</v>
      </c>
      <c r="O114" s="56">
        <f t="shared" si="18"/>
        <v>96.001329831159907</v>
      </c>
      <c r="P114" s="57">
        <f t="shared" si="19"/>
        <v>98.768048979858861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4.1484950416141571</v>
      </c>
      <c r="K115" s="51">
        <f t="shared" si="11"/>
        <v>1.9828806591773187</v>
      </c>
      <c r="L115" s="55">
        <f t="shared" si="12"/>
        <v>1.2281241644309564E-2</v>
      </c>
      <c r="M115" s="51">
        <f t="shared" si="21"/>
        <v>1.9951619008216284</v>
      </c>
      <c r="N115" s="94">
        <f t="shared" si="17"/>
        <v>14076.511569689974</v>
      </c>
      <c r="O115" s="56">
        <f t="shared" si="18"/>
        <v>96.134807094126089</v>
      </c>
      <c r="P115" s="57">
        <f t="shared" si="19"/>
        <v>98.892168647821237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4.1437524795486107</v>
      </c>
      <c r="K116" s="51">
        <f t="shared" si="11"/>
        <v>1.9834906587282359</v>
      </c>
      <c r="L116" s="55">
        <f t="shared" si="12"/>
        <v>1.2222659888673581E-2</v>
      </c>
      <c r="M116" s="51">
        <f t="shared" si="21"/>
        <v>1.9957133186169096</v>
      </c>
      <c r="N116" s="94">
        <f t="shared" si="17"/>
        <v>13923.630176988585</v>
      </c>
      <c r="O116" s="56">
        <f t="shared" si="18"/>
        <v>96.269930598086816</v>
      </c>
      <c r="P116" s="57">
        <f t="shared" si="19"/>
        <v>99.017810434922509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4.1389575556558134</v>
      </c>
      <c r="K117" s="51">
        <f t="shared" si="11"/>
        <v>1.9841073931812305</v>
      </c>
      <c r="L117" s="55">
        <f t="shared" si="12"/>
        <v>1.2163468437235505E-2</v>
      </c>
      <c r="M117" s="51">
        <f t="shared" si="21"/>
        <v>1.9962708616184661</v>
      </c>
      <c r="N117" s="94">
        <f t="shared" si="17"/>
        <v>13770.748784287172</v>
      </c>
      <c r="O117" s="56">
        <f t="shared" si="18"/>
        <v>96.406739060372658</v>
      </c>
      <c r="P117" s="57">
        <f t="shared" si="19"/>
        <v>99.145010161400407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4.1341091007791011</v>
      </c>
      <c r="K118" s="51">
        <f t="shared" si="11"/>
        <v>1.9847310129159985</v>
      </c>
      <c r="L118" s="55">
        <f t="shared" si="12"/>
        <v>1.2103654649368991E-2</v>
      </c>
      <c r="M118" s="51">
        <f t="shared" si="21"/>
        <v>1.9968346675653674</v>
      </c>
      <c r="N118" s="94">
        <f t="shared" si="17"/>
        <v>13617.867391585753</v>
      </c>
      <c r="O118" s="56">
        <f t="shared" si="18"/>
        <v>96.545272551635875</v>
      </c>
      <c r="P118" s="57">
        <f t="shared" si="19"/>
        <v>99.273804904208575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4.1292059061611619</v>
      </c>
      <c r="K119" s="51">
        <f t="shared" si="11"/>
        <v>1.9853616734057644</v>
      </c>
      <c r="L119" s="55">
        <f t="shared" si="12"/>
        <v>1.2043205495738533E-2</v>
      </c>
      <c r="M119" s="51">
        <f t="shared" si="21"/>
        <v>1.9974048789015029</v>
      </c>
      <c r="N119" s="94">
        <f t="shared" si="17"/>
        <v>13464.985998884355</v>
      </c>
      <c r="O119" s="56">
        <f t="shared" si="18"/>
        <v>96.685572558979374</v>
      </c>
      <c r="P119" s="57">
        <f t="shared" si="19"/>
        <v>99.404233055995206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4.1242467216351653</v>
      </c>
      <c r="K120" s="51">
        <f t="shared" si="11"/>
        <v>1.9859995354499431</v>
      </c>
      <c r="L120" s="55">
        <f t="shared" si="12"/>
        <v>1.1982107542698912E-2</v>
      </c>
      <c r="M120" s="51">
        <f t="shared" si="21"/>
        <v>1.997981642992642</v>
      </c>
      <c r="N120" s="94">
        <f t="shared" si="17"/>
        <v>13312.104606182957</v>
      </c>
      <c r="O120" s="56">
        <f t="shared" si="18"/>
        <v>96.827682052786741</v>
      </c>
      <c r="P120" s="57">
        <f t="shared" si="19"/>
        <v>99.536334387567763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4.1192302537114189</v>
      </c>
      <c r="K121" s="51">
        <f t="shared" si="11"/>
        <v>1.9866447654202384</v>
      </c>
      <c r="L121" s="55">
        <f t="shared" si="12"/>
        <v>1.1920346935941694E-2</v>
      </c>
      <c r="M121" s="51">
        <f t="shared" si="21"/>
        <v>1.9985651123561801</v>
      </c>
      <c r="N121" s="94">
        <f t="shared" si="17"/>
        <v>13159.223213481517</v>
      </c>
      <c r="O121" s="56">
        <f t="shared" si="18"/>
        <v>96.971645557513114</v>
      </c>
      <c r="P121" s="57">
        <f t="shared" si="19"/>
        <v>99.670150114091371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4.1141551635522324</v>
      </c>
      <c r="K122" s="51">
        <f t="shared" si="11"/>
        <v>1.9872975355211207</v>
      </c>
      <c r="L122" s="55">
        <f t="shared" si="12"/>
        <v>1.1857909383348414E-2</v>
      </c>
      <c r="M122" s="51">
        <f t="shared" si="21"/>
        <v>1.9991554449044691</v>
      </c>
      <c r="N122" s="94">
        <f t="shared" si="17"/>
        <v>13006.341820780128</v>
      </c>
      <c r="O122" s="56">
        <f t="shared" si="18"/>
        <v>97.117509226723328</v>
      </c>
      <c r="P122" s="57">
        <f t="shared" si="19"/>
        <v>99.805722965293242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4.109020064827031</v>
      </c>
      <c r="K123" s="51">
        <f t="shared" si="11"/>
        <v>1.987958024065708</v>
      </c>
      <c r="L123" s="55">
        <f t="shared" si="12"/>
        <v>1.1794780137007441E-2</v>
      </c>
      <c r="M123" s="51">
        <f t="shared" si="21"/>
        <v>1.9997528042027155</v>
      </c>
      <c r="N123" s="94">
        <f t="shared" si="17"/>
        <v>12853.46042807873</v>
      </c>
      <c r="O123" s="56">
        <f t="shared" si="18"/>
        <v>97.265320922683131</v>
      </c>
      <c r="P123" s="57">
        <f t="shared" si="19"/>
        <v>99.943097259965512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4.103823521439157</v>
      </c>
      <c r="K124" s="51">
        <f t="shared" si="11"/>
        <v>1.9886264157681495</v>
      </c>
      <c r="L124" s="55">
        <f t="shared" si="12"/>
        <v>1.1730943974350047E-2</v>
      </c>
      <c r="M124" s="51">
        <f t="shared" si="21"/>
        <v>2.0003573597424995</v>
      </c>
      <c r="N124" s="94">
        <f t="shared" si="17"/>
        <v>12700.579035377321</v>
      </c>
      <c r="O124" s="56">
        <f t="shared" si="18"/>
        <v>97.415130300839294</v>
      </c>
      <c r="P124" s="57">
        <f t="shared" si="19"/>
        <v>100.08231898508538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4.0985640451150047</v>
      </c>
      <c r="K125" s="51">
        <f t="shared" si="11"/>
        <v>1.9893029020537165</v>
      </c>
      <c r="L125" s="55">
        <f t="shared" si="12"/>
        <v>1.1666385178358139E-2</v>
      </c>
      <c r="M125" s="51">
        <f t="shared" si="21"/>
        <v>2.0009692872320746</v>
      </c>
      <c r="N125" s="94">
        <f t="shared" si="17"/>
        <v>12547.697642675912</v>
      </c>
      <c r="O125" s="56">
        <f t="shared" si="18"/>
        <v>97.566988899550836</v>
      </c>
      <c r="P125" s="57">
        <f t="shared" si="19"/>
        <v>100.22343587990051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4.0932400928453774</v>
      </c>
      <c r="K126" s="51">
        <f t="shared" si="11"/>
        <v>1.9899876813879018</v>
      </c>
      <c r="L126" s="55">
        <f t="shared" si="12"/>
        <v>1.1601087516794277E-2</v>
      </c>
      <c r="M126" s="51">
        <f t="shared" si="21"/>
        <v>2.0015887689046963</v>
      </c>
      <c r="N126" s="94">
        <f t="shared" si="17"/>
        <v>12394.816249974496</v>
      </c>
      <c r="O126" s="56">
        <f t="shared" si="18"/>
        <v>97.720950235466276</v>
      </c>
      <c r="P126" s="57">
        <f t="shared" si="19"/>
        <v>100.36649752535752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4.0878500641680615</v>
      </c>
      <c r="K127" s="51">
        <f t="shared" si="11"/>
        <v>1.9906809596259409</v>
      </c>
      <c r="L127" s="55">
        <f t="shared" si="12"/>
        <v>1.153503422040213E-2</v>
      </c>
      <c r="M127" s="51">
        <f t="shared" si="21"/>
        <v>2.0022159938463431</v>
      </c>
      <c r="N127" s="94">
        <f t="shared" si="17"/>
        <v>12241.934857273114</v>
      </c>
      <c r="O127" s="56">
        <f t="shared" si="18"/>
        <v>97.87706990497756</v>
      </c>
      <c r="P127" s="57">
        <f t="shared" si="19"/>
        <v>100.51155543928299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4.0823922982796326</v>
      </c>
      <c r="K128" s="51">
        <f t="shared" si="11"/>
        <v>1.991382950384299</v>
      </c>
      <c r="L128" s="55">
        <f t="shared" si="12"/>
        <v>1.1468207960022807E-2</v>
      </c>
      <c r="M128" s="51">
        <f t="shared" si="21"/>
        <v>2.0028511583443218</v>
      </c>
      <c r="N128" s="94">
        <f t="shared" si="17"/>
        <v>12089.053464571711</v>
      </c>
      <c r="O128" s="56">
        <f t="shared" si="18"/>
        <v>98.035405692217779</v>
      </c>
      <c r="P128" s="57">
        <f t="shared" si="19"/>
        <v>100.65866317777009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4.0768650709634713</v>
      </c>
      <c r="K129" s="51">
        <f t="shared" si="11"/>
        <v>1.9920938754357957</v>
      </c>
      <c r="L129" s="55">
        <f t="shared" si="12"/>
        <v>1.1400590822570715E-2</v>
      </c>
      <c r="M129" s="51">
        <f t="shared" si="21"/>
        <v>2.0034944662583665</v>
      </c>
      <c r="N129" s="94">
        <f t="shared" si="17"/>
        <v>11936.172071870295</v>
      </c>
      <c r="O129" s="56">
        <f t="shared" si="18"/>
        <v>98.196017684114892</v>
      </c>
      <c r="P129" s="57">
        <f t="shared" si="19"/>
        <v>100.80787644325703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4.0712665913197519</v>
      </c>
      <c r="K130" s="51">
        <f t="shared" ref="K130:K193" si="22">+$I$14+$I$13*J130</f>
        <v>1.9928139651302033</v>
      </c>
      <c r="L130" s="55">
        <f t="shared" ref="L130:L193" si="23">SQRT(2*$I$20*$I$17)*SQRT((1/$I$2)+((J130-$I$11)^2/$I$8))</f>
        <v>1.1332164285809639E-2</v>
      </c>
      <c r="M130" s="51">
        <f t="shared" si="21"/>
        <v>2.004146129416013</v>
      </c>
      <c r="N130" s="94">
        <f t="shared" si="17"/>
        <v>11783.290679168871</v>
      </c>
      <c r="O130" s="56">
        <f t="shared" si="18"/>
        <v>98.358968393058177</v>
      </c>
      <c r="P130" s="57">
        <f t="shared" si="19"/>
        <v>100.95925319983738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4.0655949982819033</v>
      </c>
      <c r="K131" s="51">
        <f t="shared" si="22"/>
        <v>1.9935434588423058</v>
      </c>
      <c r="L131" s="55">
        <f t="shared" si="23"/>
        <v>1.1262909191868026E-2</v>
      </c>
      <c r="M131" s="51">
        <f t="shared" si="21"/>
        <v>2.0048063680341737</v>
      </c>
      <c r="N131" s="94">
        <f t="shared" si="17"/>
        <v>11630.409286467477</v>
      </c>
      <c r="O131" s="56">
        <f t="shared" si="18"/>
        <v>98.524322887787861</v>
      </c>
      <c r="P131" s="57">
        <f t="shared" si="19"/>
        <v>101.11285379638615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4.0598483569025721</v>
      </c>
      <c r="K132" s="51">
        <f t="shared" si="22"/>
        <v>1.9942826054496092</v>
      </c>
      <c r="L132" s="55">
        <f t="shared" si="23"/>
        <v>1.1192805719430021E-2</v>
      </c>
      <c r="M132" s="51">
        <f t="shared" si="21"/>
        <v>2.0054754111690394</v>
      </c>
      <c r="N132" s="94">
        <f t="shared" si="17"/>
        <v>11477.527893766059</v>
      </c>
      <c r="O132" s="56">
        <f t="shared" si="18"/>
        <v>98.692148933176227</v>
      </c>
      <c r="P132" s="57">
        <f t="shared" si="19"/>
        <v>101.26874109814928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4.0540246543905596</v>
      </c>
      <c r="K133" s="51">
        <f t="shared" si="22"/>
        <v>1.9950316638420782</v>
      </c>
      <c r="L133" s="55">
        <f t="shared" si="23"/>
        <v>1.1121833354537347E-2</v>
      </c>
      <c r="M133" s="51">
        <f t="shared" si="21"/>
        <v>2.0061534971966157</v>
      </c>
      <c r="N133" s="94">
        <f t="shared" si="17"/>
        <v>11324.646501064668</v>
      </c>
      <c r="O133" s="56">
        <f t="shared" si="18"/>
        <v>98.862517139629176</v>
      </c>
      <c r="P133" s="57">
        <f t="shared" si="19"/>
        <v>101.4269806274971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4.0481217958784033</v>
      </c>
      <c r="K134" s="51">
        <f t="shared" si="22"/>
        <v>1.9957909034665211</v>
      </c>
      <c r="L134" s="55">
        <f t="shared" si="23"/>
        <v>1.1049970859935216E-2</v>
      </c>
      <c r="M134" s="51">
        <f t="shared" si="21"/>
        <v>2.0068408743264565</v>
      </c>
      <c r="N134" s="94">
        <f t="shared" si="17"/>
        <v>11171.765108363259</v>
      </c>
      <c r="O134" s="56">
        <f t="shared" si="18"/>
        <v>99.035501122913885</v>
      </c>
      <c r="P134" s="57">
        <f t="shared" si="19"/>
        <v>101.58764071462375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4.0421375998983464</v>
      </c>
      <c r="K135" s="51">
        <f t="shared" si="22"/>
        <v>1.996560604908481</v>
      </c>
      <c r="L135" s="55">
        <f t="shared" si="23"/>
        <v>1.0977196242894808E-2</v>
      </c>
      <c r="M135" s="51">
        <f t="shared" si="21"/>
        <v>2.0075378011513756</v>
      </c>
      <c r="N135" s="94">
        <f t="shared" si="17"/>
        <v>11018.883715661845</v>
      </c>
      <c r="O135" s="56">
        <f t="shared" si="18"/>
        <v>99.211177675289846</v>
      </c>
      <c r="P135" s="57">
        <f t="shared" si="19"/>
        <v>101.7507926590407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4.0360697935422438</v>
      </c>
      <c r="K136" s="51">
        <f t="shared" si="22"/>
        <v>1.9973410605147794</v>
      </c>
      <c r="L136" s="55">
        <f t="shared" si="23"/>
        <v>1.090348672144419E-2</v>
      </c>
      <c r="M136" s="51">
        <f t="shared" si="21"/>
        <v>2.0082445472362238</v>
      </c>
      <c r="N136" s="94">
        <f t="shared" si="17"/>
        <v>10866.002322960443</v>
      </c>
      <c r="O136" s="56">
        <f t="shared" si="18"/>
        <v>99.389626948916003</v>
      </c>
      <c r="P136" s="57">
        <f t="shared" si="19"/>
        <v>101.91651090280838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4.0299160072785201</v>
      </c>
      <c r="K137" s="51">
        <f t="shared" si="22"/>
        <v>1.9981325750601733</v>
      </c>
      <c r="L137" s="55">
        <f t="shared" si="23"/>
        <v>1.0828818688939793E-2</v>
      </c>
      <c r="M137" s="51">
        <f t="shared" si="21"/>
        <v>2.0089613937491131</v>
      </c>
      <c r="N137" s="94">
        <f t="shared" si="17"/>
        <v>10713.120930259038</v>
      </c>
      <c r="O137" s="56">
        <f t="shared" si="18"/>
        <v>99.570932652598245</v>
      </c>
      <c r="P137" s="57">
        <f t="shared" si="19"/>
        <v>102.0848732165406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4.0236737693966216</v>
      </c>
      <c r="K138" s="51">
        <f t="shared" si="22"/>
        <v>1.9989354664619197</v>
      </c>
      <c r="L138" s="55">
        <f t="shared" si="23"/>
        <v>1.0753167676912336E-2</v>
      </c>
      <c r="M138" s="51">
        <f t="shared" si="21"/>
        <v>2.0096886341388318</v>
      </c>
      <c r="N138" s="94">
        <f t="shared" si="17"/>
        <v>10560.23953755764</v>
      </c>
      <c r="O138" s="56">
        <f t="shared" si="18"/>
        <v>99.75518226305482</v>
      </c>
      <c r="P138" s="57">
        <f t="shared" si="19"/>
        <v>102.25596089932884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4.0173405000463456</v>
      </c>
      <c r="K139" s="51">
        <f t="shared" si="22"/>
        <v>1.9997500665464545</v>
      </c>
      <c r="L139" s="55">
        <f t="shared" si="23"/>
        <v>1.0676508316123127E-2</v>
      </c>
      <c r="M139" s="51">
        <f t="shared" si="21"/>
        <v>2.0104265748625778</v>
      </c>
      <c r="N139" s="94">
        <f t="shared" si="17"/>
        <v>10407.358144856249</v>
      </c>
      <c r="O139" s="56">
        <f t="shared" si="18"/>
        <v>99.942467251998593</v>
      </c>
      <c r="P139" s="57">
        <f t="shared" si="19"/>
        <v>102.42985899385349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4.0109135048360836</v>
      </c>
      <c r="K140" s="51">
        <f t="shared" si="22"/>
        <v>2.0005767218727994</v>
      </c>
      <c r="L140" s="55">
        <f t="shared" si="23"/>
        <v>1.059881429577144E-2</v>
      </c>
      <c r="M140" s="51">
        <f t="shared" si="21"/>
        <v>2.011175536168571</v>
      </c>
      <c r="N140" s="94">
        <f t="shared" si="17"/>
        <v>10254.476752154826</v>
      </c>
      <c r="O140" s="56">
        <f t="shared" si="18"/>
        <v>100.13288333047167</v>
      </c>
      <c r="P140" s="57">
        <f t="shared" si="19"/>
        <v>102.60665651808402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4.0043899679502202</v>
      </c>
      <c r="K141" s="51">
        <f t="shared" si="22"/>
        <v>2.0014157946178202</v>
      </c>
      <c r="L141" s="55">
        <f t="shared" si="23"/>
        <v>1.0520058320799792E-2</v>
      </c>
      <c r="M141" s="51">
        <f t="shared" si="21"/>
        <v>2.01193585293862</v>
      </c>
      <c r="N141" s="94">
        <f t="shared" si="17"/>
        <v>10101.595359453429</v>
      </c>
      <c r="O141" s="56">
        <f t="shared" si="18"/>
        <v>100.3265307120223</v>
      </c>
      <c r="P141" s="57">
        <f t="shared" si="19"/>
        <v>102.78644671512994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3.9977669447416742</v>
      </c>
      <c r="K142" s="51">
        <f t="shared" si="22"/>
        <v>2.0022676635289889</v>
      </c>
      <c r="L142" s="55">
        <f t="shared" si="23"/>
        <v>1.0440212067252782E-2</v>
      </c>
      <c r="M142" s="51">
        <f t="shared" si="21"/>
        <v>2.0127078755962415</v>
      </c>
      <c r="N142" s="94">
        <f t="shared" si="17"/>
        <v>9948.7139667520096</v>
      </c>
      <c r="O142" s="56">
        <f t="shared" si="18"/>
        <v>100.52351439648791</v>
      </c>
      <c r="P142" s="57">
        <f t="shared" si="19"/>
        <v>102.96932732296924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3.9910413537508256</v>
      </c>
      <c r="K143" s="51">
        <f t="shared" si="22"/>
        <v>2.0031327249509312</v>
      </c>
      <c r="L143" s="55">
        <f t="shared" si="23"/>
        <v>1.0359246135657769E-2</v>
      </c>
      <c r="M143" s="51">
        <f t="shared" si="21"/>
        <v>2.0134919710865891</v>
      </c>
      <c r="N143" s="94">
        <f t="shared" si="17"/>
        <v>9795.8325740506061</v>
      </c>
      <c r="O143" s="56">
        <f t="shared" si="18"/>
        <v>100.72394447634045</v>
      </c>
      <c r="P143" s="57">
        <f t="shared" si="19"/>
        <v>103.15540086598493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3.9842099680966689</v>
      </c>
      <c r="K144" s="51">
        <f t="shared" si="22"/>
        <v>2.0040113939327142</v>
      </c>
      <c r="L144" s="55">
        <f t="shared" si="23"/>
        <v>1.0277130002411492E-2</v>
      </c>
      <c r="M144" s="51">
        <f t="shared" si="21"/>
        <v>2.0142885239351256</v>
      </c>
      <c r="N144" s="94">
        <f t="shared" si="17"/>
        <v>9642.9511813491918</v>
      </c>
      <c r="O144" s="56">
        <f t="shared" si="18"/>
        <v>100.92793646777304</v>
      </c>
      <c r="P144" s="57">
        <f t="shared" si="19"/>
        <v>103.34477497045545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3.9772694061799996</v>
      </c>
      <c r="K145" s="51">
        <f t="shared" si="22"/>
        <v>2.004904105423627</v>
      </c>
      <c r="L145" s="55">
        <f t="shared" si="23"/>
        <v>1.0193831969178647E-2</v>
      </c>
      <c r="M145" s="51">
        <f t="shared" si="21"/>
        <v>2.0150979373928055</v>
      </c>
      <c r="N145" s="94">
        <f t="shared" si="17"/>
        <v>9490.0697886477974</v>
      </c>
      <c r="O145" s="56">
        <f t="shared" si="18"/>
        <v>101.13561166895387</v>
      </c>
      <c r="P145" s="57">
        <f t="shared" si="19"/>
        <v>103.53756270640224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3.9702161216315828</v>
      </c>
      <c r="K146" s="51">
        <f t="shared" si="22"/>
        <v>2.0058113155660693</v>
      </c>
      <c r="L146" s="55">
        <f t="shared" si="23"/>
        <v>1.0109319110336013E-2</v>
      </c>
      <c r="M146" s="51">
        <f t="shared" si="21"/>
        <v>2.0159206346764051</v>
      </c>
      <c r="N146" s="94">
        <f t="shared" si="17"/>
        <v>9337.1883959463848</v>
      </c>
      <c r="O146" s="56">
        <f t="shared" si="18"/>
        <v>101.34709754815297</v>
      </c>
      <c r="P146" s="57">
        <f t="shared" si="19"/>
        <v>103.73388295847643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3.9630463924305088</v>
      </c>
      <c r="K147" s="51">
        <f t="shared" si="22"/>
        <v>2.0067335030951741</v>
      </c>
      <c r="L147" s="55">
        <f t="shared" si="23"/>
        <v>1.0023557218531693E-2</v>
      </c>
      <c r="M147" s="51">
        <f t="shared" si="21"/>
        <v>2.0167570603137057</v>
      </c>
      <c r="N147" s="94">
        <f t="shared" si="17"/>
        <v>9184.3070032449759</v>
      </c>
      <c r="O147" s="56">
        <f t="shared" si="18"/>
        <v>101.56252816476925</v>
      </c>
      <c r="P147" s="57">
        <f t="shared" si="19"/>
        <v>103.93386082889739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3.9557563091091459</v>
      </c>
      <c r="K148" s="51">
        <f t="shared" si="22"/>
        <v>2.0076711708559163</v>
      </c>
      <c r="L148" s="55">
        <f t="shared" si="23"/>
        <v>9.9365107484748437E-3</v>
      </c>
      <c r="M148" s="51">
        <f t="shared" si="21"/>
        <v>2.0176076816043911</v>
      </c>
      <c r="N148" s="94">
        <f t="shared" si="17"/>
        <v>9031.4256105435743</v>
      </c>
      <c r="O148" s="56">
        <f t="shared" si="18"/>
        <v>101.78204462664668</v>
      </c>
      <c r="P148" s="57">
        <f t="shared" si="19"/>
        <v>104.13762807582425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3.9483417619511179</v>
      </c>
      <c r="K149" s="51">
        <f t="shared" si="22"/>
        <v>2.0086248474497364</v>
      </c>
      <c r="L149" s="55">
        <f t="shared" si="23"/>
        <v>9.8481427591295845E-3</v>
      </c>
      <c r="M149" s="51">
        <f t="shared" si="21"/>
        <v>2.0184729902088661</v>
      </c>
      <c r="N149" s="94">
        <f t="shared" si="17"/>
        <v>8878.5442178421599</v>
      </c>
      <c r="O149" s="56">
        <f t="shared" si="18"/>
        <v>102.00579558747991</v>
      </c>
      <c r="P149" s="57">
        <f t="shared" si="19"/>
        <v>104.3453235909645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3.9407984270773442</v>
      </c>
      <c r="K150" s="51">
        <f t="shared" si="22"/>
        <v>2.0095950890241898</v>
      </c>
      <c r="L150" s="55">
        <f t="shared" si="23"/>
        <v>9.7584148545605508E-3</v>
      </c>
      <c r="M150" s="51">
        <f t="shared" si="21"/>
        <v>2.0193535038787505</v>
      </c>
      <c r="N150" s="94">
        <f t="shared" si="17"/>
        <v>8725.6628251407583</v>
      </c>
      <c r="O150" s="56">
        <f t="shared" si="18"/>
        <v>102.23393778858372</v>
      </c>
      <c r="P150" s="57">
        <f t="shared" si="19"/>
        <v>104.557093920714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3.9331217513021972</v>
      </c>
      <c r="K151" s="51">
        <f t="shared" si="22"/>
        <v>2.0105824812207826</v>
      </c>
      <c r="L151" s="55">
        <f t="shared" si="23"/>
        <v>9.6672871237708131E-3</v>
      </c>
      <c r="M151" s="51">
        <f t="shared" si="21"/>
        <v>2.0202497683445535</v>
      </c>
      <c r="N151" s="94">
        <f t="shared" si="17"/>
        <v>8572.7814324393585</v>
      </c>
      <c r="O151" s="56">
        <f t="shared" si="18"/>
        <v>102.46663664983669</v>
      </c>
      <c r="P151" s="57">
        <f t="shared" si="19"/>
        <v>104.7730938356756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3.9253069356269759</v>
      </c>
      <c r="K152" s="51">
        <f t="shared" si="22"/>
        <v>2.0115876412980787</v>
      </c>
      <c r="L152" s="55">
        <f t="shared" si="23"/>
        <v>9.5747180799905813E-3</v>
      </c>
      <c r="M152" s="51">
        <f t="shared" si="21"/>
        <v>2.0211623593780694</v>
      </c>
      <c r="N152" s="94">
        <f t="shared" si="17"/>
        <v>8419.9000397379568</v>
      </c>
      <c r="O152" s="56">
        <f t="shared" si="18"/>
        <v>102.70406691523009</v>
      </c>
      <c r="P152" s="57">
        <f t="shared" si="19"/>
        <v>104.9934869540521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3.9173489172208451</v>
      </c>
      <c r="K153" s="51">
        <f t="shared" si="22"/>
        <v>2.0126112204493554</v>
      </c>
      <c r="L153" s="55">
        <f t="shared" si="23"/>
        <v>9.4806646000228437E-3</v>
      </c>
      <c r="M153" s="51">
        <f t="shared" si="21"/>
        <v>2.0220918850493783</v>
      </c>
      <c r="N153" s="94">
        <f t="shared" si="17"/>
        <v>8267.0186470365388</v>
      </c>
      <c r="O153" s="56">
        <f t="shared" si="18"/>
        <v>102.94641335916248</v>
      </c>
      <c r="P153" s="57">
        <f t="shared" si="19"/>
        <v>105.21844642515022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3.9092423497198241</v>
      </c>
      <c r="K154" s="51">
        <f t="shared" si="22"/>
        <v>2.0136539063365948</v>
      </c>
      <c r="L154" s="55">
        <f t="shared" si="23"/>
        <v>9.3850818644386144E-3</v>
      </c>
      <c r="M154" s="51">
        <f t="shared" si="21"/>
        <v>2.0230389882010336</v>
      </c>
      <c r="N154" s="94">
        <f t="shared" si="17"/>
        <v>8114.1372543351372</v>
      </c>
      <c r="O154" s="56">
        <f t="shared" si="18"/>
        <v>103.19387156043778</v>
      </c>
      <c r="P154" s="57">
        <f t="shared" si="19"/>
        <v>105.44815568009325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3.9009815816518265</v>
      </c>
      <c r="K155" s="51">
        <f t="shared" si="22"/>
        <v>2.0147164258655046</v>
      </c>
      <c r="L155" s="55">
        <f t="shared" si="23"/>
        <v>9.287923299648412E-3</v>
      </c>
      <c r="M155" s="51">
        <f t="shared" si="21"/>
        <v>2.0240043491651529</v>
      </c>
      <c r="N155" s="94">
        <f t="shared" si="17"/>
        <v>7961.2558616337328</v>
      </c>
      <c r="O155" s="56">
        <f t="shared" si="18"/>
        <v>103.44664875187028</v>
      </c>
      <c r="P155" s="57">
        <f t="shared" si="19"/>
        <v>105.68280925783804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3.8925606327697064</v>
      </c>
      <c r="K156" s="51">
        <f t="shared" si="22"/>
        <v>2.015799548229618</v>
      </c>
      <c r="L156" s="55">
        <f t="shared" si="23"/>
        <v>9.1891405231714143E-3</v>
      </c>
      <c r="M156" s="51">
        <f t="shared" si="21"/>
        <v>2.0249886887527895</v>
      </c>
      <c r="N156" s="94">
        <f t="shared" si="17"/>
        <v>7808.3744689323321</v>
      </c>
      <c r="O156" s="56">
        <f t="shared" si="18"/>
        <v>103.70496475449373</v>
      </c>
      <c r="P156" s="57">
        <f t="shared" si="19"/>
        <v>105.92261371576041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3.883973168044065</v>
      </c>
      <c r="K157" s="51">
        <f t="shared" si="22"/>
        <v>2.0169040882554015</v>
      </c>
      <c r="L157" s="55">
        <f t="shared" si="23"/>
        <v>9.088683293794763E-3</v>
      </c>
      <c r="M157" s="51">
        <f t="shared" si="21"/>
        <v>2.0259927715491961</v>
      </c>
      <c r="N157" s="94">
        <f t="shared" si="17"/>
        <v>7655.4930762309177</v>
      </c>
      <c r="O157" s="56">
        <f t="shared" si="18"/>
        <v>103.96905300664267</v>
      </c>
      <c r="P157" s="57">
        <f t="shared" si="19"/>
        <v>106.16778863542697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3.8752124690325211</v>
      </c>
      <c r="K158" s="51">
        <f t="shared" si="22"/>
        <v>2.0180309100848057</v>
      </c>
      <c r="L158" s="55">
        <f t="shared" si="23"/>
        <v>8.9864994687830803E-3</v>
      </c>
      <c r="M158" s="51">
        <f t="shared" si="21"/>
        <v>2.0270174095535887</v>
      </c>
      <c r="N158" s="94">
        <f t="shared" si="17"/>
        <v>7502.6116835295143</v>
      </c>
      <c r="O158" s="56">
        <f t="shared" si="18"/>
        <v>104.23916169965061</v>
      </c>
      <c r="P158" s="57">
        <f t="shared" si="19"/>
        <v>106.41856773577145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3.8662714023013058</v>
      </c>
      <c r="K159" s="51">
        <f t="shared" si="22"/>
        <v>2.0191809312369555</v>
      </c>
      <c r="L159" s="55">
        <f t="shared" si="23"/>
        <v>8.8825349708885042E-3</v>
      </c>
      <c r="M159" s="51">
        <f t="shared" si="21"/>
        <v>2.0280634662078438</v>
      </c>
      <c r="N159" s="94">
        <f t="shared" si="17"/>
        <v>7349.7302908281163</v>
      </c>
      <c r="O159" s="56">
        <f t="shared" si="18"/>
        <v>104.51555503363878</v>
      </c>
      <c r="P159" s="57">
        <f t="shared" si="19"/>
        <v>106.67520010776134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3.8571423845273336</v>
      </c>
      <c r="K160" s="51">
        <f t="shared" si="22"/>
        <v>2.0203551270968041</v>
      </c>
      <c r="L160" s="55">
        <f t="shared" si="23"/>
        <v>8.776733768657655E-3</v>
      </c>
      <c r="M160" s="51">
        <f t="shared" si="21"/>
        <v>2.0291318608654616</v>
      </c>
      <c r="N160" s="94">
        <f t="shared" si="17"/>
        <v>7196.8488981267101</v>
      </c>
      <c r="O160" s="56">
        <f t="shared" si="18"/>
        <v>104.79851460888902</v>
      </c>
      <c r="P160" s="57">
        <f t="shared" si="19"/>
        <v>106.93795158685903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3.8478173438530132</v>
      </c>
      <c r="K161" s="51">
        <f t="shared" si="22"/>
        <v>2.0215545358857669</v>
      </c>
      <c r="L161" s="55">
        <f t="shared" si="23"/>
        <v>8.669037874477311E-3</v>
      </c>
      <c r="M161" s="51">
        <f t="shared" si="21"/>
        <v>2.0302235737602441</v>
      </c>
      <c r="N161" s="94">
        <f t="shared" si="17"/>
        <v>7043.9675054252912</v>
      </c>
      <c r="O161" s="56">
        <f t="shared" si="18"/>
        <v>105.08834097067064</v>
      </c>
      <c r="P161" s="57">
        <f t="shared" si="19"/>
        <v>107.20710628219145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3.8382876770003271</v>
      </c>
      <c r="K162" s="51">
        <f t="shared" si="22"/>
        <v>2.0227802641778139</v>
      </c>
      <c r="L162" s="55">
        <f t="shared" si="23"/>
        <v>8.559387366000603E-3</v>
      </c>
      <c r="M162" s="51">
        <f t="shared" si="21"/>
        <v>2.0313396515438145</v>
      </c>
      <c r="N162" s="94">
        <f t="shared" si="17"/>
        <v>6891.0861127238877</v>
      </c>
      <c r="O162" s="56">
        <f t="shared" si="18"/>
        <v>105.38535532819222</v>
      </c>
      <c r="P162" s="57">
        <f t="shared" si="19"/>
        <v>107.48296828446355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3.8285442015731914</v>
      </c>
      <c r="K163" s="51">
        <f t="shared" si="22"/>
        <v>2.024033493034449</v>
      </c>
      <c r="L163" s="55">
        <f t="shared" si="23"/>
        <v>8.4477204381229447E-3</v>
      </c>
      <c r="M163" s="51">
        <f t="shared" si="21"/>
        <v>2.0324812134725718</v>
      </c>
      <c r="N163" s="94">
        <f t="shared" si="17"/>
        <v>6738.2047200224806</v>
      </c>
      <c r="O163" s="56">
        <f t="shared" si="18"/>
        <v>105.68990147165681</v>
      </c>
      <c r="P163" s="57">
        <f t="shared" si="19"/>
        <v>107.76586357835403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3.8185771028853757</v>
      </c>
      <c r="K164" s="51">
        <f t="shared" si="22"/>
        <v>2.0253154848438308</v>
      </c>
      <c r="L164" s="55">
        <f t="shared" si="23"/>
        <v>8.3339734946270855E-3</v>
      </c>
      <c r="M164" s="51">
        <f t="shared" si="21"/>
        <v>2.0336494583384579</v>
      </c>
      <c r="N164" s="94">
        <f t="shared" si="17"/>
        <v>6585.3233273210772</v>
      </c>
      <c r="O164" s="56">
        <f t="shared" si="18"/>
        <v>106.00234791533367</v>
      </c>
      <c r="P164" s="57">
        <f t="shared" si="19"/>
        <v>108.05614218958856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3.8083758745422229</v>
      </c>
      <c r="K165" s="51">
        <f t="shared" si="22"/>
        <v>2.0266275909632916</v>
      </c>
      <c r="L165" s="55">
        <f t="shared" si="23"/>
        <v>8.2180812911122718E-3</v>
      </c>
      <c r="M165" s="51">
        <f t="shared" si="21"/>
        <v>2.0348456722544039</v>
      </c>
      <c r="N165" s="94">
        <f t="shared" si="17"/>
        <v>6432.4419346196728</v>
      </c>
      <c r="O165" s="56">
        <f t="shared" si="18"/>
        <v>106.32309029923881</v>
      </c>
      <c r="P165" s="57">
        <f t="shared" si="19"/>
        <v>108.35418060223316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3.7979292518744603</v>
      </c>
      <c r="K166" s="51">
        <f t="shared" si="22"/>
        <v>2.0279712602812392</v>
      </c>
      <c r="L166" s="55">
        <f t="shared" si="23"/>
        <v>8.0999771440290781E-3</v>
      </c>
      <c r="M166" s="51">
        <f t="shared" si="21"/>
        <v>2.0360712374252681</v>
      </c>
      <c r="N166" s="94">
        <f t="shared" si="17"/>
        <v>6279.5605419182657</v>
      </c>
      <c r="O166" s="56">
        <f t="shared" si="18"/>
        <v>106.65255408761629</v>
      </c>
      <c r="P166" s="57">
        <f t="shared" si="19"/>
        <v>108.66038448822106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3.7872251371667427</v>
      </c>
      <c r="K167" s="51">
        <f t="shared" si="22"/>
        <v>2.0293480488344366</v>
      </c>
      <c r="L167" s="55">
        <f t="shared" si="23"/>
        <v>7.9795932247732106E-3</v>
      </c>
      <c r="M167" s="51">
        <f t="shared" si="21"/>
        <v>2.0373276420592097</v>
      </c>
      <c r="N167" s="94">
        <f t="shared" si="17"/>
        <v>6126.6791492168531</v>
      </c>
      <c r="O167" s="56">
        <f t="shared" si="18"/>
        <v>106.99119760913345</v>
      </c>
      <c r="P167" s="57">
        <f t="shared" si="19"/>
        <v>108.9751917989792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3.7762505154364847</v>
      </c>
      <c r="K168" s="51">
        <f t="shared" si="22"/>
        <v>2.0307596306407305</v>
      </c>
      <c r="L168" s="55">
        <f t="shared" si="23"/>
        <v>7.8568609631370512E-3</v>
      </c>
      <c r="M168" s="51">
        <f t="shared" si="21"/>
        <v>2.0386164916038676</v>
      </c>
      <c r="N168" s="94">
        <f t="shared" ref="N168:N204" si="24">10^$J168</f>
        <v>5973.7977565154551</v>
      </c>
      <c r="O168" s="56">
        <f t="shared" ref="O168:O204" si="25">10^K168</f>
        <v>107.33951549181501</v>
      </c>
      <c r="P168" s="57">
        <f t="shared" ref="P168:P204" si="26">10^M168</f>
        <v>109.29907627860517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3.7649913592926123</v>
      </c>
      <c r="K169" s="51">
        <f t="shared" si="22"/>
        <v>2.0322078099363399</v>
      </c>
      <c r="L169" s="55">
        <f t="shared" si="23"/>
        <v>7.7317115913588938E-3</v>
      </c>
      <c r="M169" s="51">
        <f t="shared" ref="M169:M204" si="28">+$I$14+$I$13*J169+L169</f>
        <v>2.0399395215276988</v>
      </c>
      <c r="N169" s="94">
        <f t="shared" si="24"/>
        <v>5820.9163638140453</v>
      </c>
      <c r="O169" s="56">
        <f t="shared" si="25"/>
        <v>107.69804255554982</v>
      </c>
      <c r="P169" s="57">
        <f t="shared" si="26"/>
        <v>109.63255146979907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3.7534325211298318</v>
      </c>
      <c r="K170" s="51">
        <f t="shared" si="22"/>
        <v>2.033694535042089</v>
      </c>
      <c r="L170" s="55">
        <f t="shared" si="23"/>
        <v>7.6040768690602747E-3</v>
      </c>
      <c r="M170" s="51">
        <f t="shared" si="28"/>
        <v>2.0412986119111491</v>
      </c>
      <c r="N170" s="94">
        <f t="shared" si="24"/>
        <v>5668.0349711126437</v>
      </c>
      <c r="O170" s="56">
        <f t="shared" si="25"/>
        <v>108.06735823696381</v>
      </c>
      <c r="P170" s="57">
        <f t="shared" si="26"/>
        <v>109.97617529824694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3.741557610579993</v>
      </c>
      <c r="K171" s="51">
        <f t="shared" si="22"/>
        <v>2.0352219141258985</v>
      </c>
      <c r="L171" s="55">
        <f t="shared" si="23"/>
        <v>7.4738900412115788E-3</v>
      </c>
      <c r="M171" s="51">
        <f t="shared" si="28"/>
        <v>2.0426958041671099</v>
      </c>
      <c r="N171" s="94">
        <f t="shared" si="24"/>
        <v>5515.1535784112339</v>
      </c>
      <c r="O171" s="56">
        <f t="shared" si="25"/>
        <v>108.44809163604603</v>
      </c>
      <c r="P171" s="57">
        <f t="shared" si="26"/>
        <v>110.33055533911805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3.7293488547329621</v>
      </c>
      <c r="K172" s="51">
        <f t="shared" si="22"/>
        <v>2.0367922331815094</v>
      </c>
      <c r="L172" s="55">
        <f t="shared" si="23"/>
        <v>7.3410870968487292E-3</v>
      </c>
      <c r="M172" s="51">
        <f t="shared" si="28"/>
        <v>2.044133320278358</v>
      </c>
      <c r="N172" s="94">
        <f t="shared" si="24"/>
        <v>5362.2721857098231</v>
      </c>
      <c r="O172" s="56">
        <f t="shared" si="25"/>
        <v>108.84092729188035</v>
      </c>
      <c r="P172" s="57">
        <f t="shared" si="26"/>
        <v>110.69635489175531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3.7167869381355283</v>
      </c>
      <c r="K173" s="51">
        <f t="shared" si="22"/>
        <v>2.0384079766082035</v>
      </c>
      <c r="L173" s="55">
        <f t="shared" si="23"/>
        <v>7.2056084168452845E-3</v>
      </c>
      <c r="M173" s="51">
        <f t="shared" si="28"/>
        <v>2.0456135850250488</v>
      </c>
      <c r="N173" s="94">
        <f t="shared" si="24"/>
        <v>5209.3907930084215</v>
      </c>
      <c r="O173" s="56">
        <f t="shared" si="25"/>
        <v>109.24661181701391</v>
      </c>
      <c r="P173" s="57">
        <f t="shared" si="26"/>
        <v>111.07430001675407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3.7038508189528363</v>
      </c>
      <c r="K174" s="51">
        <f t="shared" si="22"/>
        <v>2.0400718508565507</v>
      </c>
      <c r="L174" s="55">
        <f t="shared" si="23"/>
        <v>7.0674009263501873E-3</v>
      </c>
      <c r="M174" s="51">
        <f t="shared" si="28"/>
        <v>2.0471392517829008</v>
      </c>
      <c r="N174" s="94">
        <f t="shared" si="24"/>
        <v>5056.5094003070208</v>
      </c>
      <c r="O174" s="56">
        <f t="shared" si="25"/>
        <v>109.66596154755797</v>
      </c>
      <c r="P174" s="57">
        <f t="shared" si="26"/>
        <v>111.46518772513609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3.6905175168994604</v>
      </c>
      <c r="K175" s="51">
        <f t="shared" si="22"/>
        <v>2.0417868117052214</v>
      </c>
      <c r="L175" s="55">
        <f t="shared" si="23"/>
        <v>6.9264209038890634E-3</v>
      </c>
      <c r="M175" s="51">
        <f t="shared" si="28"/>
        <v>2.0487132326091104</v>
      </c>
      <c r="N175" s="94">
        <f t="shared" si="24"/>
        <v>4903.6280076056073</v>
      </c>
      <c r="O175" s="56">
        <f t="shared" si="25"/>
        <v>110.09987140059411</v>
      </c>
      <c r="P175" s="57">
        <f t="shared" si="26"/>
        <v>111.86989555447381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3.6767618675727545</v>
      </c>
      <c r="K176" s="51">
        <f t="shared" si="22"/>
        <v>2.0435560958592069</v>
      </c>
      <c r="L176" s="55">
        <f t="shared" si="23"/>
        <v>6.7826376478269277E-3</v>
      </c>
      <c r="M176" s="51">
        <f t="shared" si="28"/>
        <v>2.0503387335070338</v>
      </c>
      <c r="N176" s="94">
        <f t="shared" si="24"/>
        <v>4750.7466149042048</v>
      </c>
      <c r="O176" s="56">
        <f t="shared" si="25"/>
        <v>110.54932517380239</v>
      </c>
      <c r="P176" s="57">
        <f t="shared" si="26"/>
        <v>112.28939282458661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3.6625562365914819</v>
      </c>
      <c r="K177" s="51">
        <f t="shared" si="22"/>
        <v>2.0453832577179889</v>
      </c>
      <c r="L177" s="55">
        <f t="shared" si="23"/>
        <v>6.6360382663340524E-3</v>
      </c>
      <c r="M177" s="51">
        <f t="shared" si="28"/>
        <v>2.0520192959843229</v>
      </c>
      <c r="N177" s="94">
        <f t="shared" si="24"/>
        <v>4597.8652222028022</v>
      </c>
      <c r="O177" s="56">
        <f t="shared" si="25"/>
        <v>111.01540757716718</v>
      </c>
      <c r="P177" s="57">
        <f t="shared" si="26"/>
        <v>112.72475393991036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3.6478701853802278</v>
      </c>
      <c r="K178" s="51">
        <f t="shared" si="22"/>
        <v>2.0472722123631359</v>
      </c>
      <c r="L178" s="55">
        <f t="shared" si="23"/>
        <v>6.4866339452639516E-3</v>
      </c>
      <c r="M178" s="51">
        <f t="shared" si="28"/>
        <v>2.0537588463084</v>
      </c>
      <c r="N178" s="94">
        <f t="shared" si="24"/>
        <v>4444.9838295013951</v>
      </c>
      <c r="O178" s="56">
        <f t="shared" si="25"/>
        <v>111.49931835665937</v>
      </c>
      <c r="P178" s="57">
        <f t="shared" si="26"/>
        <v>113.17717420230812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3.6326700784397876</v>
      </c>
      <c r="K179" s="51">
        <f t="shared" si="22"/>
        <v>2.0492272860721172</v>
      </c>
      <c r="L179" s="55">
        <f t="shared" si="23"/>
        <v>6.3344681677599737E-3</v>
      </c>
      <c r="M179" s="51">
        <f t="shared" si="28"/>
        <v>2.0555617542398772</v>
      </c>
      <c r="N179" s="94">
        <f t="shared" si="24"/>
        <v>4292.1024367999844</v>
      </c>
      <c r="O179" s="56">
        <f t="shared" si="25"/>
        <v>112.00238895985314</v>
      </c>
      <c r="P179" s="57">
        <f t="shared" si="26"/>
        <v>113.64798872452531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3.6169186193625764</v>
      </c>
      <c r="K180" s="51">
        <f t="shared" si="22"/>
        <v>2.0512532759970967</v>
      </c>
      <c r="L180" s="55">
        <f t="shared" si="23"/>
        <v>6.1796275212642653E-3</v>
      </c>
      <c r="M180" s="51">
        <f t="shared" si="28"/>
        <v>2.0574329035183609</v>
      </c>
      <c r="N180" s="94">
        <f t="shared" si="24"/>
        <v>4139.2210440985782</v>
      </c>
      <c r="O180" s="56">
        <f t="shared" si="25"/>
        <v>112.52610231010229</v>
      </c>
      <c r="P180" s="57">
        <f t="shared" si="26"/>
        <v>114.13869520101267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3.6005742994932266</v>
      </c>
      <c r="K181" s="51">
        <f t="shared" si="22"/>
        <v>2.0533555210795136</v>
      </c>
      <c r="L181" s="55">
        <f t="shared" si="23"/>
        <v>6.022255947111285E-3</v>
      </c>
      <c r="M181" s="51">
        <f t="shared" si="28"/>
        <v>2.0593777770266248</v>
      </c>
      <c r="N181" s="94">
        <f t="shared" si="24"/>
        <v>3986.3396513971743</v>
      </c>
      <c r="O181" s="56">
        <f t="shared" si="25"/>
        <v>113.07211640838621</v>
      </c>
      <c r="P181" s="57">
        <f t="shared" si="26"/>
        <v>114.65098151377209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3.5835907387239105</v>
      </c>
      <c r="K182" s="51">
        <f t="shared" si="22"/>
        <v>2.0555399868385429</v>
      </c>
      <c r="L182" s="55">
        <f t="shared" si="23"/>
        <v>5.8625735850658537E-3</v>
      </c>
      <c r="M182" s="51">
        <f t="shared" si="28"/>
        <v>2.0614025604236086</v>
      </c>
      <c r="N182" s="94">
        <f t="shared" si="24"/>
        <v>3833.4582586957686</v>
      </c>
      <c r="O182" s="56">
        <f t="shared" si="25"/>
        <v>113.64229268303744</v>
      </c>
      <c r="P182" s="57">
        <f t="shared" si="26"/>
        <v>115.18675944594546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3.565915892065922</v>
      </c>
      <c r="K183" s="51">
        <f t="shared" si="22"/>
        <v>2.0578133674237393</v>
      </c>
      <c r="L183" s="55">
        <f t="shared" si="23"/>
        <v>5.7009017654509279E-3</v>
      </c>
      <c r="M183" s="51">
        <f t="shared" si="28"/>
        <v>2.0635142691891901</v>
      </c>
      <c r="N183" s="94">
        <f t="shared" si="24"/>
        <v>3680.5768659943606</v>
      </c>
      <c r="O183" s="56">
        <f t="shared" si="25"/>
        <v>114.23873027543871</v>
      </c>
      <c r="P183" s="57">
        <f t="shared" si="26"/>
        <v>115.74820617239355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3.5474910878042567</v>
      </c>
      <c r="K184" s="51">
        <f t="shared" si="22"/>
        <v>2.0601832093298689</v>
      </c>
      <c r="L184" s="55">
        <f t="shared" si="23"/>
        <v>5.5376962351760071E-3</v>
      </c>
      <c r="M184" s="51">
        <f t="shared" si="28"/>
        <v>2.065720905565045</v>
      </c>
      <c r="N184" s="94">
        <f t="shared" si="24"/>
        <v>3527.6954732929571</v>
      </c>
      <c r="O184" s="56">
        <f t="shared" si="25"/>
        <v>114.86380781034327</v>
      </c>
      <c r="P184" s="57">
        <f t="shared" si="26"/>
        <v>116.3378157320742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3.5282498524271246</v>
      </c>
      <c r="K185" s="51">
        <f t="shared" si="22"/>
        <v>2.0626580625372544</v>
      </c>
      <c r="L185" s="55">
        <f t="shared" si="23"/>
        <v>5.3735914024513201E-3</v>
      </c>
      <c r="M185" s="51">
        <f t="shared" si="28"/>
        <v>2.0680316539397059</v>
      </c>
      <c r="N185" s="94">
        <f t="shared" si="24"/>
        <v>3374.8140805915473</v>
      </c>
      <c r="O185" s="56">
        <f t="shared" si="25"/>
        <v>115.52023469041008</v>
      </c>
      <c r="P185" s="57">
        <f t="shared" si="26"/>
        <v>116.95846341299631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3.5081164629661155</v>
      </c>
      <c r="K186" s="51">
        <f t="shared" si="22"/>
        <v>2.0652476667132076</v>
      </c>
      <c r="L186" s="55">
        <f t="shared" si="23"/>
        <v>5.2094592700951898E-3</v>
      </c>
      <c r="M186" s="51">
        <f t="shared" si="28"/>
        <v>2.0704571259833027</v>
      </c>
      <c r="N186" s="94">
        <f t="shared" si="24"/>
        <v>3221.9326878901406</v>
      </c>
      <c r="O186" s="56">
        <f t="shared" si="25"/>
        <v>116.21111463121133</v>
      </c>
      <c r="P186" s="57">
        <f t="shared" si="26"/>
        <v>117.61348696584936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3.4870041471581983</v>
      </c>
      <c r="K187" s="51">
        <f t="shared" si="22"/>
        <v>2.0679631827114502</v>
      </c>
      <c r="L187" s="55">
        <f t="shared" si="23"/>
        <v>5.0464877858296961E-3</v>
      </c>
      <c r="M187" s="51">
        <f t="shared" si="28"/>
        <v>2.0730096704972798</v>
      </c>
      <c r="N187" s="94">
        <f t="shared" si="24"/>
        <v>3069.0512951887372</v>
      </c>
      <c r="O187" s="56">
        <f t="shared" si="25"/>
        <v>116.94002509817804</v>
      </c>
      <c r="P187" s="57">
        <f t="shared" si="26"/>
        <v>118.30678989738112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3.4648128233370032</v>
      </c>
      <c r="K188" s="51">
        <f t="shared" si="22"/>
        <v>2.0708174832726445</v>
      </c>
      <c r="L188" s="55">
        <f t="shared" si="23"/>
        <v>4.8862844672441915E-3</v>
      </c>
      <c r="M188" s="51">
        <f t="shared" si="28"/>
        <v>2.0757037677398888</v>
      </c>
      <c r="N188" s="94">
        <f t="shared" si="24"/>
        <v>2916.1699024873301</v>
      </c>
      <c r="O188" s="56">
        <f t="shared" si="25"/>
        <v>117.71111764653008</v>
      </c>
      <c r="P188" s="57">
        <f t="shared" si="26"/>
        <v>119.04297389260087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3.44142623115853</v>
      </c>
      <c r="K189" s="51">
        <f t="shared" si="22"/>
        <v>2.0738255220772368</v>
      </c>
      <c r="L189" s="55">
        <f t="shared" si="23"/>
        <v>4.7310120628490833E-3</v>
      </c>
      <c r="M189" s="51">
        <f t="shared" si="28"/>
        <v>2.0785565341400858</v>
      </c>
      <c r="N189" s="94">
        <f t="shared" si="24"/>
        <v>2763.2885097859244</v>
      </c>
      <c r="O189" s="56">
        <f t="shared" si="25"/>
        <v>118.52924609401947</v>
      </c>
      <c r="P189" s="57">
        <f t="shared" si="26"/>
        <v>119.82750981011385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3.4167082448536461</v>
      </c>
      <c r="K190" s="51">
        <f t="shared" si="22"/>
        <v>2.0770048079436449</v>
      </c>
      <c r="L190" s="55">
        <f t="shared" si="23"/>
        <v>4.5835630191133452E-3</v>
      </c>
      <c r="M190" s="51">
        <f t="shared" si="28"/>
        <v>2.0815883709627583</v>
      </c>
      <c r="N190" s="94">
        <f t="shared" si="24"/>
        <v>2610.4071170845195</v>
      </c>
      <c r="O190" s="56">
        <f t="shared" si="25"/>
        <v>119.40013228207917</v>
      </c>
      <c r="P190" s="57">
        <f t="shared" si="26"/>
        <v>120.66695983525032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3.390498072546559</v>
      </c>
      <c r="K191" s="51">
        <f t="shared" si="22"/>
        <v>2.0803760223032706</v>
      </c>
      <c r="L191" s="55">
        <f t="shared" si="23"/>
        <v>4.4477773392639173E-3</v>
      </c>
      <c r="M191" s="51">
        <f t="shared" si="28"/>
        <v>2.0848237996425345</v>
      </c>
      <c r="N191" s="94">
        <f t="shared" si="24"/>
        <v>2457.5257243831124</v>
      </c>
      <c r="O191" s="56">
        <f t="shared" si="25"/>
        <v>120.33058340068497</v>
      </c>
      <c r="P191" s="57">
        <f t="shared" si="26"/>
        <v>121.56926742240876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3.3626039116317683</v>
      </c>
      <c r="K192" s="51">
        <f t="shared" si="22"/>
        <v>2.083963835260922</v>
      </c>
      <c r="L192" s="55">
        <f t="shared" si="23"/>
        <v>4.3287019080565725E-3</v>
      </c>
      <c r="M192" s="51">
        <f t="shared" si="28"/>
        <v>2.0882925371689787</v>
      </c>
      <c r="N192" s="94">
        <f t="shared" si="24"/>
        <v>2304.6443316817058</v>
      </c>
      <c r="O192" s="56">
        <f t="shared" si="25"/>
        <v>121.32878128833792</v>
      </c>
      <c r="P192" s="57">
        <f t="shared" si="26"/>
        <v>122.54413684848643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3.3327944231450064</v>
      </c>
      <c r="K193" s="51">
        <f t="shared" si="22"/>
        <v>2.0877980021813922</v>
      </c>
      <c r="L193" s="55">
        <f t="shared" si="23"/>
        <v>4.2328758335616204E-3</v>
      </c>
      <c r="M193" s="51">
        <f t="shared" si="28"/>
        <v>2.0920308780149539</v>
      </c>
      <c r="N193" s="94">
        <f t="shared" si="24"/>
        <v>2151.7629389802996</v>
      </c>
      <c r="O193" s="56">
        <f t="shared" si="25"/>
        <v>122.40467416915912</v>
      </c>
      <c r="P193" s="57">
        <f t="shared" si="26"/>
        <v>123.60353115126341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3.3007870585895085</v>
      </c>
      <c r="K194" s="51">
        <f t="shared" ref="K194:K204" si="29">+$I$14+$I$13*J194</f>
        <v>2.0919148651206751</v>
      </c>
      <c r="L194" s="55">
        <f t="shared" ref="L194:L204" si="30">SQRT(2*$I$20*$I$17)*SQRT((1/$I$2)+((J194-$I$11)^2/$I$8))</f>
        <v>4.1686044802857558E-3</v>
      </c>
      <c r="M194" s="51">
        <f t="shared" si="28"/>
        <v>2.0960834696009609</v>
      </c>
      <c r="N194" s="94">
        <f t="shared" si="24"/>
        <v>1998.881546278893</v>
      </c>
      <c r="O194" s="56">
        <f t="shared" si="25"/>
        <v>123.57051740392396</v>
      </c>
      <c r="P194" s="57">
        <f t="shared" si="26"/>
        <v>124.76232792290105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3.2662317328209074</v>
      </c>
      <c r="K195" s="51">
        <f t="shared" si="29"/>
        <v>2.0963594528581293</v>
      </c>
      <c r="L195" s="55">
        <f t="shared" si="30"/>
        <v>4.1461597910584045E-3</v>
      </c>
      <c r="M195" s="51">
        <f t="shared" si="28"/>
        <v>2.1005056126491879</v>
      </c>
      <c r="N195" s="94">
        <f t="shared" si="24"/>
        <v>1846.0001535774877</v>
      </c>
      <c r="O195" s="56">
        <f t="shared" si="25"/>
        <v>124.84163645160963</v>
      </c>
      <c r="P195" s="57">
        <f t="shared" si="26"/>
        <v>126.03919265932382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3.2286874220098269</v>
      </c>
      <c r="K196" s="51">
        <f t="shared" si="29"/>
        <v>2.1011884909218863</v>
      </c>
      <c r="L196" s="55">
        <f t="shared" si="30"/>
        <v>4.1778363433270845E-3</v>
      </c>
      <c r="M196" s="51">
        <f t="shared" si="28"/>
        <v>2.1053663272652132</v>
      </c>
      <c r="N196" s="94">
        <f t="shared" si="24"/>
        <v>1693.1187608760831</v>
      </c>
      <c r="O196" s="56">
        <f t="shared" si="25"/>
        <v>126.23753072806882</v>
      </c>
      <c r="P196" s="57">
        <f t="shared" si="26"/>
        <v>127.45777336543681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3.1875876557355136</v>
      </c>
      <c r="K197" s="51">
        <f t="shared" si="29"/>
        <v>2.1064748400773912</v>
      </c>
      <c r="L197" s="55">
        <f t="shared" si="30"/>
        <v>4.2778408680008567E-3</v>
      </c>
      <c r="M197" s="51">
        <f t="shared" si="28"/>
        <v>2.1107526809453918</v>
      </c>
      <c r="N197" s="94">
        <f t="shared" si="24"/>
        <v>1540.2373681746765</v>
      </c>
      <c r="O197" s="56">
        <f t="shared" si="25"/>
        <v>127.78351787718852</v>
      </c>
      <c r="P197" s="57">
        <f t="shared" si="26"/>
        <v>129.04841682140167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3.1421879090532481</v>
      </c>
      <c r="K198" s="51">
        <f t="shared" si="29"/>
        <v>2.1123142628841323</v>
      </c>
      <c r="L198" s="55">
        <f t="shared" si="30"/>
        <v>4.4621387736291278E-3</v>
      </c>
      <c r="M198" s="51">
        <f t="shared" si="28"/>
        <v>2.1167764016577615</v>
      </c>
      <c r="N198" s="94">
        <f t="shared" si="24"/>
        <v>1387.3559754732717</v>
      </c>
      <c r="O198" s="56">
        <f t="shared" si="25"/>
        <v>129.51326825201693</v>
      </c>
      <c r="P198" s="57">
        <f t="shared" si="26"/>
        <v>130.85080586609763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3.0914821524489438</v>
      </c>
      <c r="K199" s="51">
        <f t="shared" si="29"/>
        <v>2.1188361572378707</v>
      </c>
      <c r="L199" s="55">
        <f t="shared" si="30"/>
        <v>4.7486205836623956E-3</v>
      </c>
      <c r="M199" s="51">
        <f t="shared" si="28"/>
        <v>2.1235847778215331</v>
      </c>
      <c r="N199" s="94">
        <f t="shared" si="24"/>
        <v>1234.4745827718618</v>
      </c>
      <c r="O199" s="56">
        <f t="shared" si="25"/>
        <v>131.47287415548496</v>
      </c>
      <c r="P199" s="57">
        <f t="shared" si="26"/>
        <v>132.91829991549562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3.0340639442002479</v>
      </c>
      <c r="K200" s="51">
        <f t="shared" si="29"/>
        <v>2.12622142299973</v>
      </c>
      <c r="L200" s="55">
        <f t="shared" si="30"/>
        <v>5.1582164551859794E-3</v>
      </c>
      <c r="M200" s="51">
        <f t="shared" si="28"/>
        <v>2.131379639454916</v>
      </c>
      <c r="N200" s="94">
        <f t="shared" si="24"/>
        <v>1081.5931900704575</v>
      </c>
      <c r="O200" s="56">
        <f t="shared" si="25"/>
        <v>133.7277147234785</v>
      </c>
      <c r="P200" s="57">
        <f t="shared" si="26"/>
        <v>135.32549970700737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2.9678809623992635</v>
      </c>
      <c r="K201" s="51">
        <f t="shared" si="29"/>
        <v>2.1347340346680621</v>
      </c>
      <c r="L201" s="55">
        <f t="shared" si="30"/>
        <v>5.717865465098124E-3</v>
      </c>
      <c r="M201" s="51">
        <f t="shared" si="28"/>
        <v>2.1404519001331601</v>
      </c>
      <c r="N201" s="94">
        <f t="shared" si="24"/>
        <v>928.71179736905151</v>
      </c>
      <c r="O201" s="56">
        <f t="shared" si="25"/>
        <v>136.37477110573002</v>
      </c>
      <c r="P201" s="57">
        <f t="shared" si="26"/>
        <v>138.18213551333466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2.8897667955278128</v>
      </c>
      <c r="K202" s="51">
        <f t="shared" si="29"/>
        <v>2.1447812635821584</v>
      </c>
      <c r="L202" s="55">
        <f t="shared" si="30"/>
        <v>6.4668640087598402E-3</v>
      </c>
      <c r="M202" s="51">
        <f t="shared" si="28"/>
        <v>2.1512481275909181</v>
      </c>
      <c r="N202" s="94">
        <f t="shared" si="24"/>
        <v>775.83040466764646</v>
      </c>
      <c r="O202" s="56">
        <f t="shared" si="25"/>
        <v>139.56652443438028</v>
      </c>
      <c r="P202" s="57">
        <f t="shared" si="26"/>
        <v>141.66029034616955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2.7944525013495229</v>
      </c>
      <c r="K203" s="51">
        <f t="shared" si="29"/>
        <v>2.1570408135556058</v>
      </c>
      <c r="L203" s="55">
        <f t="shared" si="30"/>
        <v>7.4702476699432347E-3</v>
      </c>
      <c r="M203" s="51">
        <f t="shared" si="28"/>
        <v>2.1645110612255491</v>
      </c>
      <c r="N203" s="94">
        <f t="shared" si="24"/>
        <v>622.94901196624096</v>
      </c>
      <c r="O203" s="56">
        <f t="shared" si="25"/>
        <v>143.56243422306133</v>
      </c>
      <c r="P203" s="57">
        <f t="shared" si="26"/>
        <v>146.05319478593864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2.6721603357256916</v>
      </c>
      <c r="K204" s="51">
        <f t="shared" si="29"/>
        <v>2.1727703211677811</v>
      </c>
      <c r="L204" s="55">
        <f t="shared" si="30"/>
        <v>8.8505662310075211E-3</v>
      </c>
      <c r="M204" s="51">
        <f t="shared" si="28"/>
        <v>2.1816208873987888</v>
      </c>
      <c r="N204" s="97">
        <f t="shared" si="24"/>
        <v>470.0676192648354</v>
      </c>
      <c r="O204" s="91">
        <f t="shared" si="25"/>
        <v>148.85736298171392</v>
      </c>
      <c r="P204" s="92">
        <f t="shared" si="26"/>
        <v>151.92207636329755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9" zoomScaleNormal="100" workbookViewId="0">
      <selection activeCell="A2" sqref="A2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60L'!O7</f>
        <v>3542117817.5462627</v>
      </c>
      <c r="B2" s="48">
        <f>'New Vestas G27 60L'!T7</f>
        <v>99.747593372498528</v>
      </c>
      <c r="C2" s="50">
        <f t="shared" ref="C2:D44" si="0">IF(ISNA(A2),"",LOG10(A2))</f>
        <v>9.5492630025511875</v>
      </c>
      <c r="D2" s="50">
        <f t="shared" si="0"/>
        <v>1.9989024261868313</v>
      </c>
      <c r="E2" s="51">
        <f>IF(C2="","",C2^2)</f>
        <v>91.188423891892924</v>
      </c>
      <c r="F2" s="51">
        <f>IF(D2="","",D2^2)</f>
        <v>3.9956109094156007</v>
      </c>
      <c r="G2" s="52">
        <f>IF(OR(C2="",D2=""),"",C2*D2)</f>
        <v>19.088044984095713</v>
      </c>
      <c r="H2" s="53" t="s">
        <v>57</v>
      </c>
      <c r="I2" s="54">
        <f>COUNT(C:C)</f>
        <v>43</v>
      </c>
      <c r="J2" s="51">
        <f t="shared" ref="J2:J65" si="1">LOG($I$24+($I$25-$I$24)*(ROW()-2)/100)</f>
        <v>9.5492630025511875</v>
      </c>
      <c r="K2" s="51">
        <f t="shared" ref="K2:K65" si="2">+$I$14+$I$13*J2</f>
        <v>1.9765766511349545</v>
      </c>
      <c r="L2" s="55">
        <f t="shared" ref="L2:L65" si="3">SQRT(2*$I$20*$I$17)*SQRT((1/$I$2)+((J2-$I$11)^2/$I$8))</f>
        <v>1.2888668674750949E-2</v>
      </c>
      <c r="M2" s="51">
        <f t="shared" ref="M2:M65" si="4">+$I$14+$I$13*J2-L2</f>
        <v>1.9636879824602036</v>
      </c>
      <c r="N2" s="94">
        <f>10^$J2</f>
        <v>3542117817.5462699</v>
      </c>
      <c r="O2" s="56">
        <f>10^K2</f>
        <v>94.749439849216373</v>
      </c>
      <c r="P2" s="57">
        <f t="shared" ref="P2:P65" si="5">10^M2</f>
        <v>91.978851507421368</v>
      </c>
      <c r="R2" s="47"/>
      <c r="S2" s="47"/>
      <c r="T2" s="47"/>
    </row>
    <row r="3" spans="1:20" ht="12.75" customHeight="1" x14ac:dyDescent="0.35">
      <c r="A3" s="49">
        <f>'New Vestas G27 60L'!O8</f>
        <v>3060896420.076324</v>
      </c>
      <c r="B3" s="48">
        <f>'New Vestas G27 60L'!T8</f>
        <v>95.996428134623116</v>
      </c>
      <c r="C3" s="50">
        <f t="shared" si="0"/>
        <v>9.4858486334358165</v>
      </c>
      <c r="D3" s="50">
        <f t="shared" si="0"/>
        <v>1.982255073974126</v>
      </c>
      <c r="E3" s="51">
        <f t="shared" ref="E3:F44" si="6">IF(C3="","",C3^2)</f>
        <v>89.981324296456151</v>
      </c>
      <c r="F3" s="51">
        <f t="shared" si="6"/>
        <v>3.9293351782961681</v>
      </c>
      <c r="G3" s="52">
        <f t="shared" ref="G3:G44" si="7">IF(OR(C3="",D3=""),"",C3*D3)</f>
        <v>18.803371584578677</v>
      </c>
      <c r="H3" s="53" t="s">
        <v>58</v>
      </c>
      <c r="I3" s="58">
        <f>SUM(C:C)</f>
        <v>370.64256325493585</v>
      </c>
      <c r="J3" s="51">
        <f t="shared" si="1"/>
        <v>9.5450290361538883</v>
      </c>
      <c r="K3" s="51">
        <f t="shared" si="2"/>
        <v>1.9771212339079898</v>
      </c>
      <c r="L3" s="55">
        <f t="shared" si="3"/>
        <v>1.2836056821324686E-2</v>
      </c>
      <c r="M3" s="51">
        <f t="shared" si="4"/>
        <v>1.9642851770866652</v>
      </c>
      <c r="N3" s="94">
        <f t="shared" ref="N3:N66" si="8">10^$J3</f>
        <v>3507753253.8075647</v>
      </c>
      <c r="O3" s="56">
        <f t="shared" ref="O3:O66" si="9">10^K3</f>
        <v>94.868325258899759</v>
      </c>
      <c r="P3" s="57">
        <f t="shared" si="5"/>
        <v>92.105417839401454</v>
      </c>
      <c r="R3" s="47"/>
      <c r="S3" s="47"/>
      <c r="T3" s="47"/>
    </row>
    <row r="4" spans="1:20" ht="12.75" customHeight="1" x14ac:dyDescent="0.35">
      <c r="A4" s="49">
        <f>'New Vestas G27 60L'!O9</f>
        <v>105661443.67408709</v>
      </c>
      <c r="B4" s="48">
        <f>'New Vestas G27 60L'!T9</f>
        <v>147.17769522532859</v>
      </c>
      <c r="C4" s="50">
        <f t="shared" si="0"/>
        <v>8.0239165402464945</v>
      </c>
      <c r="D4" s="50">
        <f t="shared" si="0"/>
        <v>2.1678419976744219</v>
      </c>
      <c r="E4" s="51">
        <f t="shared" si="6"/>
        <v>64.383236644841276</v>
      </c>
      <c r="F4" s="51">
        <f t="shared" si="6"/>
        <v>4.6995389268810284</v>
      </c>
      <c r="G4" s="52">
        <f t="shared" si="7"/>
        <v>17.394583261780795</v>
      </c>
      <c r="H4" s="59" t="s">
        <v>59</v>
      </c>
      <c r="I4" s="58">
        <f>SUM(D:D)</f>
        <v>90.134570989181711</v>
      </c>
      <c r="J4" s="51">
        <f t="shared" si="1"/>
        <v>9.5407533858176965</v>
      </c>
      <c r="K4" s="51">
        <f t="shared" si="2"/>
        <v>1.9776711781678444</v>
      </c>
      <c r="L4" s="55">
        <f t="shared" si="3"/>
        <v>1.2782952478215414E-2</v>
      </c>
      <c r="M4" s="51">
        <f t="shared" si="4"/>
        <v>1.964888225689629</v>
      </c>
      <c r="N4" s="94">
        <f t="shared" si="8"/>
        <v>3473388690.06884</v>
      </c>
      <c r="O4" s="56">
        <f t="shared" si="9"/>
        <v>94.98853249098822</v>
      </c>
      <c r="P4" s="57">
        <f t="shared" si="5"/>
        <v>92.233401562753826</v>
      </c>
      <c r="R4" s="47"/>
      <c r="S4" s="47"/>
      <c r="T4" s="47"/>
    </row>
    <row r="5" spans="1:20" ht="12.75" customHeight="1" x14ac:dyDescent="0.35">
      <c r="A5" s="49">
        <f>'New Vestas G27 60L'!O10</f>
        <v>140881924.89878279</v>
      </c>
      <c r="B5" s="48">
        <f>'New Vestas G27 60L'!T10</f>
        <v>145.28074012362984</v>
      </c>
      <c r="C5" s="50">
        <f t="shared" si="0"/>
        <v>8.1488552768547944</v>
      </c>
      <c r="D5" s="50">
        <f t="shared" si="0"/>
        <v>2.1622080436686786</v>
      </c>
      <c r="E5" s="51">
        <f t="shared" si="6"/>
        <v>66.403842323124223</v>
      </c>
      <c r="F5" s="51">
        <f t="shared" si="6"/>
        <v>4.6751436241055346</v>
      </c>
      <c r="G5" s="52">
        <f t="shared" si="7"/>
        <v>17.619520426307393</v>
      </c>
      <c r="H5" s="59" t="s">
        <v>60</v>
      </c>
      <c r="I5" s="58">
        <f>SUM(E:E)</f>
        <v>3199.0783318177268</v>
      </c>
      <c r="J5" s="51">
        <f t="shared" si="1"/>
        <v>9.5364352226074978</v>
      </c>
      <c r="K5" s="51">
        <f t="shared" si="2"/>
        <v>1.9782265905341136</v>
      </c>
      <c r="L5" s="55">
        <f t="shared" si="3"/>
        <v>1.2729346431571607E-2</v>
      </c>
      <c r="M5" s="51">
        <f t="shared" si="4"/>
        <v>1.965497244102542</v>
      </c>
      <c r="N5" s="94">
        <f t="shared" si="8"/>
        <v>3439024126.3301115</v>
      </c>
      <c r="O5" s="56">
        <f t="shared" si="9"/>
        <v>95.110089539829147</v>
      </c>
      <c r="P5" s="57">
        <f t="shared" si="5"/>
        <v>92.362832734346796</v>
      </c>
      <c r="R5" s="47"/>
      <c r="S5" s="47"/>
      <c r="T5" s="47"/>
    </row>
    <row r="6" spans="1:20" ht="12.75" customHeight="1" x14ac:dyDescent="0.35">
      <c r="A6" s="49">
        <f>'New Vestas G27 60L'!O11</f>
        <v>176102406.12347847</v>
      </c>
      <c r="B6" s="48">
        <f>'New Vestas G27 60L'!T11</f>
        <v>136.67148235438162</v>
      </c>
      <c r="C6" s="50">
        <f t="shared" si="0"/>
        <v>8.2457652898628506</v>
      </c>
      <c r="D6" s="50">
        <f t="shared" si="0"/>
        <v>2.1356779048519354</v>
      </c>
      <c r="E6" s="51">
        <f t="shared" si="6"/>
        <v>67.992645215506982</v>
      </c>
      <c r="F6" s="51">
        <f t="shared" si="6"/>
        <v>4.5611201132727528</v>
      </c>
      <c r="G6" s="52">
        <f t="shared" si="7"/>
        <v>17.610298738155105</v>
      </c>
      <c r="H6" s="59" t="s">
        <v>61</v>
      </c>
      <c r="I6" s="58">
        <f>SUM(F:F)</f>
        <v>189.01150037978979</v>
      </c>
      <c r="J6" s="51">
        <f t="shared" si="1"/>
        <v>9.532073692613082</v>
      </c>
      <c r="K6" s="51">
        <f t="shared" si="2"/>
        <v>1.9787875808387485</v>
      </c>
      <c r="L6" s="55">
        <f t="shared" si="3"/>
        <v>1.2675229210418557E-2</v>
      </c>
      <c r="M6" s="51">
        <f t="shared" si="4"/>
        <v>1.9661123516283299</v>
      </c>
      <c r="N6" s="94">
        <f t="shared" si="8"/>
        <v>3404659562.5913954</v>
      </c>
      <c r="O6" s="56">
        <f t="shared" si="9"/>
        <v>95.233025279943163</v>
      </c>
      <c r="P6" s="57">
        <f t="shared" si="5"/>
        <v>92.493742354729562</v>
      </c>
      <c r="R6" s="47"/>
      <c r="S6" s="47"/>
      <c r="T6" s="47"/>
    </row>
    <row r="7" spans="1:20" ht="12.75" customHeight="1" x14ac:dyDescent="0.35">
      <c r="A7" s="49">
        <f>'New Vestas G27 60L'!O12</f>
        <v>211322887.34817418</v>
      </c>
      <c r="B7" s="48">
        <f>'New Vestas G27 60L'!T12</f>
        <v>135.65004499192844</v>
      </c>
      <c r="C7" s="50">
        <f t="shared" si="0"/>
        <v>8.3249465359104757</v>
      </c>
      <c r="D7" s="50">
        <f t="shared" si="0"/>
        <v>2.1324199421429006</v>
      </c>
      <c r="E7" s="51">
        <f t="shared" si="6"/>
        <v>69.304734825767824</v>
      </c>
      <c r="F7" s="51">
        <f t="shared" si="6"/>
        <v>4.5472148096487315</v>
      </c>
      <c r="G7" s="52">
        <f t="shared" si="7"/>
        <v>17.752282010448958</v>
      </c>
      <c r="H7" s="59" t="s">
        <v>62</v>
      </c>
      <c r="I7" s="58">
        <f>SUM(G:G)</f>
        <v>776.3716960806795</v>
      </c>
      <c r="J7" s="51">
        <f t="shared" si="1"/>
        <v>9.527667915935659</v>
      </c>
      <c r="K7" s="51">
        <f t="shared" si="2"/>
        <v>1.9793542622564129</v>
      </c>
      <c r="L7" s="55">
        <f t="shared" si="3"/>
        <v>1.2620591077200817E-2</v>
      </c>
      <c r="M7" s="51">
        <f t="shared" si="4"/>
        <v>1.9667336711792121</v>
      </c>
      <c r="N7" s="94">
        <f t="shared" si="8"/>
        <v>3370294998.8526707</v>
      </c>
      <c r="O7" s="56">
        <f t="shared" si="9"/>
        <v>95.35736950291323</v>
      </c>
      <c r="P7" s="57">
        <f t="shared" si="5"/>
        <v>92.6261624075523</v>
      </c>
      <c r="R7" s="47"/>
      <c r="S7" s="47"/>
      <c r="T7" s="47"/>
    </row>
    <row r="8" spans="1:20" ht="12.75" customHeight="1" x14ac:dyDescent="0.35">
      <c r="A8" s="49">
        <f>'New Vestas G27 60L'!O13</f>
        <v>246543368.57286987</v>
      </c>
      <c r="B8" s="48">
        <f>'New Vestas G27 60L'!T13</f>
        <v>134.0449291366449</v>
      </c>
      <c r="C8" s="50">
        <f t="shared" si="0"/>
        <v>8.3918933255410888</v>
      </c>
      <c r="D8" s="50">
        <f t="shared" si="0"/>
        <v>2.1272503894518477</v>
      </c>
      <c r="E8" s="51">
        <f t="shared" si="6"/>
        <v>70.42387358726107</v>
      </c>
      <c r="F8" s="51">
        <f t="shared" si="6"/>
        <v>4.5251942194230379</v>
      </c>
      <c r="G8" s="52">
        <f t="shared" si="7"/>
        <v>17.851658344995641</v>
      </c>
      <c r="H8" s="53" t="s">
        <v>63</v>
      </c>
      <c r="I8" s="58">
        <f>+I5-I3^2/$I$2</f>
        <v>4.2897342319329255</v>
      </c>
      <c r="J8" s="51">
        <f t="shared" si="1"/>
        <v>9.5232169856224296</v>
      </c>
      <c r="K8" s="51">
        <f t="shared" si="2"/>
        <v>1.9799267514415209</v>
      </c>
      <c r="L8" s="55">
        <f t="shared" si="3"/>
        <v>1.2565422017898538E-2</v>
      </c>
      <c r="M8" s="51">
        <f t="shared" si="4"/>
        <v>1.9673613294236223</v>
      </c>
      <c r="N8" s="94">
        <f t="shared" si="8"/>
        <v>3335930435.1139498</v>
      </c>
      <c r="O8" s="56">
        <f t="shared" si="9"/>
        <v>95.483152956215278</v>
      </c>
      <c r="P8" s="57">
        <f t="shared" si="5"/>
        <v>92.760125901048937</v>
      </c>
      <c r="R8" s="47"/>
      <c r="S8" s="47"/>
      <c r="T8" s="47"/>
    </row>
    <row r="9" spans="1:20" ht="12.75" customHeight="1" x14ac:dyDescent="0.35">
      <c r="A9" s="49">
        <f>'New Vestas G27 60L'!O14</f>
        <v>281763849.79756558</v>
      </c>
      <c r="B9" s="48">
        <f>'New Vestas G27 60L'!T14</f>
        <v>131.914502637814</v>
      </c>
      <c r="C9" s="50">
        <f t="shared" si="0"/>
        <v>8.4498852725187756</v>
      </c>
      <c r="D9" s="50">
        <f t="shared" si="0"/>
        <v>2.1202925443662295</v>
      </c>
      <c r="E9" s="51">
        <f t="shared" si="6"/>
        <v>71.400561118729698</v>
      </c>
      <c r="F9" s="51">
        <f t="shared" si="6"/>
        <v>4.4956404736950191</v>
      </c>
      <c r="G9" s="52">
        <f t="shared" si="7"/>
        <v>17.916228744071564</v>
      </c>
      <c r="H9" s="59" t="s">
        <v>64</v>
      </c>
      <c r="I9" s="58">
        <f>+I6-I4^2/$I$2</f>
        <v>7.5665789002869133E-2</v>
      </c>
      <c r="J9" s="51">
        <f t="shared" si="1"/>
        <v>9.5187199665459943</v>
      </c>
      <c r="K9" s="51">
        <f t="shared" si="2"/>
        <v>1.9805051686723707</v>
      </c>
      <c r="L9" s="55">
        <f t="shared" si="3"/>
        <v>1.250971173169552E-2</v>
      </c>
      <c r="M9" s="51">
        <f t="shared" si="4"/>
        <v>1.9679954569406752</v>
      </c>
      <c r="N9" s="94">
        <f t="shared" si="8"/>
        <v>3301565871.3752255</v>
      </c>
      <c r="O9" s="56">
        <f t="shared" si="9"/>
        <v>95.610407384111866</v>
      </c>
      <c r="P9" s="57">
        <f t="shared" si="5"/>
        <v>92.895666911713519</v>
      </c>
      <c r="R9" s="47"/>
      <c r="S9" s="47"/>
      <c r="T9" s="47"/>
    </row>
    <row r="10" spans="1:20" ht="12.75" customHeight="1" x14ac:dyDescent="0.35">
      <c r="A10" s="49">
        <f>'New Vestas G27 60L'!O15</f>
        <v>316984331.02226126</v>
      </c>
      <c r="B10" s="48">
        <f>'New Vestas G27 60L'!T15</f>
        <v>128.29569598226558</v>
      </c>
      <c r="C10" s="50">
        <f t="shared" si="0"/>
        <v>8.5010377949661571</v>
      </c>
      <c r="D10" s="50">
        <f t="shared" si="0"/>
        <v>2.108212087064675</v>
      </c>
      <c r="E10" s="51">
        <f t="shared" si="6"/>
        <v>72.267643591443061</v>
      </c>
      <c r="F10" s="51">
        <f t="shared" si="6"/>
        <v>4.4445582040455927</v>
      </c>
      <c r="G10" s="52">
        <f t="shared" si="7"/>
        <v>17.921990631941284</v>
      </c>
      <c r="H10" s="59" t="s">
        <v>65</v>
      </c>
      <c r="I10" s="58">
        <f>+I7-I3*I4/$I$2</f>
        <v>-0.55175576383885527</v>
      </c>
      <c r="J10" s="51">
        <f t="shared" si="1"/>
        <v>9.5141758942251311</v>
      </c>
      <c r="K10" s="51">
        <f t="shared" si="2"/>
        <v>1.9810896380028187</v>
      </c>
      <c r="L10" s="55">
        <f t="shared" si="3"/>
        <v>1.2453449620175463E-2</v>
      </c>
      <c r="M10" s="51">
        <f t="shared" si="4"/>
        <v>1.9686361883826433</v>
      </c>
      <c r="N10" s="94">
        <f t="shared" si="8"/>
        <v>3267201307.6364961</v>
      </c>
      <c r="O10" s="56">
        <f t="shared" si="9"/>
        <v>95.739165570742202</v>
      </c>
      <c r="P10" s="57">
        <f t="shared" si="5"/>
        <v>93.032820630309175</v>
      </c>
      <c r="R10" s="47"/>
      <c r="S10" s="47"/>
      <c r="T10" s="47"/>
    </row>
    <row r="11" spans="1:20" ht="12.75" customHeight="1" x14ac:dyDescent="0.35">
      <c r="A11" s="49">
        <f>'New Vestas G27 60L'!O16</f>
        <v>352204812.24695694</v>
      </c>
      <c r="B11" s="48">
        <f>'New Vestas G27 60L'!T16</f>
        <v>118.75255262448876</v>
      </c>
      <c r="C11" s="50">
        <f t="shared" si="0"/>
        <v>8.5467952855268319</v>
      </c>
      <c r="D11" s="50">
        <f t="shared" si="0"/>
        <v>2.0746429536974516</v>
      </c>
      <c r="E11" s="51">
        <f t="shared" si="6"/>
        <v>73.047709652703674</v>
      </c>
      <c r="F11" s="51">
        <f t="shared" si="6"/>
        <v>4.3041433853264861</v>
      </c>
      <c r="G11" s="52">
        <f t="shared" si="7"/>
        <v>17.731548615812841</v>
      </c>
      <c r="H11" s="59" t="s">
        <v>66</v>
      </c>
      <c r="I11" s="58">
        <f>+I3/$I$2</f>
        <v>8.6195944943008342</v>
      </c>
      <c r="J11" s="51">
        <f t="shared" si="1"/>
        <v>9.5095837735832429</v>
      </c>
      <c r="K11" s="51">
        <f t="shared" si="2"/>
        <v>1.9816802874219699</v>
      </c>
      <c r="L11" s="55">
        <f t="shared" si="3"/>
        <v>1.239662477602183E-2</v>
      </c>
      <c r="M11" s="51">
        <f t="shared" si="4"/>
        <v>1.969283662645948</v>
      </c>
      <c r="N11" s="94">
        <f t="shared" si="8"/>
        <v>3232836743.8977737</v>
      </c>
      <c r="O11" s="56">
        <f t="shared" si="9"/>
        <v>95.8694613855494</v>
      </c>
      <c r="P11" s="57">
        <f t="shared" si="5"/>
        <v>93.171623410360624</v>
      </c>
      <c r="R11" s="47"/>
      <c r="S11" s="47"/>
      <c r="T11" s="47"/>
    </row>
    <row r="12" spans="1:20" ht="12.75" customHeight="1" x14ac:dyDescent="0.35">
      <c r="A12" s="49">
        <f>'New Vestas G27 60L'!O17</f>
        <v>387425293.47165269</v>
      </c>
      <c r="B12" s="48">
        <f>'New Vestas G27 60L'!T17</f>
        <v>117.93540273452622</v>
      </c>
      <c r="C12" s="50">
        <f t="shared" si="0"/>
        <v>8.5881879706850572</v>
      </c>
      <c r="D12" s="50">
        <f t="shared" si="0"/>
        <v>2.0716441944444934</v>
      </c>
      <c r="E12" s="51">
        <f t="shared" si="6"/>
        <v>73.756972619819521</v>
      </c>
      <c r="F12" s="51">
        <f t="shared" si="6"/>
        <v>4.2917096683755744</v>
      </c>
      <c r="G12" s="52">
        <f t="shared" si="7"/>
        <v>17.791669750267733</v>
      </c>
      <c r="H12" s="59" t="s">
        <v>67</v>
      </c>
      <c r="I12" s="58">
        <f>+I4/$I$2</f>
        <v>2.0961528137019001</v>
      </c>
      <c r="J12" s="51">
        <f t="shared" si="1"/>
        <v>9.504942577640433</v>
      </c>
      <c r="K12" s="51">
        <f t="shared" si="2"/>
        <v>1.9822772490224085</v>
      </c>
      <c r="L12" s="55">
        <f t="shared" si="3"/>
        <v>1.2339225971194518E-2</v>
      </c>
      <c r="M12" s="51">
        <f t="shared" si="4"/>
        <v>1.969938023051214</v>
      </c>
      <c r="N12" s="94">
        <f t="shared" si="8"/>
        <v>3198472180.1590538</v>
      </c>
      <c r="O12" s="56">
        <f t="shared" si="9"/>
        <v>96.001329831201772</v>
      </c>
      <c r="P12" s="57">
        <f t="shared" si="5"/>
        <v>93.312112819291599</v>
      </c>
      <c r="R12" s="47"/>
      <c r="S12" s="47"/>
      <c r="T12" s="47"/>
    </row>
    <row r="13" spans="1:20" ht="12.75" customHeight="1" x14ac:dyDescent="0.35">
      <c r="A13" s="49">
        <f>'New Vestas G27 60L'!O18</f>
        <v>140881924.89878279</v>
      </c>
      <c r="B13" s="48">
        <f>'New Vestas G27 60L'!T18</f>
        <v>140.49363704278807</v>
      </c>
      <c r="C13" s="50">
        <f t="shared" si="0"/>
        <v>8.1488552768547944</v>
      </c>
      <c r="D13" s="50">
        <f t="shared" si="0"/>
        <v>2.1476566554882024</v>
      </c>
      <c r="E13" s="51">
        <f t="shared" si="6"/>
        <v>66.403842323124223</v>
      </c>
      <c r="F13" s="51">
        <f t="shared" si="6"/>
        <v>4.612429109862771</v>
      </c>
      <c r="G13" s="52">
        <f t="shared" si="7"/>
        <v>17.500943269947356</v>
      </c>
      <c r="H13" s="59" t="s">
        <v>68</v>
      </c>
      <c r="I13" s="60">
        <f>+I10/I8</f>
        <v>-0.1286223653977365</v>
      </c>
      <c r="J13" s="51">
        <f t="shared" si="1"/>
        <v>9.5002512461349617</v>
      </c>
      <c r="K13" s="51">
        <f t="shared" si="2"/>
        <v>1.9828806591775072</v>
      </c>
      <c r="L13" s="55">
        <f t="shared" si="3"/>
        <v>1.2281241644556285E-2</v>
      </c>
      <c r="M13" s="51">
        <f t="shared" si="4"/>
        <v>1.9705994175329509</v>
      </c>
      <c r="N13" s="94">
        <f t="shared" si="8"/>
        <v>3164107616.4203324</v>
      </c>
      <c r="O13" s="56">
        <f t="shared" si="9"/>
        <v>96.13480709416784</v>
      </c>
      <c r="P13" s="57">
        <f t="shared" si="5"/>
        <v>93.454327692380033</v>
      </c>
      <c r="R13" s="47"/>
      <c r="S13" s="47"/>
      <c r="T13" s="47"/>
    </row>
    <row r="14" spans="1:20" ht="12.75" customHeight="1" x14ac:dyDescent="0.35">
      <c r="A14" s="49">
        <f>'New Vestas G27 60L'!O19</f>
        <v>176102406.12347847</v>
      </c>
      <c r="B14" s="48">
        <f>'New Vestas G27 60L'!T19</f>
        <v>139.58684160747444</v>
      </c>
      <c r="C14" s="50">
        <f t="shared" si="0"/>
        <v>8.2457652898628506</v>
      </c>
      <c r="D14" s="50">
        <f t="shared" si="0"/>
        <v>2.1448444807040103</v>
      </c>
      <c r="E14" s="51">
        <f t="shared" si="6"/>
        <v>67.992645215506982</v>
      </c>
      <c r="F14" s="51">
        <f t="shared" si="6"/>
        <v>4.6003578464064558</v>
      </c>
      <c r="G14" s="52">
        <f t="shared" si="7"/>
        <v>17.685884171143041</v>
      </c>
      <c r="H14" s="59" t="s">
        <v>69</v>
      </c>
      <c r="I14" s="60">
        <f>+I12-I13*I11</f>
        <v>3.2048254463281798</v>
      </c>
      <c r="J14" s="51">
        <f t="shared" si="1"/>
        <v>9.4955086840694154</v>
      </c>
      <c r="K14" s="51">
        <f t="shared" si="2"/>
        <v>1.9834906587284233</v>
      </c>
      <c r="L14" s="55">
        <f t="shared" si="3"/>
        <v>1.2222659888919131E-2</v>
      </c>
      <c r="M14" s="51">
        <f t="shared" si="4"/>
        <v>1.9712679988395041</v>
      </c>
      <c r="N14" s="94">
        <f t="shared" si="8"/>
        <v>3129743052.6816144</v>
      </c>
      <c r="O14" s="56">
        <f t="shared" si="9"/>
        <v>96.269930598128369</v>
      </c>
      <c r="P14" s="57">
        <f t="shared" si="5"/>
        <v>93.598308189720584</v>
      </c>
      <c r="R14" s="47"/>
      <c r="S14" s="47"/>
      <c r="T14" s="47"/>
    </row>
    <row r="15" spans="1:20" ht="12.75" customHeight="1" thickBot="1" x14ac:dyDescent="0.4">
      <c r="A15" s="49">
        <f>'New Vestas G27 60L'!O20</f>
        <v>211322887.34817418</v>
      </c>
      <c r="B15" s="48">
        <f>'New Vestas G27 60L'!T20</f>
        <v>138.62154323923824</v>
      </c>
      <c r="C15" s="50">
        <f t="shared" si="0"/>
        <v>8.3249465359104757</v>
      </c>
      <c r="D15" s="50">
        <f t="shared" si="0"/>
        <v>2.1418307294306733</v>
      </c>
      <c r="E15" s="51">
        <f t="shared" si="6"/>
        <v>69.304734825767824</v>
      </c>
      <c r="F15" s="51">
        <f t="shared" si="6"/>
        <v>4.5874388735335305</v>
      </c>
      <c r="G15" s="52">
        <f t="shared" si="7"/>
        <v>17.83062631148049</v>
      </c>
      <c r="H15" s="61" t="s">
        <v>70</v>
      </c>
      <c r="I15" s="62">
        <f>+I10^2/(I8*I9)</f>
        <v>0.93791570010718384</v>
      </c>
      <c r="J15" s="51">
        <f t="shared" si="1"/>
        <v>9.4907137601766181</v>
      </c>
      <c r="K15" s="51">
        <f t="shared" si="2"/>
        <v>1.984107393181417</v>
      </c>
      <c r="L15" s="55">
        <f t="shared" si="3"/>
        <v>1.2163468437479872E-2</v>
      </c>
      <c r="M15" s="51">
        <f t="shared" si="4"/>
        <v>1.9719439247439372</v>
      </c>
      <c r="N15" s="94">
        <f t="shared" si="8"/>
        <v>3095378488.9428968</v>
      </c>
      <c r="O15" s="56">
        <f t="shared" si="9"/>
        <v>96.406739060414097</v>
      </c>
      <c r="P15" s="57">
        <f t="shared" si="5"/>
        <v>93.74409585639475</v>
      </c>
      <c r="R15" s="47"/>
      <c r="S15" s="47"/>
      <c r="T15" s="47"/>
    </row>
    <row r="16" spans="1:20" ht="12.75" customHeight="1" x14ac:dyDescent="0.35">
      <c r="A16" s="49">
        <f>'New Vestas G27 60L'!O21</f>
        <v>246543368.57286987</v>
      </c>
      <c r="B16" s="48">
        <f>'New Vestas G27 60L'!T21</f>
        <v>138.1242683093964</v>
      </c>
      <c r="C16" s="50">
        <f t="shared" si="0"/>
        <v>8.3918933255410888</v>
      </c>
      <c r="D16" s="50">
        <f t="shared" si="0"/>
        <v>2.1402699904316598</v>
      </c>
      <c r="E16" s="51">
        <f t="shared" si="6"/>
        <v>70.42387358726107</v>
      </c>
      <c r="F16" s="51">
        <f t="shared" si="6"/>
        <v>4.5807556319423366</v>
      </c>
      <c r="G16" s="52">
        <f t="shared" si="7"/>
        <v>17.960917447559336</v>
      </c>
      <c r="H16" s="63" t="s">
        <v>71</v>
      </c>
      <c r="I16" s="64"/>
      <c r="J16" s="51">
        <f t="shared" si="1"/>
        <v>9.4858653052999067</v>
      </c>
      <c r="K16" s="51">
        <f t="shared" si="2"/>
        <v>1.9847310129161839</v>
      </c>
      <c r="L16" s="55">
        <f t="shared" si="3"/>
        <v>1.210365464961217E-2</v>
      </c>
      <c r="M16" s="51">
        <f t="shared" si="4"/>
        <v>1.9726273582665717</v>
      </c>
      <c r="N16" s="94">
        <f t="shared" si="8"/>
        <v>3061013925.2041717</v>
      </c>
      <c r="O16" s="56">
        <f t="shared" si="9"/>
        <v>96.545272551677115</v>
      </c>
      <c r="P16" s="57">
        <f t="shared" si="5"/>
        <v>93.891733686065891</v>
      </c>
      <c r="R16" s="47"/>
      <c r="S16" s="47"/>
      <c r="T16" s="47"/>
    </row>
    <row r="17" spans="1:20" ht="12.75" customHeight="1" x14ac:dyDescent="0.35">
      <c r="A17" s="49">
        <f>'New Vestas G27 60L'!O22</f>
        <v>281763849.79756558</v>
      </c>
      <c r="B17" s="48">
        <f>'New Vestas G27 60L'!T22</f>
        <v>135.05286440592008</v>
      </c>
      <c r="C17" s="50">
        <f t="shared" si="0"/>
        <v>8.4498852725187756</v>
      </c>
      <c r="D17" s="50">
        <f t="shared" si="0"/>
        <v>2.1305037997970175</v>
      </c>
      <c r="E17" s="51">
        <f t="shared" si="6"/>
        <v>71.400561118729698</v>
      </c>
      <c r="F17" s="51">
        <f t="shared" si="6"/>
        <v>4.5390464409495301</v>
      </c>
      <c r="G17" s="52">
        <f t="shared" si="7"/>
        <v>18.002512680950108</v>
      </c>
      <c r="H17" s="53" t="s">
        <v>72</v>
      </c>
      <c r="I17" s="65">
        <f>(+I9-(+I10^2/I8))/($I$2-2)</f>
        <v>1.1457701307513838E-4</v>
      </c>
      <c r="J17" s="51">
        <f t="shared" si="1"/>
        <v>9.4809621106819666</v>
      </c>
      <c r="K17" s="51">
        <f t="shared" si="2"/>
        <v>1.9853616734059487</v>
      </c>
      <c r="L17" s="55">
        <f t="shared" si="3"/>
        <v>1.2043205495980492E-2</v>
      </c>
      <c r="M17" s="51">
        <f t="shared" si="4"/>
        <v>1.9733184679099682</v>
      </c>
      <c r="N17" s="94">
        <f t="shared" si="8"/>
        <v>3026649361.4654408</v>
      </c>
      <c r="O17" s="56">
        <f t="shared" si="9"/>
        <v>96.685572559020414</v>
      </c>
      <c r="P17" s="57">
        <f t="shared" si="5"/>
        <v>94.041266188237344</v>
      </c>
      <c r="R17" s="47"/>
      <c r="S17" s="47"/>
      <c r="T17" s="47"/>
    </row>
    <row r="18" spans="1:20" ht="12.75" customHeight="1" x14ac:dyDescent="0.35">
      <c r="A18" s="49">
        <f>'New Vestas G27 60L'!O23</f>
        <v>316984331.02226126</v>
      </c>
      <c r="B18" s="48">
        <f>'New Vestas G27 60L'!T23</f>
        <v>134.17532043706771</v>
      </c>
      <c r="C18" s="50">
        <f t="shared" si="0"/>
        <v>8.5010377949661571</v>
      </c>
      <c r="D18" s="50">
        <f t="shared" si="0"/>
        <v>2.1276726411409932</v>
      </c>
      <c r="E18" s="51">
        <f t="shared" si="6"/>
        <v>72.267643591443061</v>
      </c>
      <c r="F18" s="51">
        <f t="shared" si="6"/>
        <v>4.5269908678598894</v>
      </c>
      <c r="G18" s="52">
        <f t="shared" si="7"/>
        <v>18.087425537655047</v>
      </c>
      <c r="H18" s="66" t="s">
        <v>53</v>
      </c>
      <c r="I18" s="67">
        <v>0.95</v>
      </c>
      <c r="J18" s="51">
        <f t="shared" si="1"/>
        <v>9.4760029261559691</v>
      </c>
      <c r="K18" s="51">
        <f t="shared" si="2"/>
        <v>1.9859995354501265</v>
      </c>
      <c r="L18" s="55">
        <f t="shared" si="3"/>
        <v>1.1982107542939636E-2</v>
      </c>
      <c r="M18" s="51">
        <f t="shared" si="4"/>
        <v>1.9740174279071869</v>
      </c>
      <c r="N18" s="94">
        <f t="shared" si="8"/>
        <v>2992284797.7267156</v>
      </c>
      <c r="O18" s="56">
        <f t="shared" si="9"/>
        <v>96.827682052827598</v>
      </c>
      <c r="P18" s="57">
        <f t="shared" si="5"/>
        <v>94.19273945942453</v>
      </c>
      <c r="R18" s="47"/>
      <c r="S18" s="47"/>
      <c r="T18" s="47"/>
    </row>
    <row r="19" spans="1:20" ht="12.75" customHeight="1" x14ac:dyDescent="0.35">
      <c r="A19" s="49">
        <f>'New Vestas G27 60L'!O24</f>
        <v>387425293.47165269</v>
      </c>
      <c r="B19" s="48">
        <f>'New Vestas G27 60L'!T24</f>
        <v>126.80395105123425</v>
      </c>
      <c r="C19" s="50">
        <f t="shared" si="0"/>
        <v>8.5881879706850572</v>
      </c>
      <c r="D19" s="50">
        <f t="shared" si="0"/>
        <v>2.1031327858250162</v>
      </c>
      <c r="E19" s="51">
        <f t="shared" si="6"/>
        <v>73.756972619819521</v>
      </c>
      <c r="F19" s="51">
        <f t="shared" si="6"/>
        <v>4.4231675148120937</v>
      </c>
      <c r="G19" s="52">
        <f t="shared" si="7"/>
        <v>18.062099691975757</v>
      </c>
      <c r="H19" s="53" t="s">
        <v>73</v>
      </c>
      <c r="I19" s="68">
        <f>_xlfn.T.INV(1-(1-I18)/2,I2-2)</f>
        <v>2.0195409704413745</v>
      </c>
      <c r="J19" s="51">
        <f t="shared" si="1"/>
        <v>9.4709864582322236</v>
      </c>
      <c r="K19" s="51">
        <f t="shared" si="2"/>
        <v>1.9866447654204205</v>
      </c>
      <c r="L19" s="55">
        <f t="shared" si="3"/>
        <v>1.1920346936181195E-2</v>
      </c>
      <c r="M19" s="51">
        <f t="shared" si="4"/>
        <v>1.9747244184842392</v>
      </c>
      <c r="N19" s="94">
        <f t="shared" si="8"/>
        <v>2957920233.9880018</v>
      </c>
      <c r="O19" s="56">
        <f t="shared" si="9"/>
        <v>96.971645557553856</v>
      </c>
      <c r="P19" s="57">
        <f t="shared" si="5"/>
        <v>94.346201258517524</v>
      </c>
      <c r="R19" s="47"/>
      <c r="S19" s="47"/>
      <c r="T19" s="47"/>
    </row>
    <row r="20" spans="1:20" ht="12.75" customHeight="1" x14ac:dyDescent="0.35">
      <c r="A20" s="49">
        <f>'New Vestas G27 60L'!O25</f>
        <v>422645774.69634837</v>
      </c>
      <c r="B20" s="48">
        <f>'New Vestas G27 60L'!T25</f>
        <v>124.2298220526136</v>
      </c>
      <c r="C20" s="50">
        <f t="shared" si="0"/>
        <v>8.625976531574457</v>
      </c>
      <c r="D20" s="50">
        <f t="shared" si="0"/>
        <v>2.0942258631370101</v>
      </c>
      <c r="E20" s="51">
        <f t="shared" si="6"/>
        <v>74.407471123273297</v>
      </c>
      <c r="F20" s="51">
        <f t="shared" si="6"/>
        <v>4.3857819658319546</v>
      </c>
      <c r="G20" s="52">
        <f t="shared" si="7"/>
        <v>18.064743147236111</v>
      </c>
      <c r="H20" s="53" t="s">
        <v>74</v>
      </c>
      <c r="I20" s="68">
        <f>_xlfn.F.INV(I18,2,I2-2)</f>
        <v>3.2256838422954499</v>
      </c>
      <c r="J20" s="51">
        <f t="shared" si="1"/>
        <v>9.4659113680730371</v>
      </c>
      <c r="K20" s="51">
        <f t="shared" si="2"/>
        <v>1.9872975355213018</v>
      </c>
      <c r="L20" s="55">
        <f t="shared" si="3"/>
        <v>1.1857909383586666E-2</v>
      </c>
      <c r="M20" s="51">
        <f t="shared" si="4"/>
        <v>1.9754396261377152</v>
      </c>
      <c r="N20" s="94">
        <f t="shared" si="8"/>
        <v>2923555670.2492785</v>
      </c>
      <c r="O20" s="56">
        <f t="shared" si="9"/>
        <v>97.117509226763872</v>
      </c>
      <c r="P20" s="57">
        <f t="shared" si="5"/>
        <v>94.501701086632991</v>
      </c>
      <c r="R20" s="47"/>
      <c r="S20" s="47"/>
      <c r="T20" s="47"/>
    </row>
    <row r="21" spans="1:20" ht="12.75" customHeight="1" x14ac:dyDescent="0.35">
      <c r="A21" s="49">
        <f>'New Vestas G27 60L'!O26</f>
        <v>176102406.12347847</v>
      </c>
      <c r="B21" s="48">
        <f>'New Vestas G27 60L'!T26</f>
        <v>144.49728289345654</v>
      </c>
      <c r="C21" s="50">
        <f t="shared" si="0"/>
        <v>8.2457652898628506</v>
      </c>
      <c r="D21" s="50">
        <f t="shared" si="0"/>
        <v>2.1598596807571133</v>
      </c>
      <c r="E21" s="51">
        <f t="shared" si="6"/>
        <v>67.992645215506982</v>
      </c>
      <c r="F21" s="51">
        <f t="shared" si="6"/>
        <v>4.6649938405602196</v>
      </c>
      <c r="G21" s="52">
        <f t="shared" si="7"/>
        <v>17.809695986561263</v>
      </c>
      <c r="H21" s="53" t="s">
        <v>75</v>
      </c>
      <c r="I21" s="68">
        <f>I19*SQRT(I17)*(($I$8)^(-1/2))</f>
        <v>1.0437253291027572E-2</v>
      </c>
      <c r="J21" s="51">
        <f t="shared" si="1"/>
        <v>9.4607762693478357</v>
      </c>
      <c r="K21" s="51">
        <f t="shared" si="2"/>
        <v>1.9879580240658881</v>
      </c>
      <c r="L21" s="55">
        <f t="shared" si="3"/>
        <v>1.1794780137244429E-2</v>
      </c>
      <c r="M21" s="51">
        <f t="shared" si="4"/>
        <v>1.9761632439286436</v>
      </c>
      <c r="N21" s="94">
        <f t="shared" si="8"/>
        <v>2889191106.5105586</v>
      </c>
      <c r="O21" s="56">
        <f t="shared" si="9"/>
        <v>97.265320922723475</v>
      </c>
      <c r="P21" s="57">
        <f t="shared" si="5"/>
        <v>94.659290271774807</v>
      </c>
      <c r="R21" s="47"/>
      <c r="S21" s="47"/>
      <c r="T21" s="47"/>
    </row>
    <row r="22" spans="1:20" ht="12.75" customHeight="1" thickBot="1" x14ac:dyDescent="0.4">
      <c r="A22" s="49">
        <f>'New Vestas G27 60L'!O27</f>
        <v>211322887.34817418</v>
      </c>
      <c r="B22" s="48">
        <f>'New Vestas G27 60L'!T27</f>
        <v>139.66875925554606</v>
      </c>
      <c r="C22" s="50">
        <f t="shared" si="0"/>
        <v>8.3249465359104757</v>
      </c>
      <c r="D22" s="50">
        <f t="shared" si="0"/>
        <v>2.1450992751177198</v>
      </c>
      <c r="E22" s="51">
        <f t="shared" si="6"/>
        <v>69.304734825767824</v>
      </c>
      <c r="F22" s="51">
        <f t="shared" si="6"/>
        <v>4.6014509001105672</v>
      </c>
      <c r="G22" s="52">
        <f t="shared" si="7"/>
        <v>17.857836779575333</v>
      </c>
      <c r="H22" s="61" t="s">
        <v>76</v>
      </c>
      <c r="I22" s="69">
        <f>I19*SQRT(I17)*(1/I2+I11^2/I8)^(1/2)</f>
        <v>9.0025269960667939E-2</v>
      </c>
      <c r="J22" s="51">
        <f t="shared" si="1"/>
        <v>9.4555797259599625</v>
      </c>
      <c r="K22" s="51">
        <f t="shared" si="2"/>
        <v>1.9886264157683284</v>
      </c>
      <c r="L22" s="55">
        <f t="shared" si="3"/>
        <v>1.1730943974585769E-2</v>
      </c>
      <c r="M22" s="51">
        <f t="shared" si="4"/>
        <v>1.9768954717937426</v>
      </c>
      <c r="N22" s="94">
        <f t="shared" si="8"/>
        <v>2854826542.7718415</v>
      </c>
      <c r="O22" s="56">
        <f t="shared" si="9"/>
        <v>97.415130300879454</v>
      </c>
      <c r="P22" s="57">
        <f t="shared" si="5"/>
        <v>94.819022058656131</v>
      </c>
      <c r="R22" s="47"/>
      <c r="S22" s="47"/>
      <c r="T22" s="47"/>
    </row>
    <row r="23" spans="1:20" ht="12.75" customHeight="1" x14ac:dyDescent="0.35">
      <c r="A23" s="49">
        <f>'New Vestas G27 60L'!O28</f>
        <v>246543368.57286987</v>
      </c>
      <c r="B23" s="48">
        <f>'New Vestas G27 60L'!T28</f>
        <v>134.05011356779568</v>
      </c>
      <c r="C23" s="50">
        <f t="shared" si="0"/>
        <v>8.3918933255410888</v>
      </c>
      <c r="D23" s="50">
        <f t="shared" si="0"/>
        <v>2.1272671862550872</v>
      </c>
      <c r="E23" s="51">
        <f t="shared" si="6"/>
        <v>70.42387358726107</v>
      </c>
      <c r="F23" s="51">
        <f t="shared" si="6"/>
        <v>4.5252656817176353</v>
      </c>
      <c r="G23" s="52">
        <f t="shared" si="7"/>
        <v>17.851799301976637</v>
      </c>
      <c r="H23" s="63" t="s">
        <v>77</v>
      </c>
      <c r="I23" s="70"/>
      <c r="J23" s="51">
        <f t="shared" si="1"/>
        <v>9.4503202496358103</v>
      </c>
      <c r="K23" s="51">
        <f t="shared" si="2"/>
        <v>1.9893029020538942</v>
      </c>
      <c r="L23" s="55">
        <f t="shared" si="3"/>
        <v>1.1666385178592566E-2</v>
      </c>
      <c r="M23" s="51">
        <f t="shared" si="4"/>
        <v>1.9776365168753016</v>
      </c>
      <c r="N23" s="94">
        <f t="shared" si="8"/>
        <v>2820461979.0331235</v>
      </c>
      <c r="O23" s="56">
        <f t="shared" si="9"/>
        <v>97.566988899590783</v>
      </c>
      <c r="P23" s="57">
        <f t="shared" si="5"/>
        <v>94.980951704060416</v>
      </c>
      <c r="R23" s="47"/>
      <c r="S23" s="47"/>
      <c r="T23" s="47"/>
    </row>
    <row r="24" spans="1:20" ht="12.75" customHeight="1" x14ac:dyDescent="0.35">
      <c r="A24" s="49">
        <f>'New Vestas G27 60L'!O29</f>
        <v>281763849.79756558</v>
      </c>
      <c r="B24" s="48">
        <f>'New Vestas G27 60L'!T29</f>
        <v>133.2599915179558</v>
      </c>
      <c r="C24" s="50">
        <f t="shared" si="0"/>
        <v>8.4498852725187756</v>
      </c>
      <c r="D24" s="50">
        <f t="shared" si="0"/>
        <v>2.1246997812891255</v>
      </c>
      <c r="E24" s="51">
        <f t="shared" si="6"/>
        <v>71.400561118729698</v>
      </c>
      <c r="F24" s="51">
        <f t="shared" si="6"/>
        <v>4.5143491606100579</v>
      </c>
      <c r="G24" s="52">
        <f t="shared" si="7"/>
        <v>17.953469390438844</v>
      </c>
      <c r="H24" s="66" t="s">
        <v>78</v>
      </c>
      <c r="I24" s="71">
        <f>10^(MAX(C:C))</f>
        <v>3542117817.5462699</v>
      </c>
      <c r="J24" s="51">
        <f t="shared" si="1"/>
        <v>9.444996297366183</v>
      </c>
      <c r="K24" s="51">
        <f t="shared" si="2"/>
        <v>1.9899876813880784</v>
      </c>
      <c r="L24" s="55">
        <f t="shared" si="3"/>
        <v>1.16010875170274E-2</v>
      </c>
      <c r="M24" s="51">
        <f t="shared" si="4"/>
        <v>1.978386593871051</v>
      </c>
      <c r="N24" s="94">
        <f t="shared" si="8"/>
        <v>2786097415.2943945</v>
      </c>
      <c r="O24" s="56">
        <f t="shared" si="9"/>
        <v>97.720950235506024</v>
      </c>
      <c r="P24" s="57">
        <f t="shared" si="5"/>
        <v>95.145136578155402</v>
      </c>
      <c r="R24" s="47"/>
      <c r="S24" s="47"/>
      <c r="T24" s="47"/>
    </row>
    <row r="25" spans="1:20" ht="12.75" customHeight="1" thickBot="1" x14ac:dyDescent="0.4">
      <c r="A25" s="49">
        <f>'New Vestas G27 60L'!O30</f>
        <v>316984331.02226126</v>
      </c>
      <c r="B25" s="48">
        <f>'New Vestas G27 60L'!T30</f>
        <v>131.35784584241532</v>
      </c>
      <c r="C25" s="50">
        <f t="shared" si="0"/>
        <v>8.5010377949661571</v>
      </c>
      <c r="D25" s="50">
        <f t="shared" si="0"/>
        <v>2.118456017771535</v>
      </c>
      <c r="E25" s="51">
        <f t="shared" si="6"/>
        <v>72.267643591443061</v>
      </c>
      <c r="F25" s="51">
        <f t="shared" si="6"/>
        <v>4.4878558992324304</v>
      </c>
      <c r="G25" s="52">
        <f t="shared" si="7"/>
        <v>18.009074674049316</v>
      </c>
      <c r="H25" s="72" t="s">
        <v>79</v>
      </c>
      <c r="I25" s="73">
        <f>10^(MIN(C:C))</f>
        <v>105661443.67408726</v>
      </c>
      <c r="J25" s="51">
        <f t="shared" si="1"/>
        <v>9.4396062686888662</v>
      </c>
      <c r="K25" s="51">
        <f t="shared" si="2"/>
        <v>1.9906809596261164</v>
      </c>
      <c r="L25" s="55">
        <f t="shared" si="3"/>
        <v>1.153503422063392E-2</v>
      </c>
      <c r="M25" s="51">
        <f t="shared" si="4"/>
        <v>1.9791459254054824</v>
      </c>
      <c r="N25" s="94">
        <f t="shared" si="8"/>
        <v>2751732851.5556779</v>
      </c>
      <c r="O25" s="56">
        <f t="shared" si="9"/>
        <v>97.877069905017038</v>
      </c>
      <c r="P25" s="57">
        <f t="shared" si="5"/>
        <v>95.311636272206044</v>
      </c>
      <c r="R25" s="47"/>
      <c r="S25" s="47"/>
      <c r="T25" s="47"/>
    </row>
    <row r="26" spans="1:20" ht="12.75" customHeight="1" x14ac:dyDescent="0.35">
      <c r="A26" s="49">
        <f>'New Vestas G27 60L'!O31</f>
        <v>352204812.24695694</v>
      </c>
      <c r="B26" s="48">
        <f>'New Vestas G27 60L'!T31</f>
        <v>127.55355449133431</v>
      </c>
      <c r="C26" s="50">
        <f t="shared" si="0"/>
        <v>8.5467952855268319</v>
      </c>
      <c r="D26" s="50">
        <f t="shared" si="0"/>
        <v>2.1056925654504224</v>
      </c>
      <c r="E26" s="51">
        <f t="shared" si="6"/>
        <v>73.047709652703674</v>
      </c>
      <c r="F26" s="51">
        <f t="shared" si="6"/>
        <v>4.4339411801931812</v>
      </c>
      <c r="G26" s="52">
        <f t="shared" si="7"/>
        <v>17.99692329116057</v>
      </c>
      <c r="H26" s="63" t="s">
        <v>80</v>
      </c>
      <c r="I26" s="70"/>
      <c r="J26" s="51">
        <f t="shared" si="1"/>
        <v>9.4341485028004382</v>
      </c>
      <c r="K26" s="51">
        <f t="shared" si="2"/>
        <v>1.9913829503844731</v>
      </c>
      <c r="L26" s="55">
        <f t="shared" si="3"/>
        <v>1.146820796025327E-2</v>
      </c>
      <c r="M26" s="51">
        <f t="shared" si="4"/>
        <v>1.9799147424242198</v>
      </c>
      <c r="N26" s="94">
        <f t="shared" si="8"/>
        <v>2717368287.8169565</v>
      </c>
      <c r="O26" s="56">
        <f t="shared" si="9"/>
        <v>98.035405692257129</v>
      </c>
      <c r="P26" s="57">
        <f t="shared" si="5"/>
        <v>95.480512713177092</v>
      </c>
      <c r="R26" s="47" t="s">
        <v>81</v>
      </c>
      <c r="S26" s="47"/>
      <c r="T26" s="47"/>
    </row>
    <row r="27" spans="1:20" ht="12.75" customHeight="1" x14ac:dyDescent="0.35">
      <c r="A27" s="49">
        <f>'New Vestas G27 60L'!O32</f>
        <v>573388253.43339479</v>
      </c>
      <c r="B27" s="48">
        <f>'New Vestas G27 60L'!T32</f>
        <v>121.45685861059646</v>
      </c>
      <c r="C27" s="50">
        <f t="shared" si="0"/>
        <v>8.7584487916427083</v>
      </c>
      <c r="D27" s="50">
        <f t="shared" si="0"/>
        <v>2.0844220442348695</v>
      </c>
      <c r="E27" s="51">
        <f t="shared" si="6"/>
        <v>76.710425235827614</v>
      </c>
      <c r="F27" s="51">
        <f t="shared" si="6"/>
        <v>4.3448152584922726</v>
      </c>
      <c r="G27" s="52">
        <f t="shared" si="7"/>
        <v>18.256303734602316</v>
      </c>
      <c r="H27" s="53" t="str">
        <f>"m lower " &amp; TEXT(I18,"##%") &amp; " conf"</f>
        <v>m lower 95% conf</v>
      </c>
      <c r="I27" s="74">
        <f>-I13-I21</f>
        <v>0.11818511210670893</v>
      </c>
      <c r="J27" s="51">
        <f t="shared" si="1"/>
        <v>9.4286212754842769</v>
      </c>
      <c r="K27" s="51">
        <f t="shared" si="2"/>
        <v>1.9920938754359687</v>
      </c>
      <c r="L27" s="55">
        <f t="shared" si="3"/>
        <v>1.1400590822799827E-2</v>
      </c>
      <c r="M27" s="51">
        <f t="shared" si="4"/>
        <v>1.9806932846131688</v>
      </c>
      <c r="N27" s="94">
        <f t="shared" si="8"/>
        <v>2683003724.0782328</v>
      </c>
      <c r="O27" s="56">
        <f t="shared" si="9"/>
        <v>98.196017684154057</v>
      </c>
      <c r="P27" s="57">
        <f t="shared" si="5"/>
        <v>95.651830285754826</v>
      </c>
      <c r="R27" s="47"/>
      <c r="S27" s="47"/>
      <c r="T27" s="47"/>
    </row>
    <row r="28" spans="1:20" ht="12.75" customHeight="1" x14ac:dyDescent="0.35">
      <c r="A28" s="49">
        <f>'New Vestas G27 60L'!O33</f>
        <v>661601830.88468611</v>
      </c>
      <c r="B28" s="48">
        <f>'New Vestas G27 60L'!T33</f>
        <v>118.50686190062923</v>
      </c>
      <c r="C28" s="50">
        <f t="shared" si="0"/>
        <v>8.8205966983915527</v>
      </c>
      <c r="D28" s="50">
        <f t="shared" si="0"/>
        <v>2.0737434980195326</v>
      </c>
      <c r="E28" s="51">
        <f t="shared" si="6"/>
        <v>77.802926115675959</v>
      </c>
      <c r="F28" s="51">
        <f t="shared" si="6"/>
        <v>4.3004120955782872</v>
      </c>
      <c r="G28" s="52">
        <f t="shared" si="7"/>
        <v>18.29165505194204</v>
      </c>
      <c r="H28" s="75" t="s">
        <v>82</v>
      </c>
      <c r="I28" s="76">
        <f>-I13</f>
        <v>0.1286223653977365</v>
      </c>
      <c r="J28" s="51">
        <f t="shared" si="1"/>
        <v>9.4230227958405575</v>
      </c>
      <c r="K28" s="51">
        <f t="shared" si="2"/>
        <v>1.9928139651303751</v>
      </c>
      <c r="L28" s="55">
        <f t="shared" si="3"/>
        <v>1.1332164286037382E-2</v>
      </c>
      <c r="M28" s="51">
        <f t="shared" si="4"/>
        <v>1.9814818008443378</v>
      </c>
      <c r="N28" s="94">
        <f t="shared" si="8"/>
        <v>2648639160.3395114</v>
      </c>
      <c r="O28" s="56">
        <f t="shared" si="9"/>
        <v>98.358968393097044</v>
      </c>
      <c r="P28" s="57">
        <f t="shared" si="5"/>
        <v>95.825655962369609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60L'!O34</f>
        <v>705708619.61033213</v>
      </c>
      <c r="B29" s="48">
        <f>'New Vestas G27 60L'!T34</f>
        <v>114.45975897621136</v>
      </c>
      <c r="C29" s="50">
        <f t="shared" si="0"/>
        <v>8.8486254219917964</v>
      </c>
      <c r="D29" s="50">
        <f t="shared" si="0"/>
        <v>2.0586528270571542</v>
      </c>
      <c r="E29" s="51">
        <f t="shared" si="6"/>
        <v>78.298171858719499</v>
      </c>
      <c r="F29" s="51">
        <f t="shared" si="6"/>
        <v>4.2380514623504135</v>
      </c>
      <c r="G29" s="52">
        <f t="shared" si="7"/>
        <v>18.216247740553214</v>
      </c>
      <c r="H29" s="77" t="str">
        <f>"m upper " &amp; TEXT(I18,"##%") &amp; " conf"</f>
        <v>m upper 95% conf</v>
      </c>
      <c r="I29" s="74">
        <f>-I13+I21</f>
        <v>0.13905961868876407</v>
      </c>
      <c r="J29" s="51">
        <f t="shared" si="1"/>
        <v>9.417351202802708</v>
      </c>
      <c r="K29" s="51">
        <f t="shared" si="2"/>
        <v>1.9935434588424765</v>
      </c>
      <c r="L29" s="55">
        <f t="shared" si="3"/>
        <v>1.1262909192094373E-2</v>
      </c>
      <c r="M29" s="51">
        <f t="shared" si="4"/>
        <v>1.9822805496503821</v>
      </c>
      <c r="N29" s="94">
        <f t="shared" si="8"/>
        <v>2614274596.6007829</v>
      </c>
      <c r="O29" s="56">
        <f t="shared" si="9"/>
        <v>98.524322887826628</v>
      </c>
      <c r="P29" s="57">
        <f t="shared" si="5"/>
        <v>96.002059441850776</v>
      </c>
      <c r="R29" s="47"/>
      <c r="S29" s="47"/>
      <c r="T29" s="47"/>
    </row>
    <row r="30" spans="1:20" ht="12.75" customHeight="1" x14ac:dyDescent="0.35">
      <c r="A30" s="49">
        <f>'New Vestas G27 60L'!O35</f>
        <v>1014456140.6898522</v>
      </c>
      <c r="B30" s="48">
        <f>'New Vestas G27 60L'!T35</f>
        <v>112.43620751400243</v>
      </c>
      <c r="C30" s="50">
        <f t="shared" si="0"/>
        <v>9.0062332753534644</v>
      </c>
      <c r="D30" s="50">
        <f t="shared" si="0"/>
        <v>2.0509061883804511</v>
      </c>
      <c r="E30" s="51">
        <f t="shared" si="6"/>
        <v>81.112237810083997</v>
      </c>
      <c r="F30" s="51">
        <f t="shared" si="6"/>
        <v>4.2062161935372302</v>
      </c>
      <c r="G30" s="52">
        <f t="shared" si="7"/>
        <v>18.470939558420358</v>
      </c>
      <c r="H30" s="77" t="str">
        <f>"C lower " &amp; TEXT(I18,"##%") &amp; " conf"</f>
        <v>C lower 95% conf</v>
      </c>
      <c r="I30" s="78">
        <f>10^(I14-I22)</f>
        <v>1302.5673151107376</v>
      </c>
      <c r="J30" s="51">
        <f t="shared" si="1"/>
        <v>9.4116045614233776</v>
      </c>
      <c r="K30" s="51">
        <f t="shared" si="2"/>
        <v>1.9942826054497786</v>
      </c>
      <c r="L30" s="55">
        <f t="shared" si="3"/>
        <v>1.1192805719654973E-2</v>
      </c>
      <c r="M30" s="51">
        <f t="shared" si="4"/>
        <v>1.9830897997301238</v>
      </c>
      <c r="N30" s="94">
        <f t="shared" si="8"/>
        <v>2579910032.8620672</v>
      </c>
      <c r="O30" s="56">
        <f t="shared" si="9"/>
        <v>98.692148933214696</v>
      </c>
      <c r="P30" s="57">
        <f t="shared" si="5"/>
        <v>96.181113297408174</v>
      </c>
      <c r="R30" s="47"/>
      <c r="S30" s="47"/>
      <c r="T30" s="47"/>
    </row>
    <row r="31" spans="1:20" ht="12.75" customHeight="1" x14ac:dyDescent="0.35">
      <c r="A31" s="49">
        <f>'New Vestas G27 60L'!O36</f>
        <v>485174675.98210317</v>
      </c>
      <c r="B31" s="48">
        <f>'New Vestas G27 60L'!T36</f>
        <v>122.86867301238763</v>
      </c>
      <c r="C31" s="50">
        <f t="shared" si="0"/>
        <v>8.6858981244940949</v>
      </c>
      <c r="D31" s="50">
        <f t="shared" si="0"/>
        <v>2.0894411678977485</v>
      </c>
      <c r="E31" s="51">
        <f t="shared" si="6"/>
        <v>75.44482622909004</v>
      </c>
      <c r="F31" s="51">
        <f t="shared" si="6"/>
        <v>4.3657643941059074</v>
      </c>
      <c r="G31" s="52">
        <f t="shared" si="7"/>
        <v>18.148673121483803</v>
      </c>
      <c r="H31" s="75" t="s">
        <v>83</v>
      </c>
      <c r="I31" s="79">
        <f>10^I14</f>
        <v>1602.6011362747113</v>
      </c>
      <c r="J31" s="51">
        <f t="shared" si="1"/>
        <v>9.4057808589113652</v>
      </c>
      <c r="K31" s="51">
        <f t="shared" si="2"/>
        <v>1.9950316638422463</v>
      </c>
      <c r="L31" s="55">
        <f t="shared" si="3"/>
        <v>1.1121833354760878E-2</v>
      </c>
      <c r="M31" s="51">
        <f t="shared" si="4"/>
        <v>1.9839098304874854</v>
      </c>
      <c r="N31" s="94">
        <f t="shared" si="8"/>
        <v>2545545469.1233487</v>
      </c>
      <c r="O31" s="56">
        <f t="shared" si="9"/>
        <v>98.86251713966746</v>
      </c>
      <c r="P31" s="57">
        <f t="shared" si="5"/>
        <v>96.362893134694488</v>
      </c>
      <c r="R31" s="47"/>
      <c r="S31" s="47"/>
      <c r="T31" s="47"/>
    </row>
    <row r="32" spans="1:20" ht="12.75" customHeight="1" thickBot="1" x14ac:dyDescent="0.4">
      <c r="A32" s="49">
        <f>'New Vestas G27 60L'!O37</f>
        <v>529281464.70774895</v>
      </c>
      <c r="B32" s="48">
        <f>'New Vestas G27 60L'!T37</f>
        <v>120.50280576371755</v>
      </c>
      <c r="C32" s="50">
        <f t="shared" si="0"/>
        <v>8.7236866853834947</v>
      </c>
      <c r="D32" s="50">
        <f t="shared" si="0"/>
        <v>2.0809971590562313</v>
      </c>
      <c r="E32" s="51">
        <f t="shared" si="6"/>
        <v>76.102709384737267</v>
      </c>
      <c r="F32" s="51">
        <f t="shared" si="6"/>
        <v>4.3305491760001056</v>
      </c>
      <c r="G32" s="52">
        <f t="shared" si="7"/>
        <v>18.153967208779722</v>
      </c>
      <c r="H32" s="61" t="str">
        <f>"C upper " &amp; TEXT(I18,"##%") &amp; " conf"</f>
        <v>C upper 95% conf</v>
      </c>
      <c r="I32" s="80">
        <f>10^(I14+I22)</f>
        <v>1971.7448550984477</v>
      </c>
      <c r="J32" s="51">
        <f t="shared" si="1"/>
        <v>9.3998780003992088</v>
      </c>
      <c r="K32" s="51">
        <f t="shared" si="2"/>
        <v>1.9957909034666881</v>
      </c>
      <c r="L32" s="55">
        <f t="shared" si="3"/>
        <v>1.1049970860157313E-2</v>
      </c>
      <c r="M32" s="51">
        <f t="shared" si="4"/>
        <v>1.9847409326065308</v>
      </c>
      <c r="N32" s="94">
        <f t="shared" si="8"/>
        <v>2511180905.3846216</v>
      </c>
      <c r="O32" s="56">
        <f t="shared" si="9"/>
        <v>99.03550112295197</v>
      </c>
      <c r="P32" s="57">
        <f t="shared" si="5"/>
        <v>96.547477760781831</v>
      </c>
      <c r="R32" s="47"/>
      <c r="S32" s="47"/>
      <c r="T32" s="47"/>
    </row>
    <row r="33" spans="1:20" ht="12.75" customHeight="1" x14ac:dyDescent="0.35">
      <c r="A33" s="49">
        <f>'New Vestas G27 60L'!O38</f>
        <v>573388253.43339479</v>
      </c>
      <c r="B33" s="48">
        <f>'New Vestas G27 60L'!T38</f>
        <v>119.69792309148957</v>
      </c>
      <c r="C33" s="50">
        <f t="shared" si="0"/>
        <v>8.7584487916427083</v>
      </c>
      <c r="D33" s="50">
        <f t="shared" si="0"/>
        <v>2.078086614919938</v>
      </c>
      <c r="E33" s="51">
        <f t="shared" si="6"/>
        <v>76.710425235827614</v>
      </c>
      <c r="F33" s="51">
        <f t="shared" si="6"/>
        <v>4.3184439791094062</v>
      </c>
      <c r="G33" s="52">
        <f t="shared" si="7"/>
        <v>18.200815201374418</v>
      </c>
      <c r="H33" s="63" t="s">
        <v>84</v>
      </c>
      <c r="I33" s="81"/>
      <c r="J33" s="51">
        <f t="shared" si="1"/>
        <v>9.393893804419152</v>
      </c>
      <c r="K33" s="51">
        <f t="shared" si="2"/>
        <v>1.9965606049086466</v>
      </c>
      <c r="L33" s="55">
        <f t="shared" si="3"/>
        <v>1.0977196243115449E-2</v>
      </c>
      <c r="M33" s="51">
        <f t="shared" si="4"/>
        <v>1.9855834086655311</v>
      </c>
      <c r="N33" s="94">
        <f t="shared" si="8"/>
        <v>2476816341.6458983</v>
      </c>
      <c r="O33" s="56">
        <f t="shared" si="9"/>
        <v>99.211177675327733</v>
      </c>
      <c r="P33" s="57">
        <f t="shared" si="5"/>
        <v>96.734949364958368</v>
      </c>
      <c r="R33" s="47"/>
      <c r="S33" s="47"/>
      <c r="T33" s="47"/>
    </row>
    <row r="34" spans="1:20" ht="12.75" customHeight="1" thickBot="1" x14ac:dyDescent="0.4">
      <c r="A34" s="49">
        <f>'New Vestas G27 60L'!O39</f>
        <v>617495042.15904045</v>
      </c>
      <c r="B34" s="48">
        <f>'New Vestas G27 60L'!T39</f>
        <v>116.28326933052243</v>
      </c>
      <c r="C34" s="50">
        <f t="shared" si="0"/>
        <v>8.7906334750141095</v>
      </c>
      <c r="D34" s="50">
        <f t="shared" si="0"/>
        <v>2.0655172335580176</v>
      </c>
      <c r="E34" s="51">
        <f t="shared" si="6"/>
        <v>77.275236892038635</v>
      </c>
      <c r="F34" s="51">
        <f t="shared" si="6"/>
        <v>4.2663614421251665</v>
      </c>
      <c r="G34" s="52">
        <f t="shared" si="7"/>
        <v>18.157204936533645</v>
      </c>
      <c r="H34" s="82" t="str">
        <f>"G27 Fit: S = " &amp; TEXT(I31,"0,00 E+00 ") &amp; " * N ^ -" &amp; TEXT(I28,"0,00")</f>
        <v>G27 Fit: S = 1,603 E+00  * N ^ -000</v>
      </c>
      <c r="I34" s="62"/>
      <c r="J34" s="51">
        <f t="shared" si="1"/>
        <v>9.3878259980630485</v>
      </c>
      <c r="K34" s="51">
        <f t="shared" si="2"/>
        <v>1.997341060514944</v>
      </c>
      <c r="L34" s="55">
        <f t="shared" si="3"/>
        <v>1.0903486721663346E-2</v>
      </c>
      <c r="M34" s="51">
        <f t="shared" si="4"/>
        <v>1.9864375737932807</v>
      </c>
      <c r="N34" s="94">
        <f t="shared" si="8"/>
        <v>2442451777.9071727</v>
      </c>
      <c r="O34" s="56">
        <f t="shared" si="9"/>
        <v>99.389626948953605</v>
      </c>
      <c r="P34" s="57">
        <f t="shared" si="5"/>
        <v>96.925393712347443</v>
      </c>
      <c r="R34" s="47"/>
      <c r="S34" s="47"/>
      <c r="T34" s="47"/>
    </row>
    <row r="35" spans="1:20" ht="12.75" customHeight="1" thickBot="1" x14ac:dyDescent="0.4">
      <c r="A35" s="49">
        <f>'New Vestas G27 60L'!O40</f>
        <v>661601830.88468611</v>
      </c>
      <c r="B35" s="48">
        <f>'New Vestas G27 60L'!T40</f>
        <v>112.50275980945165</v>
      </c>
      <c r="C35" s="50">
        <f t="shared" si="0"/>
        <v>8.8205966983915527</v>
      </c>
      <c r="D35" s="50">
        <f t="shared" si="0"/>
        <v>2.0511631762724014</v>
      </c>
      <c r="E35" s="51">
        <f t="shared" si="6"/>
        <v>77.802926115675959</v>
      </c>
      <c r="F35" s="51">
        <f t="shared" si="6"/>
        <v>4.2072703756958862</v>
      </c>
      <c r="G35" s="52">
        <f t="shared" si="7"/>
        <v>18.092483140490675</v>
      </c>
      <c r="H35" s="82" t="str">
        <f>"G27 Fit: N = " &amp; TEXT((1/I31)^(-1/I28),"0,00 E+00 ") &amp; " * S ^ -" &amp; TEXT(1/I28,"0,00")</f>
        <v>G27 Fit: N = 008 E+24  * S ^ -008</v>
      </c>
      <c r="I35" s="84"/>
      <c r="J35" s="51">
        <f t="shared" si="1"/>
        <v>9.3816722117993248</v>
      </c>
      <c r="K35" s="51">
        <f t="shared" si="2"/>
        <v>1.9981325750603363</v>
      </c>
      <c r="L35" s="55">
        <f t="shared" si="3"/>
        <v>1.0828818689157456E-2</v>
      </c>
      <c r="M35" s="51">
        <f t="shared" si="4"/>
        <v>1.9873037563711788</v>
      </c>
      <c r="N35" s="94">
        <f t="shared" si="8"/>
        <v>2408087214.1684556</v>
      </c>
      <c r="O35" s="56">
        <f t="shared" si="9"/>
        <v>99.570932652635662</v>
      </c>
      <c r="P35" s="57">
        <f t="shared" si="5"/>
        <v>97.11890035144414</v>
      </c>
      <c r="R35" s="47"/>
      <c r="S35" s="47"/>
      <c r="T35" s="47"/>
    </row>
    <row r="36" spans="1:20" ht="12.75" customHeight="1" x14ac:dyDescent="0.35">
      <c r="A36" s="49">
        <f>'New Vestas G27 60L'!O41</f>
        <v>882135774.51291502</v>
      </c>
      <c r="B36" s="48">
        <f>'New Vestas G27 60L'!T41</f>
        <v>110.77104254496116</v>
      </c>
      <c r="C36" s="50">
        <f t="shared" si="0"/>
        <v>8.9455354349998526</v>
      </c>
      <c r="D36" s="50">
        <f t="shared" si="0"/>
        <v>2.0444262431849234</v>
      </c>
      <c r="E36" s="51">
        <f t="shared" si="6"/>
        <v>80.022604218837998</v>
      </c>
      <c r="F36" s="51">
        <f t="shared" si="6"/>
        <v>4.1796786638232195</v>
      </c>
      <c r="G36" s="52">
        <f t="shared" si="7"/>
        <v>18.288487402654358</v>
      </c>
      <c r="H36" s="83"/>
      <c r="I36" s="83"/>
      <c r="J36" s="51">
        <f t="shared" si="1"/>
        <v>9.3754299739174272</v>
      </c>
      <c r="K36" s="51">
        <f t="shared" si="2"/>
        <v>1.9989354664620813</v>
      </c>
      <c r="L36" s="55">
        <f t="shared" si="3"/>
        <v>1.0753167677128497E-2</v>
      </c>
      <c r="M36" s="51">
        <f t="shared" si="4"/>
        <v>1.9881822987849529</v>
      </c>
      <c r="N36" s="94">
        <f t="shared" si="8"/>
        <v>2373722650.4297352</v>
      </c>
      <c r="O36" s="56">
        <f t="shared" si="9"/>
        <v>99.755182263091939</v>
      </c>
      <c r="P36" s="57">
        <f t="shared" si="5"/>
        <v>97.315562836780856</v>
      </c>
      <c r="R36" s="47"/>
      <c r="S36" s="47"/>
      <c r="T36" s="47"/>
    </row>
    <row r="37" spans="1:20" ht="12.75" customHeight="1" x14ac:dyDescent="0.35">
      <c r="A37" s="49">
        <f>'New Vestas G27 60L'!O42</f>
        <v>1014456140.6898522</v>
      </c>
      <c r="B37" s="48">
        <f>'New Vestas G27 60L'!T42</f>
        <v>107.81980608012526</v>
      </c>
      <c r="C37" s="50">
        <f t="shared" si="0"/>
        <v>9.0062332753534644</v>
      </c>
      <c r="D37" s="50">
        <f t="shared" si="0"/>
        <v>2.0326985463907135</v>
      </c>
      <c r="E37" s="51">
        <f t="shared" si="6"/>
        <v>81.112237810083997</v>
      </c>
      <c r="F37" s="51">
        <f t="shared" si="6"/>
        <v>4.1318633804989195</v>
      </c>
      <c r="G37" s="52">
        <f t="shared" si="7"/>
        <v>18.306957287266663</v>
      </c>
      <c r="H37" s="95">
        <f>1/I28</f>
        <v>7.7746976344877421</v>
      </c>
      <c r="I37" s="85">
        <f>I31-I30</f>
        <v>300.0338211639737</v>
      </c>
      <c r="J37" s="51">
        <f t="shared" si="1"/>
        <v>9.3690967045671503</v>
      </c>
      <c r="K37" s="51">
        <f t="shared" si="2"/>
        <v>1.9997500665466148</v>
      </c>
      <c r="L37" s="55">
        <f t="shared" si="3"/>
        <v>1.0676508316337742E-2</v>
      </c>
      <c r="M37" s="51">
        <f t="shared" si="4"/>
        <v>1.989073558230277</v>
      </c>
      <c r="N37" s="94">
        <f t="shared" si="8"/>
        <v>2339358086.6910086</v>
      </c>
      <c r="O37" s="56">
        <f t="shared" si="9"/>
        <v>99.942467252035527</v>
      </c>
      <c r="P37" s="57">
        <f t="shared" si="5"/>
        <v>97.515478968051198</v>
      </c>
      <c r="R37" s="47"/>
      <c r="S37" s="47"/>
      <c r="T37" s="47"/>
    </row>
    <row r="38" spans="1:20" ht="12.75" customHeight="1" x14ac:dyDescent="0.35">
      <c r="A38" s="49">
        <f>'New Vestas G27 60L'!O43</f>
        <v>441067887.25645751</v>
      </c>
      <c r="B38" s="48">
        <f>'New Vestas G27 60L'!T43</f>
        <v>123.47843261256035</v>
      </c>
      <c r="C38" s="50">
        <f t="shared" si="0"/>
        <v>8.6445054393358713</v>
      </c>
      <c r="D38" s="50">
        <f t="shared" si="0"/>
        <v>2.0915911080789567</v>
      </c>
      <c r="E38" s="51">
        <f t="shared" si="6"/>
        <v>74.727474290707463</v>
      </c>
      <c r="F38" s="51">
        <f t="shared" si="6"/>
        <v>4.3747533633949578</v>
      </c>
      <c r="G38" s="52">
        <f t="shared" si="7"/>
        <v>18.080770710655084</v>
      </c>
      <c r="H38" s="95">
        <f>((1/I27)-(1/I29))/2</f>
        <v>0.63507119869390261</v>
      </c>
      <c r="I38" s="85">
        <f>I32-I31</f>
        <v>369.14371882373644</v>
      </c>
      <c r="J38" s="51">
        <f t="shared" si="1"/>
        <v>9.3626697093568882</v>
      </c>
      <c r="K38" s="51">
        <f t="shared" si="2"/>
        <v>2.0005767218729584</v>
      </c>
      <c r="L38" s="55">
        <f t="shared" si="3"/>
        <v>1.0598814295984499E-2</v>
      </c>
      <c r="M38" s="51">
        <f t="shared" si="4"/>
        <v>1.9899779075769739</v>
      </c>
      <c r="N38" s="94">
        <f t="shared" si="8"/>
        <v>2304993522.952291</v>
      </c>
      <c r="O38" s="56">
        <f t="shared" si="9"/>
        <v>100.13288333050831</v>
      </c>
      <c r="P38" s="57">
        <f t="shared" si="5"/>
        <v>97.718751047164716</v>
      </c>
      <c r="R38" s="47"/>
      <c r="S38" s="47"/>
      <c r="T38" s="47"/>
    </row>
    <row r="39" spans="1:20" ht="12.75" customHeight="1" x14ac:dyDescent="0.35">
      <c r="A39" s="49">
        <f>'New Vestas G27 60L'!O44</f>
        <v>485174675.98210317</v>
      </c>
      <c r="B39" s="48">
        <f>'New Vestas G27 60L'!T44</f>
        <v>121.5759826600215</v>
      </c>
      <c r="C39" s="50">
        <f t="shared" si="0"/>
        <v>8.6858981244940949</v>
      </c>
      <c r="D39" s="50">
        <f t="shared" si="0"/>
        <v>2.0848477885186458</v>
      </c>
      <c r="E39" s="51">
        <f t="shared" si="6"/>
        <v>75.44482622909004</v>
      </c>
      <c r="F39" s="51">
        <f t="shared" si="6"/>
        <v>4.346590301291088</v>
      </c>
      <c r="G39" s="52">
        <f t="shared" si="7"/>
        <v>18.108775496149768</v>
      </c>
      <c r="H39" s="86"/>
      <c r="I39" s="86"/>
      <c r="J39" s="51">
        <f t="shared" si="1"/>
        <v>9.3561461724710249</v>
      </c>
      <c r="K39" s="51">
        <f t="shared" si="2"/>
        <v>2.0014157946179778</v>
      </c>
      <c r="L39" s="55">
        <f t="shared" si="3"/>
        <v>1.0520058321011275E-2</v>
      </c>
      <c r="M39" s="51">
        <f t="shared" si="4"/>
        <v>1.9908957362969666</v>
      </c>
      <c r="N39" s="94">
        <f t="shared" si="8"/>
        <v>2270628959.2135673</v>
      </c>
      <c r="O39" s="56">
        <f t="shared" si="9"/>
        <v>100.32653071205874</v>
      </c>
      <c r="P39" s="57">
        <f t="shared" si="5"/>
        <v>97.925486154854156</v>
      </c>
      <c r="R39" s="47"/>
      <c r="S39" s="47"/>
      <c r="T39" s="47"/>
    </row>
    <row r="40" spans="1:20" ht="12.75" customHeight="1" x14ac:dyDescent="0.35">
      <c r="A40" s="49">
        <f>'New Vestas G27 60L'!O45</f>
        <v>529281464.70774895</v>
      </c>
      <c r="B40" s="48">
        <f>'New Vestas G27 60L'!T45</f>
        <v>120.45402499570373</v>
      </c>
      <c r="C40" s="50">
        <f t="shared" si="0"/>
        <v>8.7236866853834947</v>
      </c>
      <c r="D40" s="50">
        <f t="shared" si="0"/>
        <v>2.0808213166151264</v>
      </c>
      <c r="E40" s="51">
        <f t="shared" si="6"/>
        <v>76.102709384737267</v>
      </c>
      <c r="F40" s="51">
        <f t="shared" si="6"/>
        <v>4.3298173516799077</v>
      </c>
      <c r="G40" s="52">
        <f t="shared" si="7"/>
        <v>18.152433214417531</v>
      </c>
      <c r="H40" s="86" t="b">
        <f>H37=H38</f>
        <v>0</v>
      </c>
      <c r="I40" s="86"/>
      <c r="J40" s="51">
        <f t="shared" si="1"/>
        <v>9.3495231492624793</v>
      </c>
      <c r="K40" s="51">
        <f t="shared" si="2"/>
        <v>2.0022676635291452</v>
      </c>
      <c r="L40" s="55">
        <f t="shared" si="3"/>
        <v>1.0440212067462679E-2</v>
      </c>
      <c r="M40" s="51">
        <f t="shared" si="4"/>
        <v>1.9918274514616825</v>
      </c>
      <c r="N40" s="94">
        <f t="shared" si="8"/>
        <v>2236264395.4748464</v>
      </c>
      <c r="O40" s="56">
        <f t="shared" si="9"/>
        <v>100.52351439652408</v>
      </c>
      <c r="P40" s="57">
        <f t="shared" si="5"/>
        <v>98.135796448633798</v>
      </c>
      <c r="R40" s="47"/>
      <c r="S40" s="47"/>
      <c r="T40" s="47"/>
    </row>
    <row r="41" spans="1:20" ht="12.75" customHeight="1" x14ac:dyDescent="0.35">
      <c r="A41" s="49">
        <f>'New Vestas G27 60L'!O46</f>
        <v>573388253.43339479</v>
      </c>
      <c r="B41" s="48">
        <f>'New Vestas G27 60L'!T46</f>
        <v>119.21011541135141</v>
      </c>
      <c r="C41" s="50">
        <f t="shared" si="0"/>
        <v>8.7584487916427083</v>
      </c>
      <c r="D41" s="50">
        <f t="shared" si="0"/>
        <v>2.0763131084322626</v>
      </c>
      <c r="E41" s="51">
        <f t="shared" si="6"/>
        <v>76.710425235827614</v>
      </c>
      <c r="F41" s="51">
        <f t="shared" si="6"/>
        <v>4.311076124247645</v>
      </c>
      <c r="G41" s="52">
        <f t="shared" si="7"/>
        <v>18.185282035620467</v>
      </c>
      <c r="H41" s="86"/>
      <c r="I41" s="86"/>
      <c r="J41" s="51">
        <f t="shared" si="1"/>
        <v>9.3427975582716307</v>
      </c>
      <c r="K41" s="51">
        <f t="shared" si="2"/>
        <v>2.0031327249510857</v>
      </c>
      <c r="L41" s="55">
        <f t="shared" si="3"/>
        <v>1.0359246135866045E-2</v>
      </c>
      <c r="M41" s="51">
        <f t="shared" si="4"/>
        <v>1.9927734788152196</v>
      </c>
      <c r="N41" s="94">
        <f t="shared" si="8"/>
        <v>2201899831.7361245</v>
      </c>
      <c r="O41" s="56">
        <f t="shared" si="9"/>
        <v>100.72394447637623</v>
      </c>
      <c r="P41" s="57">
        <f t="shared" si="5"/>
        <v>98.349799484100757</v>
      </c>
      <c r="R41" s="47"/>
      <c r="S41" s="47"/>
      <c r="T41" s="47"/>
    </row>
    <row r="42" spans="1:20" ht="12.75" customHeight="1" x14ac:dyDescent="0.35">
      <c r="A42" s="49">
        <f>'New Vestas G27 60L'!O47</f>
        <v>617495042.15904045</v>
      </c>
      <c r="B42" s="48">
        <f>'New Vestas G27 60L'!T47</f>
        <v>118.81986926724086</v>
      </c>
      <c r="C42" s="50">
        <f t="shared" si="0"/>
        <v>8.7906334750141095</v>
      </c>
      <c r="D42" s="50">
        <f t="shared" si="0"/>
        <v>2.0748890702040486</v>
      </c>
      <c r="E42" s="51">
        <f t="shared" si="6"/>
        <v>77.275236892038635</v>
      </c>
      <c r="F42" s="51">
        <f t="shared" si="6"/>
        <v>4.3051646536522208</v>
      </c>
      <c r="G42" s="52">
        <f t="shared" si="7"/>
        <v>18.239589317476611</v>
      </c>
      <c r="H42" s="86"/>
      <c r="I42" s="86"/>
      <c r="J42" s="51">
        <f t="shared" si="1"/>
        <v>9.3359661726174732</v>
      </c>
      <c r="K42" s="51">
        <f t="shared" si="2"/>
        <v>2.0040113939328679</v>
      </c>
      <c r="L42" s="55">
        <f t="shared" si="3"/>
        <v>1.0277130002618115E-2</v>
      </c>
      <c r="M42" s="51">
        <f t="shared" si="4"/>
        <v>1.9937342639302498</v>
      </c>
      <c r="N42" s="94">
        <f t="shared" si="8"/>
        <v>2167535267.9974012</v>
      </c>
      <c r="O42" s="56">
        <f t="shared" si="9"/>
        <v>100.92793646780872</v>
      </c>
      <c r="P42" s="57">
        <f t="shared" si="5"/>
        <v>98.567618561787256</v>
      </c>
      <c r="R42" s="47"/>
      <c r="S42" s="47"/>
      <c r="T42" s="47"/>
    </row>
    <row r="43" spans="1:20" ht="12.75" customHeight="1" thickBot="1" x14ac:dyDescent="0.4">
      <c r="A43" s="49">
        <f>'New Vestas G27 60L'!O48</f>
        <v>749815408.33597767</v>
      </c>
      <c r="B43" s="48">
        <f>'New Vestas G27 60L'!T48</f>
        <v>116.35644048254314</v>
      </c>
      <c r="C43" s="50">
        <f t="shared" si="0"/>
        <v>8.8749543607141455</v>
      </c>
      <c r="D43" s="50">
        <f t="shared" si="0"/>
        <v>2.0657904270607994</v>
      </c>
      <c r="E43" s="51">
        <f t="shared" si="6"/>
        <v>78.764814904759021</v>
      </c>
      <c r="F43" s="51">
        <f t="shared" si="6"/>
        <v>4.2674900885360403</v>
      </c>
      <c r="G43" s="52">
        <f t="shared" si="7"/>
        <v>18.333795758964779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9.3290256107008052</v>
      </c>
      <c r="K43" s="51">
        <f t="shared" si="2"/>
        <v>2.0049041054237788</v>
      </c>
      <c r="L43" s="55">
        <f t="shared" si="3"/>
        <v>1.0193831969383621E-2</v>
      </c>
      <c r="M43" s="51">
        <f t="shared" si="4"/>
        <v>1.9947102734543951</v>
      </c>
      <c r="N43" s="94">
        <f t="shared" si="8"/>
        <v>2133170704.2586782</v>
      </c>
      <c r="O43" s="56">
        <f t="shared" si="9"/>
        <v>101.13561166898926</v>
      </c>
      <c r="P43" s="57">
        <f t="shared" si="5"/>
        <v>98.789383102020039</v>
      </c>
      <c r="R43" s="47"/>
      <c r="S43" s="47"/>
      <c r="T43" s="47"/>
    </row>
    <row r="44" spans="1:20" ht="12.75" customHeight="1" x14ac:dyDescent="0.35">
      <c r="A44" s="49">
        <f>'New Vestas G27 60L'!O49</f>
        <v>1014456140.6898522</v>
      </c>
      <c r="B44" s="48">
        <f>'New Vestas G27 60L'!T49</f>
        <v>114.21008668993522</v>
      </c>
      <c r="C44" s="50">
        <f t="shared" si="0"/>
        <v>9.0062332753534644</v>
      </c>
      <c r="D44" s="50">
        <f t="shared" si="0"/>
        <v>2.0577044611807001</v>
      </c>
      <c r="E44" s="51">
        <f t="shared" si="6"/>
        <v>81.112237810083997</v>
      </c>
      <c r="F44" s="51">
        <f t="shared" si="6"/>
        <v>4.2341476495629555</v>
      </c>
      <c r="G44" s="52">
        <f t="shared" si="7"/>
        <v>18.532166389128893</v>
      </c>
      <c r="H44" s="86" t="s">
        <v>83</v>
      </c>
      <c r="I44" s="86">
        <f>(1/$I$31)^(-1/$I$28)</f>
        <v>8.2518023397114639E+24</v>
      </c>
      <c r="J44" s="51">
        <f t="shared" si="1"/>
        <v>9.3219723261523875</v>
      </c>
      <c r="K44" s="51">
        <f t="shared" si="2"/>
        <v>2.0058113155662198</v>
      </c>
      <c r="L44" s="55">
        <f t="shared" si="3"/>
        <v>1.0109319110539285E-2</v>
      </c>
      <c r="M44" s="51">
        <f t="shared" si="4"/>
        <v>1.9957019964556806</v>
      </c>
      <c r="N44" s="94">
        <f t="shared" si="8"/>
        <v>2098806140.5199583</v>
      </c>
      <c r="O44" s="56">
        <f t="shared" si="9"/>
        <v>101.34709754818817</v>
      </c>
      <c r="P44" s="57">
        <f t="shared" si="5"/>
        <v>99.015229050522009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7.7746976344877421</v>
      </c>
      <c r="J45" s="51">
        <f t="shared" si="1"/>
        <v>9.3148025969513135</v>
      </c>
      <c r="K45" s="51">
        <f t="shared" si="2"/>
        <v>2.0067335030953233</v>
      </c>
      <c r="L45" s="55">
        <f t="shared" si="3"/>
        <v>1.0023557218733249E-2</v>
      </c>
      <c r="M45" s="51">
        <f t="shared" si="4"/>
        <v>1.99670994587659</v>
      </c>
      <c r="N45" s="94">
        <f t="shared" si="8"/>
        <v>2064441576.7812359</v>
      </c>
      <c r="O45" s="56">
        <f t="shared" si="9"/>
        <v>101.56252816480408</v>
      </c>
      <c r="P45" s="57">
        <f t="shared" si="5"/>
        <v>99.245299317798086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9.3075125136299501</v>
      </c>
      <c r="K46" s="51">
        <f t="shared" si="2"/>
        <v>2.0076711708560637</v>
      </c>
      <c r="L46" s="55">
        <f t="shared" si="3"/>
        <v>9.9365107486746544E-3</v>
      </c>
      <c r="M46" s="51">
        <f t="shared" si="4"/>
        <v>1.9977346601073891</v>
      </c>
      <c r="N46" s="94">
        <f t="shared" si="8"/>
        <v>2030077013.0425115</v>
      </c>
      <c r="O46" s="56">
        <f t="shared" si="9"/>
        <v>101.78204462668121</v>
      </c>
      <c r="P46" s="57">
        <f t="shared" si="5"/>
        <v>99.479744255711935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9.3000979664719221</v>
      </c>
      <c r="K47" s="51">
        <f t="shared" si="2"/>
        <v>2.008624847449882</v>
      </c>
      <c r="L47" s="55">
        <f t="shared" si="3"/>
        <v>9.8481427593276293E-3</v>
      </c>
      <c r="M47" s="51">
        <f t="shared" si="4"/>
        <v>1.9987767046905545</v>
      </c>
      <c r="N47" s="94">
        <f t="shared" si="8"/>
        <v>1995712449.3037841</v>
      </c>
      <c r="O47" s="56">
        <f t="shared" si="9"/>
        <v>102.00579558751416</v>
      </c>
      <c r="P47" s="57">
        <f t="shared" si="5"/>
        <v>99.718722175053912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9.2925546315981489</v>
      </c>
      <c r="K48" s="51">
        <f t="shared" si="2"/>
        <v>2.0095950890243337</v>
      </c>
      <c r="L48" s="55">
        <f t="shared" si="3"/>
        <v>9.7584148547568052E-3</v>
      </c>
      <c r="M48" s="51">
        <f t="shared" si="4"/>
        <v>1.999836674169577</v>
      </c>
      <c r="N48" s="94">
        <f t="shared" si="8"/>
        <v>1961347885.5650704</v>
      </c>
      <c r="O48" s="56">
        <f t="shared" si="9"/>
        <v>102.23393778861758</v>
      </c>
      <c r="P48" s="57">
        <f t="shared" si="5"/>
        <v>99.962399908363665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9.2848779558230028</v>
      </c>
      <c r="K49" s="51">
        <f t="shared" si="2"/>
        <v>2.0105824812209248</v>
      </c>
      <c r="L49" s="55">
        <f t="shared" si="3"/>
        <v>9.6672871239652566E-3</v>
      </c>
      <c r="M49" s="51">
        <f t="shared" si="4"/>
        <v>2.0009151940969594</v>
      </c>
      <c r="N49" s="94">
        <f t="shared" si="8"/>
        <v>1926983321.8263533</v>
      </c>
      <c r="O49" s="56">
        <f t="shared" si="9"/>
        <v>102.46663664987018</v>
      </c>
      <c r="P49" s="57">
        <f t="shared" si="5"/>
        <v>100.21095342278898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9.2770631401477814</v>
      </c>
      <c r="K50" s="51">
        <f t="shared" si="2"/>
        <v>2.011587641298219</v>
      </c>
      <c r="L50" s="55">
        <f t="shared" si="3"/>
        <v>9.5747180801831738E-3</v>
      </c>
      <c r="M50" s="51">
        <f t="shared" si="4"/>
        <v>2.0020129232180359</v>
      </c>
      <c r="N50" s="94">
        <f t="shared" si="8"/>
        <v>1892618758.0876288</v>
      </c>
      <c r="O50" s="56">
        <f t="shared" si="9"/>
        <v>102.7040669152633</v>
      </c>
      <c r="P50" s="57">
        <f t="shared" si="5"/>
        <v>100.4645684883571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9.2691051217416494</v>
      </c>
      <c r="K51" s="51">
        <f t="shared" si="2"/>
        <v>2.0126112204494948</v>
      </c>
      <c r="L51" s="55">
        <f t="shared" si="3"/>
        <v>9.4806646002135384E-3</v>
      </c>
      <c r="M51" s="51">
        <f t="shared" si="4"/>
        <v>2.0031305558492813</v>
      </c>
      <c r="N51" s="94">
        <f t="shared" si="8"/>
        <v>1858254194.3488975</v>
      </c>
      <c r="O51" s="56">
        <f t="shared" si="9"/>
        <v>102.94641335919549</v>
      </c>
      <c r="P51" s="57">
        <f t="shared" si="5"/>
        <v>100.72344140771382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9.2609985542406292</v>
      </c>
      <c r="K52" s="51">
        <f t="shared" si="2"/>
        <v>2.013653906336732</v>
      </c>
      <c r="L52" s="55">
        <f t="shared" si="3"/>
        <v>9.3850818646274113E-3</v>
      </c>
      <c r="M52" s="51">
        <f t="shared" si="4"/>
        <v>2.0042688244721045</v>
      </c>
      <c r="N52" s="94">
        <f t="shared" si="8"/>
        <v>1823889630.6101799</v>
      </c>
      <c r="O52" s="56">
        <f t="shared" si="9"/>
        <v>103.19387156047041</v>
      </c>
      <c r="P52" s="57">
        <f t="shared" si="5"/>
        <v>100.98777981416333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9.2527377861726308</v>
      </c>
      <c r="K53" s="51">
        <f t="shared" si="2"/>
        <v>2.0147164258656405</v>
      </c>
      <c r="L53" s="55">
        <f t="shared" si="3"/>
        <v>9.2879232998352573E-3</v>
      </c>
      <c r="M53" s="51">
        <f t="shared" si="4"/>
        <v>2.0054285025658052</v>
      </c>
      <c r="N53" s="94">
        <f t="shared" si="8"/>
        <v>1789525066.8714585</v>
      </c>
      <c r="O53" s="56">
        <f t="shared" si="9"/>
        <v>103.44664875190271</v>
      </c>
      <c r="P53" s="57">
        <f t="shared" si="5"/>
        <v>101.2578035457353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9.244316837290512</v>
      </c>
      <c r="K54" s="51">
        <f t="shared" si="2"/>
        <v>2.0157995482297517</v>
      </c>
      <c r="L54" s="55">
        <f t="shared" si="3"/>
        <v>9.1891405233562994E-3</v>
      </c>
      <c r="M54" s="51">
        <f t="shared" si="4"/>
        <v>2.0066104077063955</v>
      </c>
      <c r="N54" s="94">
        <f t="shared" si="8"/>
        <v>1755160503.132741</v>
      </c>
      <c r="O54" s="56">
        <f t="shared" si="9"/>
        <v>103.70496475452569</v>
      </c>
      <c r="P54" s="57">
        <f t="shared" si="5"/>
        <v>101.53374560402594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9.2357293725648706</v>
      </c>
      <c r="K55" s="51">
        <f t="shared" si="2"/>
        <v>2.0169040882555334</v>
      </c>
      <c r="L55" s="55">
        <f t="shared" si="3"/>
        <v>9.0886832939776393E-3</v>
      </c>
      <c r="M55" s="51">
        <f t="shared" si="4"/>
        <v>2.0078154049615557</v>
      </c>
      <c r="N55" s="94">
        <f t="shared" si="8"/>
        <v>1720795939.3940203</v>
      </c>
      <c r="O55" s="56">
        <f t="shared" si="9"/>
        <v>103.96905300667426</v>
      </c>
      <c r="P55" s="57">
        <f t="shared" si="5"/>
        <v>101.81585320775692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9.2269686735533263</v>
      </c>
      <c r="K56" s="51">
        <f t="shared" si="2"/>
        <v>2.0180309100849358</v>
      </c>
      <c r="L56" s="55">
        <f t="shared" si="3"/>
        <v>8.9864994689639096E-3</v>
      </c>
      <c r="M56" s="51">
        <f t="shared" si="4"/>
        <v>2.0090444106159717</v>
      </c>
      <c r="N56" s="94">
        <f t="shared" si="8"/>
        <v>1686431375.6552958</v>
      </c>
      <c r="O56" s="56">
        <f t="shared" si="9"/>
        <v>104.2391616996818</v>
      </c>
      <c r="P56" s="57">
        <f t="shared" si="5"/>
        <v>102.10438895234445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9.2180276068221101</v>
      </c>
      <c r="K57" s="51">
        <f t="shared" si="2"/>
        <v>2.0191809312370839</v>
      </c>
      <c r="L57" s="55">
        <f t="shared" si="3"/>
        <v>8.8825349710672484E-3</v>
      </c>
      <c r="M57" s="51">
        <f t="shared" si="4"/>
        <v>2.0102983962660166</v>
      </c>
      <c r="N57" s="94">
        <f t="shared" si="8"/>
        <v>1652066811.9165699</v>
      </c>
      <c r="O57" s="56">
        <f t="shared" si="9"/>
        <v>104.5155550336696</v>
      </c>
      <c r="P57" s="57">
        <f t="shared" si="5"/>
        <v>102.39963208837268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9.2088985890481379</v>
      </c>
      <c r="K58" s="51">
        <f t="shared" si="2"/>
        <v>2.0203551270969302</v>
      </c>
      <c r="L58" s="55">
        <f t="shared" si="3"/>
        <v>8.7767337688342828E-3</v>
      </c>
      <c r="M58" s="51">
        <f t="shared" si="4"/>
        <v>2.011578393328096</v>
      </c>
      <c r="N58" s="94">
        <f t="shared" si="8"/>
        <v>1617702248.177851</v>
      </c>
      <c r="O58" s="56">
        <f t="shared" si="9"/>
        <v>104.79851460891946</v>
      </c>
      <c r="P58" s="57">
        <f t="shared" si="5"/>
        <v>102.70187993368896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9.1995735483738184</v>
      </c>
      <c r="K59" s="51">
        <f t="shared" si="2"/>
        <v>2.0215545358858913</v>
      </c>
      <c r="L59" s="55">
        <f t="shared" si="3"/>
        <v>8.6690378746517999E-3</v>
      </c>
      <c r="M59" s="51">
        <f t="shared" si="4"/>
        <v>2.0128854980112396</v>
      </c>
      <c r="N59" s="94">
        <f t="shared" si="8"/>
        <v>1583337684.4391291</v>
      </c>
      <c r="O59" s="56">
        <f t="shared" si="9"/>
        <v>105.08834097070068</v>
      </c>
      <c r="P59" s="57">
        <f t="shared" si="5"/>
        <v>103.01144943598895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9.1900438815211327</v>
      </c>
      <c r="K60" s="51">
        <f t="shared" si="2"/>
        <v>2.022780264177936</v>
      </c>
      <c r="L60" s="55">
        <f t="shared" si="3"/>
        <v>8.5593873661729044E-3</v>
      </c>
      <c r="M60" s="51">
        <f t="shared" si="4"/>
        <v>2.0142208768117631</v>
      </c>
      <c r="N60" s="94">
        <f t="shared" si="8"/>
        <v>1548973120.7004077</v>
      </c>
      <c r="O60" s="56">
        <f t="shared" si="9"/>
        <v>105.38535532822189</v>
      </c>
      <c r="P60" s="57">
        <f t="shared" si="5"/>
        <v>103.32867890524577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9.1803004060939966</v>
      </c>
      <c r="K61" s="51">
        <f t="shared" si="2"/>
        <v>2.0240334930345689</v>
      </c>
      <c r="L61" s="55">
        <f t="shared" si="3"/>
        <v>8.4477204382930136E-3</v>
      </c>
      <c r="M61" s="51">
        <f t="shared" si="4"/>
        <v>2.015585772596276</v>
      </c>
      <c r="N61" s="94">
        <f t="shared" si="8"/>
        <v>1514608556.9616828</v>
      </c>
      <c r="O61" s="56">
        <f t="shared" si="9"/>
        <v>105.689901471686</v>
      </c>
      <c r="P61" s="57">
        <f t="shared" si="5"/>
        <v>103.65392993826408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9.1703333074061799</v>
      </c>
      <c r="K62" s="51">
        <f t="shared" si="2"/>
        <v>2.025315484843949</v>
      </c>
      <c r="L62" s="55">
        <f t="shared" si="3"/>
        <v>8.333973494794868E-3</v>
      </c>
      <c r="M62" s="51">
        <f t="shared" si="4"/>
        <v>2.016981511349154</v>
      </c>
      <c r="N62" s="94">
        <f t="shared" si="8"/>
        <v>1480243993.2229588</v>
      </c>
      <c r="O62" s="56">
        <f t="shared" si="9"/>
        <v>106.00234791536248</v>
      </c>
      <c r="P62" s="57">
        <f t="shared" si="5"/>
        <v>103.98758956105706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9.1601320790630272</v>
      </c>
      <c r="K63" s="51">
        <f t="shared" si="2"/>
        <v>2.0266275909634075</v>
      </c>
      <c r="L63" s="55">
        <f t="shared" si="3"/>
        <v>8.2180812912777419E-3</v>
      </c>
      <c r="M63" s="51">
        <f t="shared" si="4"/>
        <v>2.01840950967213</v>
      </c>
      <c r="N63" s="94">
        <f t="shared" si="8"/>
        <v>1445879429.4842374</v>
      </c>
      <c r="O63" s="56">
        <f t="shared" si="9"/>
        <v>106.32309029926715</v>
      </c>
      <c r="P63" s="57">
        <f t="shared" si="5"/>
        <v>104.33007261877462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9.1496854563952645</v>
      </c>
      <c r="K64" s="51">
        <f t="shared" si="2"/>
        <v>2.0279712602813529</v>
      </c>
      <c r="L64" s="55">
        <f t="shared" si="3"/>
        <v>8.099977144192189E-3</v>
      </c>
      <c r="M64" s="51">
        <f t="shared" si="4"/>
        <v>2.0198712831371606</v>
      </c>
      <c r="N64" s="94">
        <f t="shared" si="8"/>
        <v>1411514865.7455156</v>
      </c>
      <c r="O64" s="56">
        <f t="shared" si="9"/>
        <v>106.65255408764415</v>
      </c>
      <c r="P64" s="57">
        <f t="shared" si="5"/>
        <v>104.68182444765459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9.1389813416875487</v>
      </c>
      <c r="K65" s="51">
        <f t="shared" si="2"/>
        <v>2.0293480488345477</v>
      </c>
      <c r="L65" s="55">
        <f t="shared" si="3"/>
        <v>7.9795932249339379E-3</v>
      </c>
      <c r="M65" s="51">
        <f t="shared" si="4"/>
        <v>2.0213684556096139</v>
      </c>
      <c r="N65" s="94">
        <f t="shared" si="8"/>
        <v>1377150302.0068021</v>
      </c>
      <c r="O65" s="56">
        <f t="shared" si="9"/>
        <v>106.99119760916082</v>
      </c>
      <c r="P65" s="57">
        <f t="shared" si="5"/>
        <v>105.04332386908055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9.1280067199572894</v>
      </c>
      <c r="K66" s="51">
        <f t="shared" ref="K66:K129" si="11">+$I$14+$I$13*J66</f>
        <v>2.0307596306408389</v>
      </c>
      <c r="L66" s="55">
        <f t="shared" ref="L66:L129" si="12">SQRT(2*$I$20*$I$17)*SQRT((1/$I$2)+((J66-$I$11)^2/$I$8))</f>
        <v>7.8568609632953135E-3</v>
      </c>
      <c r="M66" s="51">
        <f t="shared" ref="M66:M102" si="13">+$I$14+$I$13*J66-L66</f>
        <v>2.0229027696775437</v>
      </c>
      <c r="N66" s="94">
        <f t="shared" si="8"/>
        <v>1342785738.2680745</v>
      </c>
      <c r="O66" s="56">
        <f t="shared" si="9"/>
        <v>107.33951549184169</v>
      </c>
      <c r="P66" s="57">
        <f t="shared" ref="P66:P102" si="14">10^M66</f>
        <v>105.41508655248902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9.1167475638134174</v>
      </c>
      <c r="K67" s="51">
        <f t="shared" si="11"/>
        <v>2.0322078099364465</v>
      </c>
      <c r="L67" s="55">
        <f t="shared" si="12"/>
        <v>7.7317115915146633E-3</v>
      </c>
      <c r="M67" s="51">
        <f t="shared" si="13"/>
        <v>2.0244760983449317</v>
      </c>
      <c r="N67" s="94">
        <f t="shared" ref="N67:N101" si="15">10^$J67</f>
        <v>1308421174.5293522</v>
      </c>
      <c r="O67" s="56">
        <f t="shared" ref="O67:O102" si="16">10^K67</f>
        <v>107.69804255557622</v>
      </c>
      <c r="P67" s="57">
        <f t="shared" si="14"/>
        <v>105.79766880177809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9.1051887256506365</v>
      </c>
      <c r="K68" s="51">
        <f t="shared" si="11"/>
        <v>2.0336945350421929</v>
      </c>
      <c r="L68" s="55">
        <f t="shared" si="12"/>
        <v>7.6040768692134915E-3</v>
      </c>
      <c r="M68" s="51">
        <f t="shared" si="13"/>
        <v>2.0260904581729795</v>
      </c>
      <c r="N68" s="94">
        <f t="shared" si="15"/>
        <v>1274056610.7906289</v>
      </c>
      <c r="O68" s="56">
        <f t="shared" si="16"/>
        <v>108.06735823698963</v>
      </c>
      <c r="P68" s="57">
        <f t="shared" si="14"/>
        <v>106.1916718293176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9.0933138151007977</v>
      </c>
      <c r="K69" s="51">
        <f t="shared" si="11"/>
        <v>2.0352219141259997</v>
      </c>
      <c r="L69" s="55">
        <f t="shared" si="12"/>
        <v>7.473890041362197E-3</v>
      </c>
      <c r="M69" s="51">
        <f t="shared" si="13"/>
        <v>2.0277480240846377</v>
      </c>
      <c r="N69" s="94">
        <f t="shared" si="15"/>
        <v>1239692047.0519085</v>
      </c>
      <c r="O69" s="56">
        <f t="shared" si="16"/>
        <v>108.44809163607125</v>
      </c>
      <c r="P69" s="57">
        <f t="shared" si="14"/>
        <v>106.59774659295132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9.0811050592537672</v>
      </c>
      <c r="K70" s="51">
        <f t="shared" si="11"/>
        <v>2.0367922331816084</v>
      </c>
      <c r="L70" s="55">
        <f t="shared" si="12"/>
        <v>7.3410870969967019E-3</v>
      </c>
      <c r="M70" s="51">
        <f t="shared" si="13"/>
        <v>2.0294511460846119</v>
      </c>
      <c r="N70" s="94">
        <f t="shared" si="15"/>
        <v>1205327483.3131876</v>
      </c>
      <c r="O70" s="56">
        <f t="shared" si="16"/>
        <v>108.84092729190519</v>
      </c>
      <c r="P70" s="57">
        <f t="shared" si="14"/>
        <v>107.01659928494519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9.068543142656333</v>
      </c>
      <c r="K71" s="51">
        <f t="shared" si="11"/>
        <v>2.0384079766082994</v>
      </c>
      <c r="L71" s="55">
        <f t="shared" si="12"/>
        <v>7.2056084169905511E-3</v>
      </c>
      <c r="M71" s="51">
        <f t="shared" si="13"/>
        <v>2.0312023681913089</v>
      </c>
      <c r="N71" s="94">
        <f t="shared" si="15"/>
        <v>1170962919.5744667</v>
      </c>
      <c r="O71" s="56">
        <f t="shared" si="16"/>
        <v>109.24661181703797</v>
      </c>
      <c r="P71" s="57">
        <f t="shared" si="14"/>
        <v>107.44899757815938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9.055607023473641</v>
      </c>
      <c r="K72" s="51">
        <f t="shared" si="11"/>
        <v>2.040071850856644</v>
      </c>
      <c r="L72" s="55">
        <f t="shared" si="12"/>
        <v>7.0674009264926965E-3</v>
      </c>
      <c r="M72" s="51">
        <f t="shared" si="13"/>
        <v>2.0330044499301514</v>
      </c>
      <c r="N72" s="94">
        <f t="shared" si="15"/>
        <v>1136598355.8357441</v>
      </c>
      <c r="O72" s="56">
        <f t="shared" si="16"/>
        <v>109.66596154758155</v>
      </c>
      <c r="P72" s="57">
        <f t="shared" si="14"/>
        <v>107.89577775444799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9.0422737214202655</v>
      </c>
      <c r="K73" s="51">
        <f t="shared" si="11"/>
        <v>2.041786811705312</v>
      </c>
      <c r="L73" s="55">
        <f t="shared" si="12"/>
        <v>6.9264209040287667E-3</v>
      </c>
      <c r="M73" s="51">
        <f t="shared" si="13"/>
        <v>2.034860390801283</v>
      </c>
      <c r="N73" s="94">
        <f t="shared" si="15"/>
        <v>1102233792.0970244</v>
      </c>
      <c r="O73" s="56">
        <f t="shared" si="16"/>
        <v>110.09987140061709</v>
      </c>
      <c r="P73" s="57">
        <f t="shared" si="14"/>
        <v>108.35785286420793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9.0285180720935596</v>
      </c>
      <c r="K74" s="51">
        <f t="shared" si="11"/>
        <v>2.0435560958592944</v>
      </c>
      <c r="L74" s="55">
        <f t="shared" si="12"/>
        <v>6.7826376479637645E-3</v>
      </c>
      <c r="M74" s="51">
        <f t="shared" si="13"/>
        <v>2.0367734582113308</v>
      </c>
      <c r="N74" s="94">
        <f t="shared" si="15"/>
        <v>1067869228.3582994</v>
      </c>
      <c r="O74" s="56">
        <f t="shared" si="16"/>
        <v>110.54932517382467</v>
      </c>
      <c r="P74" s="57">
        <f t="shared" si="14"/>
        <v>108.83622209510963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9.0143124411122866</v>
      </c>
      <c r="K75" s="51">
        <f t="shared" si="11"/>
        <v>2.0453832577180733</v>
      </c>
      <c r="L75" s="55">
        <f t="shared" si="12"/>
        <v>6.6360382664679626E-3</v>
      </c>
      <c r="M75" s="51">
        <f t="shared" si="13"/>
        <v>2.0387472194516052</v>
      </c>
      <c r="N75" s="94">
        <f t="shared" si="15"/>
        <v>1033504664.6195766</v>
      </c>
      <c r="O75" s="56">
        <f t="shared" si="16"/>
        <v>111.01540757718878</v>
      </c>
      <c r="P75" s="57">
        <f t="shared" si="14"/>
        <v>109.33198156363125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8.9996263899010334</v>
      </c>
      <c r="K76" s="51">
        <f t="shared" si="11"/>
        <v>2.0472722123632168</v>
      </c>
      <c r="L76" s="55">
        <f t="shared" si="12"/>
        <v>6.4866339453948938E-3</v>
      </c>
      <c r="M76" s="51">
        <f t="shared" si="13"/>
        <v>2.0407855784178217</v>
      </c>
      <c r="N76" s="94">
        <f t="shared" si="15"/>
        <v>999140100.88085806</v>
      </c>
      <c r="O76" s="56">
        <f t="shared" si="16"/>
        <v>111.49931835668018</v>
      </c>
      <c r="P76" s="57">
        <f t="shared" si="14"/>
        <v>109.84633678673968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8.9844262829605928</v>
      </c>
      <c r="K77" s="51">
        <f t="shared" si="11"/>
        <v>2.049227286072195</v>
      </c>
      <c r="L77" s="55">
        <f t="shared" si="12"/>
        <v>6.3344681678878792E-3</v>
      </c>
      <c r="M77" s="51">
        <f t="shared" si="13"/>
        <v>2.0428928179043071</v>
      </c>
      <c r="N77" s="94">
        <f t="shared" si="15"/>
        <v>964775537.14213336</v>
      </c>
      <c r="O77" s="56">
        <f t="shared" si="16"/>
        <v>112.00238895987323</v>
      </c>
      <c r="P77" s="57">
        <f t="shared" si="14"/>
        <v>110.38061714510278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8.9686748238833811</v>
      </c>
      <c r="K78" s="51">
        <f t="shared" si="11"/>
        <v>2.0512532759971718</v>
      </c>
      <c r="L78" s="55">
        <f t="shared" si="12"/>
        <v>6.179627521389083E-3</v>
      </c>
      <c r="M78" s="51">
        <f t="shared" si="13"/>
        <v>2.0450736484757828</v>
      </c>
      <c r="N78" s="94">
        <f t="shared" si="15"/>
        <v>930410973.40341306</v>
      </c>
      <c r="O78" s="56">
        <f t="shared" si="16"/>
        <v>112.52610231012177</v>
      </c>
      <c r="P78" s="57">
        <f t="shared" si="14"/>
        <v>110.93629271652841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8.9523305040140322</v>
      </c>
      <c r="K79" s="51">
        <f t="shared" si="11"/>
        <v>2.0533555210795846</v>
      </c>
      <c r="L79" s="55">
        <f t="shared" si="12"/>
        <v>6.0222559472329793E-3</v>
      </c>
      <c r="M79" s="51">
        <f t="shared" si="13"/>
        <v>2.0473332651323517</v>
      </c>
      <c r="N79" s="94">
        <f t="shared" si="15"/>
        <v>896046409.66469169</v>
      </c>
      <c r="O79" s="56">
        <f t="shared" si="16"/>
        <v>113.0721164084047</v>
      </c>
      <c r="P79" s="57">
        <f t="shared" si="14"/>
        <v>111.51499394302481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8.9353469432447152</v>
      </c>
      <c r="K80" s="51">
        <f t="shared" si="11"/>
        <v>2.0555399868386104</v>
      </c>
      <c r="L80" s="55">
        <f t="shared" si="12"/>
        <v>5.8625735851843604E-3</v>
      </c>
      <c r="M80" s="51">
        <f t="shared" si="13"/>
        <v>2.0496774132534261</v>
      </c>
      <c r="N80" s="94">
        <f t="shared" si="15"/>
        <v>861681845.92596829</v>
      </c>
      <c r="O80" s="56">
        <f t="shared" si="16"/>
        <v>113.6422926830551</v>
      </c>
      <c r="P80" s="57">
        <f t="shared" si="14"/>
        <v>112.11853470290694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8.9176720965867275</v>
      </c>
      <c r="K81" s="51">
        <f t="shared" si="11"/>
        <v>2.0578133674238028</v>
      </c>
      <c r="L81" s="55">
        <f t="shared" si="12"/>
        <v>5.700901765566228E-3</v>
      </c>
      <c r="M81" s="51">
        <f t="shared" si="13"/>
        <v>2.0521124656582366</v>
      </c>
      <c r="N81" s="94">
        <f t="shared" si="15"/>
        <v>827317282.18724895</v>
      </c>
      <c r="O81" s="56">
        <f t="shared" si="16"/>
        <v>114.23873027545535</v>
      </c>
      <c r="P81" s="57">
        <f t="shared" si="14"/>
        <v>112.74893949981119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8.899247292325061</v>
      </c>
      <c r="K82" s="51">
        <f t="shared" si="11"/>
        <v>2.0601832093299288</v>
      </c>
      <c r="L82" s="55">
        <f t="shared" si="12"/>
        <v>5.5376962352880494E-3</v>
      </c>
      <c r="M82" s="51">
        <f t="shared" si="13"/>
        <v>2.0546455130946408</v>
      </c>
      <c r="N82" s="94">
        <f t="shared" si="15"/>
        <v>792952718.4485234</v>
      </c>
      <c r="O82" s="56">
        <f t="shared" si="16"/>
        <v>114.86380781035909</v>
      </c>
      <c r="P82" s="57">
        <f t="shared" si="14"/>
        <v>113.40847566774796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8.8800060569479307</v>
      </c>
      <c r="K83" s="51">
        <f t="shared" si="11"/>
        <v>2.0626580625373094</v>
      </c>
      <c r="L83" s="55">
        <f t="shared" si="12"/>
        <v>5.3735914025601177E-3</v>
      </c>
      <c r="M83" s="51">
        <f t="shared" si="13"/>
        <v>2.0572844711347491</v>
      </c>
      <c r="N83" s="94">
        <f t="shared" si="15"/>
        <v>758588154.70980608</v>
      </c>
      <c r="O83" s="56">
        <f t="shared" si="16"/>
        <v>115.52023469042464</v>
      </c>
      <c r="P83" s="57">
        <f t="shared" si="14"/>
        <v>114.09969174956593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8.8598726674869202</v>
      </c>
      <c r="K84" s="51">
        <f t="shared" si="11"/>
        <v>2.0652476667132591</v>
      </c>
      <c r="L84" s="55">
        <f t="shared" si="12"/>
        <v>5.2094592702007147E-3</v>
      </c>
      <c r="M84" s="51">
        <f t="shared" si="13"/>
        <v>2.0600382074430583</v>
      </c>
      <c r="N84" s="94">
        <f t="shared" si="15"/>
        <v>724223590.97108138</v>
      </c>
      <c r="O84" s="56">
        <f t="shared" si="16"/>
        <v>116.21111463122506</v>
      </c>
      <c r="P84" s="57">
        <f t="shared" si="14"/>
        <v>114.82546357755903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8.838760351679003</v>
      </c>
      <c r="K85" s="51">
        <f t="shared" si="11"/>
        <v>2.0679631827114973</v>
      </c>
      <c r="L85" s="55">
        <f t="shared" si="12"/>
        <v>5.0464877859319858E-3</v>
      </c>
      <c r="M85" s="51">
        <f t="shared" si="13"/>
        <v>2.0629166949255651</v>
      </c>
      <c r="N85" s="94">
        <f t="shared" si="15"/>
        <v>689859027.23235881</v>
      </c>
      <c r="O85" s="56">
        <f t="shared" si="16"/>
        <v>116.9400250981907</v>
      </c>
      <c r="P85" s="57">
        <f t="shared" si="14"/>
        <v>115.58905014515558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8.8165690278578079</v>
      </c>
      <c r="K86" s="51">
        <f t="shared" si="11"/>
        <v>2.0708174832726867</v>
      </c>
      <c r="L86" s="55">
        <f t="shared" si="12"/>
        <v>4.8862844673433032E-3</v>
      </c>
      <c r="M86" s="51">
        <f t="shared" si="13"/>
        <v>2.0659311988053433</v>
      </c>
      <c r="N86" s="94">
        <f t="shared" si="15"/>
        <v>655494463.4936378</v>
      </c>
      <c r="O86" s="56">
        <f t="shared" si="16"/>
        <v>117.71111764654148</v>
      </c>
      <c r="P86" s="57">
        <f t="shared" si="14"/>
        <v>116.39416224677028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8.7931824356793342</v>
      </c>
      <c r="K87" s="51">
        <f t="shared" si="11"/>
        <v>2.0738255220772741</v>
      </c>
      <c r="L87" s="55">
        <f t="shared" si="12"/>
        <v>4.7310120629451132E-3</v>
      </c>
      <c r="M87" s="51">
        <f t="shared" si="13"/>
        <v>2.0690945100143292</v>
      </c>
      <c r="N87" s="94">
        <f t="shared" si="15"/>
        <v>621129899.75491393</v>
      </c>
      <c r="O87" s="56">
        <f t="shared" si="16"/>
        <v>118.52924609402957</v>
      </c>
      <c r="P87" s="57">
        <f t="shared" si="14"/>
        <v>117.2450483355444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8.7684644493744504</v>
      </c>
      <c r="K88" s="51">
        <f t="shared" si="11"/>
        <v>2.0770048079436769</v>
      </c>
      <c r="L88" s="55">
        <f t="shared" si="12"/>
        <v>4.5835630192064538E-3</v>
      </c>
      <c r="M88" s="51">
        <f t="shared" si="13"/>
        <v>2.0724212449244703</v>
      </c>
      <c r="N88" s="94">
        <f t="shared" si="15"/>
        <v>586765336.01619339</v>
      </c>
      <c r="O88" s="56">
        <f t="shared" si="16"/>
        <v>119.40013228208798</v>
      </c>
      <c r="P88" s="57">
        <f t="shared" si="14"/>
        <v>118.14660457544143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8.7422542770673637</v>
      </c>
      <c r="K89" s="51">
        <f t="shared" si="11"/>
        <v>2.0803760223032963</v>
      </c>
      <c r="L89" s="55">
        <f t="shared" si="12"/>
        <v>4.4477773393543389E-3</v>
      </c>
      <c r="M89" s="51">
        <f t="shared" si="13"/>
        <v>2.0759282449639418</v>
      </c>
      <c r="N89" s="94">
        <f t="shared" si="15"/>
        <v>552400772.2774713</v>
      </c>
      <c r="O89" s="56">
        <f t="shared" si="16"/>
        <v>120.33058340069213</v>
      </c>
      <c r="P89" s="57">
        <f t="shared" si="14"/>
        <v>119.10452048079098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8.714360116152573</v>
      </c>
      <c r="K90" s="51">
        <f t="shared" si="11"/>
        <v>2.083963835260942</v>
      </c>
      <c r="L90" s="55">
        <f t="shared" si="12"/>
        <v>4.3287019081446375E-3</v>
      </c>
      <c r="M90" s="51">
        <f t="shared" si="13"/>
        <v>2.0796351333527974</v>
      </c>
      <c r="N90" s="94">
        <f t="shared" si="15"/>
        <v>518036208.53875023</v>
      </c>
      <c r="O90" s="56">
        <f t="shared" si="16"/>
        <v>121.32878128834352</v>
      </c>
      <c r="P90" s="57">
        <f t="shared" si="14"/>
        <v>120.12547925578582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8.6845506276658124</v>
      </c>
      <c r="K91" s="51">
        <f t="shared" si="11"/>
        <v>2.0877980021814055</v>
      </c>
      <c r="L91" s="55">
        <f t="shared" si="12"/>
        <v>4.2328758336477919E-3</v>
      </c>
      <c r="M91" s="51">
        <f t="shared" si="13"/>
        <v>2.0835651263477577</v>
      </c>
      <c r="N91" s="94">
        <f t="shared" si="15"/>
        <v>483671644.80002958</v>
      </c>
      <c r="O91" s="56">
        <f t="shared" si="16"/>
        <v>122.40467416916282</v>
      </c>
      <c r="P91" s="57">
        <f t="shared" si="14"/>
        <v>121.21744515631782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8.6525432631103136</v>
      </c>
      <c r="K92" s="51">
        <f t="shared" si="11"/>
        <v>2.0919148651206818</v>
      </c>
      <c r="L92" s="55">
        <f t="shared" si="12"/>
        <v>4.1686044803706515E-3</v>
      </c>
      <c r="M92" s="51">
        <f t="shared" si="13"/>
        <v>2.0877462606403112</v>
      </c>
      <c r="N92" s="94">
        <f t="shared" si="15"/>
        <v>449307081.06130582</v>
      </c>
      <c r="O92" s="56">
        <f t="shared" si="16"/>
        <v>123.57051740392583</v>
      </c>
      <c r="P92" s="57">
        <f t="shared" si="14"/>
        <v>122.39009183049927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8.617987937341713</v>
      </c>
      <c r="K93" s="51">
        <f t="shared" si="11"/>
        <v>2.0963594528581284</v>
      </c>
      <c r="L93" s="55">
        <f t="shared" si="12"/>
        <v>4.1461597911428517E-3</v>
      </c>
      <c r="M93" s="51">
        <f t="shared" si="13"/>
        <v>2.0922132930669854</v>
      </c>
      <c r="N93" s="94">
        <f t="shared" si="15"/>
        <v>414942517.32258517</v>
      </c>
      <c r="O93" s="56">
        <f t="shared" si="16"/>
        <v>124.8416364516094</v>
      </c>
      <c r="P93" s="57">
        <f t="shared" si="14"/>
        <v>123.6554587749485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8.5804436265306308</v>
      </c>
      <c r="K94" s="51">
        <f t="shared" si="11"/>
        <v>2.1011884909218779</v>
      </c>
      <c r="L94" s="55">
        <f t="shared" si="12"/>
        <v>4.1778363434121528E-3</v>
      </c>
      <c r="M94" s="51">
        <f t="shared" si="13"/>
        <v>2.0970106545784657</v>
      </c>
      <c r="N94" s="94">
        <f t="shared" si="15"/>
        <v>380577953.58386189</v>
      </c>
      <c r="O94" s="56">
        <f t="shared" si="16"/>
        <v>126.23753072806635</v>
      </c>
      <c r="P94" s="57">
        <f t="shared" si="14"/>
        <v>125.02897032907131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8.5393438602563183</v>
      </c>
      <c r="K95" s="51">
        <f t="shared" si="11"/>
        <v>2.1064748400773738</v>
      </c>
      <c r="L95" s="55">
        <f t="shared" si="12"/>
        <v>4.2778408680878921E-3</v>
      </c>
      <c r="M95" s="51">
        <f t="shared" si="13"/>
        <v>2.1021969992092862</v>
      </c>
      <c r="N95" s="94">
        <f t="shared" si="15"/>
        <v>346213389.84514058</v>
      </c>
      <c r="O95" s="56">
        <f t="shared" si="16"/>
        <v>127.7835178771834</v>
      </c>
      <c r="P95" s="57">
        <f t="shared" si="14"/>
        <v>126.53101714269036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8.4939441135740523</v>
      </c>
      <c r="K96" s="51">
        <f t="shared" si="11"/>
        <v>2.1123142628841052</v>
      </c>
      <c r="L96" s="55">
        <f t="shared" si="12"/>
        <v>4.4621387737198018E-3</v>
      </c>
      <c r="M96" s="51">
        <f t="shared" si="13"/>
        <v>2.1078521241103854</v>
      </c>
      <c r="N96" s="94">
        <f t="shared" si="15"/>
        <v>311848826.10641807</v>
      </c>
      <c r="O96" s="56">
        <f t="shared" si="16"/>
        <v>129.51326825200888</v>
      </c>
      <c r="P96" s="57">
        <f t="shared" si="14"/>
        <v>128.18940274987096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8.4432383569697489</v>
      </c>
      <c r="K97" s="51">
        <f t="shared" si="11"/>
        <v>2.1188361572378325</v>
      </c>
      <c r="L97" s="55">
        <f t="shared" si="12"/>
        <v>4.74862058375873E-3</v>
      </c>
      <c r="M97" s="51">
        <f t="shared" si="13"/>
        <v>2.1140875366540737</v>
      </c>
      <c r="N97" s="94">
        <f t="shared" si="15"/>
        <v>277484262.36769646</v>
      </c>
      <c r="O97" s="56">
        <f t="shared" si="16"/>
        <v>131.47287415547342</v>
      </c>
      <c r="P97" s="57">
        <f t="shared" si="14"/>
        <v>130.04316673992858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8.385820148721054</v>
      </c>
      <c r="K98" s="51">
        <f t="shared" si="11"/>
        <v>2.1262214229996794</v>
      </c>
      <c r="L98" s="55">
        <f t="shared" si="12"/>
        <v>5.158216455290421E-3</v>
      </c>
      <c r="M98" s="51">
        <f t="shared" si="13"/>
        <v>2.1210632065443891</v>
      </c>
      <c r="N98" s="94">
        <f t="shared" si="15"/>
        <v>243119698.62897554</v>
      </c>
      <c r="O98" s="56">
        <f t="shared" si="16"/>
        <v>133.72771472346292</v>
      </c>
      <c r="P98" s="57">
        <f t="shared" si="14"/>
        <v>132.14879474952085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8.319637166920069</v>
      </c>
      <c r="K99" s="51">
        <f t="shared" si="11"/>
        <v>2.1347340346679973</v>
      </c>
      <c r="L99" s="55">
        <f t="shared" si="12"/>
        <v>5.7178654652136809E-3</v>
      </c>
      <c r="M99" s="51">
        <f t="shared" si="13"/>
        <v>2.1290161692027838</v>
      </c>
      <c r="N99" s="94">
        <f t="shared" si="15"/>
        <v>208755134.89025301</v>
      </c>
      <c r="O99" s="56">
        <f t="shared" si="16"/>
        <v>136.37477110570967</v>
      </c>
      <c r="P99" s="57">
        <f t="shared" si="14"/>
        <v>134.59104626688736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8.2415230000486179</v>
      </c>
      <c r="K100" s="51">
        <f t="shared" si="11"/>
        <v>2.1447812635820771</v>
      </c>
      <c r="L100" s="55">
        <f t="shared" si="12"/>
        <v>6.4668640088903035E-3</v>
      </c>
      <c r="M100" s="51">
        <f t="shared" si="13"/>
        <v>2.1383143995731868</v>
      </c>
      <c r="N100" s="94">
        <f t="shared" si="15"/>
        <v>174390571.15153131</v>
      </c>
      <c r="O100" s="56">
        <f t="shared" si="16"/>
        <v>139.56652443435425</v>
      </c>
      <c r="P100" s="57">
        <f t="shared" si="14"/>
        <v>137.50370477911198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8.1462087058703254</v>
      </c>
      <c r="K101" s="51">
        <f t="shared" si="11"/>
        <v>2.1570408135555046</v>
      </c>
      <c r="L101" s="55">
        <f t="shared" si="12"/>
        <v>7.4702476700937272E-3</v>
      </c>
      <c r="M101" s="51">
        <f t="shared" si="13"/>
        <v>2.1495705658854107</v>
      </c>
      <c r="N101" s="94">
        <f t="shared" si="15"/>
        <v>140026007.41280854</v>
      </c>
      <c r="O101" s="56">
        <f t="shared" si="16"/>
        <v>143.56243422302794</v>
      </c>
      <c r="P101" s="57">
        <f t="shared" si="14"/>
        <v>141.11415056853735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8.0239165402464945</v>
      </c>
      <c r="K102" s="51">
        <f t="shared" si="11"/>
        <v>2.1727703211676532</v>
      </c>
      <c r="L102" s="55">
        <f t="shared" si="12"/>
        <v>8.8505662311855679E-3</v>
      </c>
      <c r="M102" s="51">
        <f t="shared" si="13"/>
        <v>2.1639197549364675</v>
      </c>
      <c r="N102" s="94">
        <f>10^$J102</f>
        <v>105661443.67408726</v>
      </c>
      <c r="O102" s="56">
        <f t="shared" si="16"/>
        <v>148.85736298167001</v>
      </c>
      <c r="P102" s="57">
        <f t="shared" si="14"/>
        <v>145.85447384793198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9.5492630025511875</v>
      </c>
      <c r="K104" s="51">
        <f t="shared" si="11"/>
        <v>1.9765766511349545</v>
      </c>
      <c r="L104" s="55">
        <f t="shared" si="12"/>
        <v>1.2888668674750949E-2</v>
      </c>
      <c r="M104" s="51">
        <f>+$I$14+$I$13*J104+L104</f>
        <v>1.9894653198097054</v>
      </c>
      <c r="N104" s="94">
        <f t="shared" ref="N104:N167" si="17">10^$J104</f>
        <v>3542117817.5462699</v>
      </c>
      <c r="O104" s="56">
        <f t="shared" ref="O104:O167" si="18">10^K104</f>
        <v>94.749439849216373</v>
      </c>
      <c r="P104" s="57">
        <f t="shared" ref="P104:P167" si="19">10^M104</f>
        <v>97.603483894511541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9.5450290361538883</v>
      </c>
      <c r="K105" s="51">
        <f t="shared" si="11"/>
        <v>1.9771212339079898</v>
      </c>
      <c r="L105" s="55">
        <f t="shared" si="12"/>
        <v>1.2836056821324686E-2</v>
      </c>
      <c r="M105" s="51">
        <f t="shared" ref="M105:M168" si="21">+$I$14+$I$13*J105+L105</f>
        <v>1.9899572907293144</v>
      </c>
      <c r="N105" s="94">
        <f t="shared" si="17"/>
        <v>3507753253.8075647</v>
      </c>
      <c r="O105" s="56">
        <f t="shared" si="18"/>
        <v>94.868325258899759</v>
      </c>
      <c r="P105" s="57">
        <f t="shared" si="19"/>
        <v>97.714112248219124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9.5407533858176965</v>
      </c>
      <c r="K106" s="51">
        <f t="shared" si="11"/>
        <v>1.9776711781678444</v>
      </c>
      <c r="L106" s="55">
        <f t="shared" si="12"/>
        <v>1.2782952478215414E-2</v>
      </c>
      <c r="M106" s="51">
        <f t="shared" si="21"/>
        <v>1.9904541306460599</v>
      </c>
      <c r="N106" s="94">
        <f t="shared" si="17"/>
        <v>3473388690.06884</v>
      </c>
      <c r="O106" s="56">
        <f t="shared" si="18"/>
        <v>94.98853249098822</v>
      </c>
      <c r="P106" s="57">
        <f t="shared" si="19"/>
        <v>97.825962741410578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9.5364352226074978</v>
      </c>
      <c r="K107" s="51">
        <f t="shared" si="11"/>
        <v>1.9782265905341136</v>
      </c>
      <c r="L107" s="55">
        <f t="shared" si="12"/>
        <v>1.2729346431571607E-2</v>
      </c>
      <c r="M107" s="51">
        <f t="shared" si="21"/>
        <v>1.9909559369656853</v>
      </c>
      <c r="N107" s="94">
        <f t="shared" si="17"/>
        <v>3439024126.3301115</v>
      </c>
      <c r="O107" s="56">
        <f t="shared" si="18"/>
        <v>95.110089539829147</v>
      </c>
      <c r="P107" s="57">
        <f t="shared" si="19"/>
        <v>97.939061248718431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9.532073692613082</v>
      </c>
      <c r="K108" s="51">
        <f t="shared" si="11"/>
        <v>1.9787875808387485</v>
      </c>
      <c r="L108" s="55">
        <f t="shared" si="12"/>
        <v>1.2675229210418557E-2</v>
      </c>
      <c r="M108" s="51">
        <f t="shared" si="21"/>
        <v>1.9914628100491671</v>
      </c>
      <c r="N108" s="94">
        <f t="shared" si="17"/>
        <v>3404659562.5913954</v>
      </c>
      <c r="O108" s="56">
        <f t="shared" si="18"/>
        <v>95.233025279943163</v>
      </c>
      <c r="P108" s="57">
        <f t="shared" si="19"/>
        <v>98.053434460331829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9.527667915935659</v>
      </c>
      <c r="K109" s="51">
        <f t="shared" si="11"/>
        <v>1.9793542622564129</v>
      </c>
      <c r="L109" s="55">
        <f t="shared" si="12"/>
        <v>1.2620591077200817E-2</v>
      </c>
      <c r="M109" s="51">
        <f t="shared" si="21"/>
        <v>1.9919748533336137</v>
      </c>
      <c r="N109" s="94">
        <f t="shared" si="17"/>
        <v>3370294998.8526707</v>
      </c>
      <c r="O109" s="56">
        <f t="shared" si="18"/>
        <v>95.35736950291323</v>
      </c>
      <c r="P109" s="57">
        <f t="shared" si="19"/>
        <v>98.169109916333127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9.5232169856224296</v>
      </c>
      <c r="K110" s="51">
        <f t="shared" si="11"/>
        <v>1.9799267514415209</v>
      </c>
      <c r="L110" s="55">
        <f t="shared" si="12"/>
        <v>1.2565422017898538E-2</v>
      </c>
      <c r="M110" s="51">
        <f t="shared" si="21"/>
        <v>1.9924921734594194</v>
      </c>
      <c r="N110" s="94">
        <f t="shared" si="17"/>
        <v>3335930435.1139498</v>
      </c>
      <c r="O110" s="56">
        <f t="shared" si="18"/>
        <v>95.483152956215278</v>
      </c>
      <c r="P110" s="57">
        <f t="shared" si="19"/>
        <v>98.286116042851333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9.5187199665459943</v>
      </c>
      <c r="K111" s="51">
        <f t="shared" si="11"/>
        <v>1.9805051686723707</v>
      </c>
      <c r="L111" s="55">
        <f t="shared" si="12"/>
        <v>1.250971173169552E-2</v>
      </c>
      <c r="M111" s="51">
        <f t="shared" si="21"/>
        <v>1.9930148804040662</v>
      </c>
      <c r="N111" s="94">
        <f t="shared" si="17"/>
        <v>3301565871.3752255</v>
      </c>
      <c r="O111" s="56">
        <f t="shared" si="18"/>
        <v>95.610407384111866</v>
      </c>
      <c r="P111" s="57">
        <f t="shared" si="19"/>
        <v>98.404482190150219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9.5141758942251311</v>
      </c>
      <c r="K112" s="51">
        <f t="shared" si="11"/>
        <v>1.9810896380028187</v>
      </c>
      <c r="L112" s="55">
        <f t="shared" si="12"/>
        <v>1.2453449620175463E-2</v>
      </c>
      <c r="M112" s="51">
        <f t="shared" si="21"/>
        <v>1.993543087622994</v>
      </c>
      <c r="N112" s="94">
        <f t="shared" si="17"/>
        <v>3267201307.6364961</v>
      </c>
      <c r="O112" s="56">
        <f t="shared" si="18"/>
        <v>95.739165570742202</v>
      </c>
      <c r="P112" s="57">
        <f t="shared" si="19"/>
        <v>98.524238672774274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9.5095837735832429</v>
      </c>
      <c r="K113" s="51">
        <f t="shared" si="11"/>
        <v>1.9816802874219699</v>
      </c>
      <c r="L113" s="55">
        <f t="shared" si="12"/>
        <v>1.239662477602183E-2</v>
      </c>
      <c r="M113" s="51">
        <f t="shared" si="21"/>
        <v>1.9940769121979918</v>
      </c>
      <c r="N113" s="94">
        <f t="shared" si="17"/>
        <v>3232836743.8977737</v>
      </c>
      <c r="O113" s="56">
        <f t="shared" si="18"/>
        <v>95.8694613855494</v>
      </c>
      <c r="P113" s="57">
        <f t="shared" si="19"/>
        <v>98.645416811888666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9.504942577640433</v>
      </c>
      <c r="K114" s="51">
        <f t="shared" si="11"/>
        <v>1.9822772490224085</v>
      </c>
      <c r="L114" s="55">
        <f t="shared" si="12"/>
        <v>1.2339225971194518E-2</v>
      </c>
      <c r="M114" s="51">
        <f t="shared" si="21"/>
        <v>1.9946164749936031</v>
      </c>
      <c r="N114" s="94">
        <f t="shared" si="17"/>
        <v>3198472180.1590538</v>
      </c>
      <c r="O114" s="56">
        <f t="shared" si="18"/>
        <v>96.001329831201772</v>
      </c>
      <c r="P114" s="57">
        <f t="shared" si="19"/>
        <v>98.768048979958337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9.5002512461349617</v>
      </c>
      <c r="K115" s="51">
        <f t="shared" si="11"/>
        <v>1.9828806591775072</v>
      </c>
      <c r="L115" s="55">
        <f t="shared" si="12"/>
        <v>1.2281241644556285E-2</v>
      </c>
      <c r="M115" s="51">
        <f t="shared" si="21"/>
        <v>1.9951619008220636</v>
      </c>
      <c r="N115" s="94">
        <f t="shared" si="17"/>
        <v>3164107616.4203324</v>
      </c>
      <c r="O115" s="56">
        <f t="shared" si="18"/>
        <v>96.13480709416784</v>
      </c>
      <c r="P115" s="57">
        <f t="shared" si="19"/>
        <v>98.8921686479204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9.4955086840694154</v>
      </c>
      <c r="K116" s="51">
        <f t="shared" si="11"/>
        <v>1.9834906587284233</v>
      </c>
      <c r="L116" s="55">
        <f t="shared" si="12"/>
        <v>1.2222659888919131E-2</v>
      </c>
      <c r="M116" s="51">
        <f t="shared" si="21"/>
        <v>1.9957133186173426</v>
      </c>
      <c r="N116" s="94">
        <f t="shared" si="17"/>
        <v>3129743052.6816144</v>
      </c>
      <c r="O116" s="56">
        <f t="shared" si="18"/>
        <v>96.269930598128369</v>
      </c>
      <c r="P116" s="57">
        <f t="shared" si="19"/>
        <v>99.017810435021275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9.4907137601766181</v>
      </c>
      <c r="K117" s="51">
        <f t="shared" si="11"/>
        <v>1.984107393181417</v>
      </c>
      <c r="L117" s="55">
        <f t="shared" si="12"/>
        <v>1.2163468437479872E-2</v>
      </c>
      <c r="M117" s="51">
        <f t="shared" si="21"/>
        <v>1.9962708616188969</v>
      </c>
      <c r="N117" s="94">
        <f t="shared" si="17"/>
        <v>3095378488.9428968</v>
      </c>
      <c r="O117" s="56">
        <f t="shared" si="18"/>
        <v>96.406739060414097</v>
      </c>
      <c r="P117" s="57">
        <f t="shared" si="19"/>
        <v>99.145010161498774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9.4858653052999067</v>
      </c>
      <c r="K118" s="51">
        <f t="shared" si="11"/>
        <v>1.9847310129161839</v>
      </c>
      <c r="L118" s="55">
        <f t="shared" si="12"/>
        <v>1.210365464961217E-2</v>
      </c>
      <c r="M118" s="51">
        <f t="shared" si="21"/>
        <v>1.9968346675657962</v>
      </c>
      <c r="N118" s="94">
        <f t="shared" si="17"/>
        <v>3061013925.2041717</v>
      </c>
      <c r="O118" s="56">
        <f t="shared" si="18"/>
        <v>96.545272551677115</v>
      </c>
      <c r="P118" s="57">
        <f t="shared" si="19"/>
        <v>99.273804904306616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9.4809621106819666</v>
      </c>
      <c r="K119" s="51">
        <f t="shared" si="11"/>
        <v>1.9853616734059487</v>
      </c>
      <c r="L119" s="55">
        <f t="shared" si="12"/>
        <v>1.2043205495980492E-2</v>
      </c>
      <c r="M119" s="51">
        <f t="shared" si="21"/>
        <v>1.9974048789019292</v>
      </c>
      <c r="N119" s="94">
        <f t="shared" si="17"/>
        <v>3026649361.4654408</v>
      </c>
      <c r="O119" s="56">
        <f t="shared" si="18"/>
        <v>96.685572559020414</v>
      </c>
      <c r="P119" s="57">
        <f t="shared" si="19"/>
        <v>99.404233056092849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9.4760029261559691</v>
      </c>
      <c r="K120" s="51">
        <f t="shared" si="11"/>
        <v>1.9859995354501265</v>
      </c>
      <c r="L120" s="55">
        <f t="shared" si="12"/>
        <v>1.1982107542939636E-2</v>
      </c>
      <c r="M120" s="51">
        <f t="shared" si="21"/>
        <v>1.9979816429930661</v>
      </c>
      <c r="N120" s="94">
        <f t="shared" si="17"/>
        <v>2992284797.7267156</v>
      </c>
      <c r="O120" s="56">
        <f t="shared" si="18"/>
        <v>96.827682052827598</v>
      </c>
      <c r="P120" s="57">
        <f t="shared" si="19"/>
        <v>99.536334387664922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9.4709864582322236</v>
      </c>
      <c r="K121" s="51">
        <f t="shared" si="11"/>
        <v>1.9866447654204205</v>
      </c>
      <c r="L121" s="55">
        <f t="shared" si="12"/>
        <v>1.1920346936181195E-2</v>
      </c>
      <c r="M121" s="51">
        <f t="shared" si="21"/>
        <v>1.9985651123566017</v>
      </c>
      <c r="N121" s="94">
        <f t="shared" si="17"/>
        <v>2957920233.9880018</v>
      </c>
      <c r="O121" s="56">
        <f t="shared" si="18"/>
        <v>96.971645557553856</v>
      </c>
      <c r="P121" s="57">
        <f t="shared" si="19"/>
        <v>99.670150114188132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9.4659113680730371</v>
      </c>
      <c r="K122" s="51">
        <f t="shared" si="11"/>
        <v>1.9872975355213018</v>
      </c>
      <c r="L122" s="55">
        <f t="shared" si="12"/>
        <v>1.1857909383586666E-2</v>
      </c>
      <c r="M122" s="51">
        <f t="shared" si="21"/>
        <v>1.9991554449048885</v>
      </c>
      <c r="N122" s="94">
        <f t="shared" si="17"/>
        <v>2923555670.2492785</v>
      </c>
      <c r="O122" s="56">
        <f t="shared" si="18"/>
        <v>97.117509226763872</v>
      </c>
      <c r="P122" s="57">
        <f t="shared" si="19"/>
        <v>99.805722965389677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9.4607762693478357</v>
      </c>
      <c r="K123" s="51">
        <f t="shared" si="11"/>
        <v>1.9879580240658881</v>
      </c>
      <c r="L123" s="55">
        <f t="shared" si="12"/>
        <v>1.1794780137244429E-2</v>
      </c>
      <c r="M123" s="51">
        <f t="shared" si="21"/>
        <v>1.9997528042031325</v>
      </c>
      <c r="N123" s="94">
        <f t="shared" si="17"/>
        <v>2889191106.5105586</v>
      </c>
      <c r="O123" s="56">
        <f t="shared" si="18"/>
        <v>97.265320922723475</v>
      </c>
      <c r="P123" s="57">
        <f t="shared" si="19"/>
        <v>99.943097260061464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9.4555797259599625</v>
      </c>
      <c r="K124" s="51">
        <f t="shared" si="11"/>
        <v>1.9886264157683284</v>
      </c>
      <c r="L124" s="55">
        <f t="shared" si="12"/>
        <v>1.1730943974585769E-2</v>
      </c>
      <c r="M124" s="51">
        <f t="shared" si="21"/>
        <v>2.0003573597429143</v>
      </c>
      <c r="N124" s="94">
        <f t="shared" si="17"/>
        <v>2854826542.7718415</v>
      </c>
      <c r="O124" s="56">
        <f t="shared" si="18"/>
        <v>97.415130300879454</v>
      </c>
      <c r="P124" s="57">
        <f t="shared" si="19"/>
        <v>100.08231898518093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9.4503202496358103</v>
      </c>
      <c r="K125" s="51">
        <f t="shared" si="11"/>
        <v>1.9893029020538942</v>
      </c>
      <c r="L125" s="55">
        <f t="shared" si="12"/>
        <v>1.1666385178592566E-2</v>
      </c>
      <c r="M125" s="51">
        <f t="shared" si="21"/>
        <v>2.0009692872324867</v>
      </c>
      <c r="N125" s="94">
        <f t="shared" si="17"/>
        <v>2820461979.0331235</v>
      </c>
      <c r="O125" s="56">
        <f t="shared" si="18"/>
        <v>97.566988899590783</v>
      </c>
      <c r="P125" s="57">
        <f t="shared" si="19"/>
        <v>100.22343587999566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9.444996297366183</v>
      </c>
      <c r="K126" s="51">
        <f t="shared" si="11"/>
        <v>1.9899876813880784</v>
      </c>
      <c r="L126" s="55">
        <f t="shared" si="12"/>
        <v>1.16010875170274E-2</v>
      </c>
      <c r="M126" s="51">
        <f t="shared" si="21"/>
        <v>2.0015887689051057</v>
      </c>
      <c r="N126" s="94">
        <f t="shared" si="17"/>
        <v>2786097415.2943945</v>
      </c>
      <c r="O126" s="56">
        <f t="shared" si="18"/>
        <v>97.720950235506024</v>
      </c>
      <c r="P126" s="57">
        <f t="shared" si="19"/>
        <v>100.36649752545217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9.4396062686888662</v>
      </c>
      <c r="K127" s="51">
        <f t="shared" si="11"/>
        <v>1.9906809596261164</v>
      </c>
      <c r="L127" s="55">
        <f t="shared" si="12"/>
        <v>1.153503422063392E-2</v>
      </c>
      <c r="M127" s="51">
        <f t="shared" si="21"/>
        <v>2.0022159938467503</v>
      </c>
      <c r="N127" s="94">
        <f t="shared" si="17"/>
        <v>2751732851.5556779</v>
      </c>
      <c r="O127" s="56">
        <f t="shared" si="18"/>
        <v>97.877069905017038</v>
      </c>
      <c r="P127" s="57">
        <f t="shared" si="19"/>
        <v>100.51155543937726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9.4341485028004382</v>
      </c>
      <c r="K128" s="51">
        <f t="shared" si="11"/>
        <v>1.9913829503844731</v>
      </c>
      <c r="L128" s="55">
        <f t="shared" si="12"/>
        <v>1.146820796025327E-2</v>
      </c>
      <c r="M128" s="51">
        <f t="shared" si="21"/>
        <v>2.0028511583447264</v>
      </c>
      <c r="N128" s="94">
        <f t="shared" si="17"/>
        <v>2717368287.8169565</v>
      </c>
      <c r="O128" s="56">
        <f t="shared" si="18"/>
        <v>98.035405692257129</v>
      </c>
      <c r="P128" s="57">
        <f t="shared" si="19"/>
        <v>100.65866317786387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9.4286212754842769</v>
      </c>
      <c r="K129" s="51">
        <f t="shared" si="11"/>
        <v>1.9920938754359687</v>
      </c>
      <c r="L129" s="55">
        <f t="shared" si="12"/>
        <v>1.1400590822799827E-2</v>
      </c>
      <c r="M129" s="51">
        <f t="shared" si="21"/>
        <v>2.0034944662587684</v>
      </c>
      <c r="N129" s="94">
        <f t="shared" si="17"/>
        <v>2683003724.0782328</v>
      </c>
      <c r="O129" s="56">
        <f t="shared" si="18"/>
        <v>98.196017684154057</v>
      </c>
      <c r="P129" s="57">
        <f t="shared" si="19"/>
        <v>100.80787644335032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9.4230227958405575</v>
      </c>
      <c r="K130" s="51">
        <f t="shared" ref="K130:K193" si="22">+$I$14+$I$13*J130</f>
        <v>1.9928139651303751</v>
      </c>
      <c r="L130" s="55">
        <f t="shared" ref="L130:L193" si="23">SQRT(2*$I$20*$I$17)*SQRT((1/$I$2)+((J130-$I$11)^2/$I$8))</f>
        <v>1.1332164286037382E-2</v>
      </c>
      <c r="M130" s="51">
        <f t="shared" si="21"/>
        <v>2.0041461294164127</v>
      </c>
      <c r="N130" s="94">
        <f t="shared" si="17"/>
        <v>2648639160.3395114</v>
      </c>
      <c r="O130" s="56">
        <f t="shared" si="18"/>
        <v>98.358968393097044</v>
      </c>
      <c r="P130" s="57">
        <f t="shared" si="19"/>
        <v>100.95925319993027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9.417351202802708</v>
      </c>
      <c r="K131" s="51">
        <f t="shared" si="22"/>
        <v>1.9935434588424765</v>
      </c>
      <c r="L131" s="55">
        <f t="shared" si="23"/>
        <v>1.1262909192094373E-2</v>
      </c>
      <c r="M131" s="51">
        <f t="shared" si="21"/>
        <v>2.0048063680345707</v>
      </c>
      <c r="N131" s="94">
        <f t="shared" si="17"/>
        <v>2614274596.6007829</v>
      </c>
      <c r="O131" s="56">
        <f t="shared" si="18"/>
        <v>98.524322887826628</v>
      </c>
      <c r="P131" s="57">
        <f t="shared" si="19"/>
        <v>101.11285379647856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9.4116045614233776</v>
      </c>
      <c r="K132" s="51">
        <f t="shared" si="22"/>
        <v>1.9942826054497786</v>
      </c>
      <c r="L132" s="55">
        <f t="shared" si="23"/>
        <v>1.1192805719654973E-2</v>
      </c>
      <c r="M132" s="51">
        <f t="shared" si="21"/>
        <v>2.0054754111694337</v>
      </c>
      <c r="N132" s="94">
        <f t="shared" si="17"/>
        <v>2579910032.8620672</v>
      </c>
      <c r="O132" s="56">
        <f t="shared" si="18"/>
        <v>98.692148933214696</v>
      </c>
      <c r="P132" s="57">
        <f t="shared" si="19"/>
        <v>101.26874109824119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9.4057808589113652</v>
      </c>
      <c r="K133" s="51">
        <f t="shared" si="22"/>
        <v>1.9950316638422463</v>
      </c>
      <c r="L133" s="55">
        <f t="shared" si="23"/>
        <v>1.1121833354760878E-2</v>
      </c>
      <c r="M133" s="51">
        <f t="shared" si="21"/>
        <v>2.006153497197007</v>
      </c>
      <c r="N133" s="94">
        <f t="shared" si="17"/>
        <v>2545545469.1233487</v>
      </c>
      <c r="O133" s="56">
        <f t="shared" si="18"/>
        <v>98.86251713966746</v>
      </c>
      <c r="P133" s="57">
        <f t="shared" si="19"/>
        <v>101.42698062758853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9.3998780003992088</v>
      </c>
      <c r="K134" s="51">
        <f t="shared" si="22"/>
        <v>1.9957909034666881</v>
      </c>
      <c r="L134" s="55">
        <f t="shared" si="23"/>
        <v>1.1049970860157313E-2</v>
      </c>
      <c r="M134" s="51">
        <f t="shared" si="21"/>
        <v>2.0068408743268455</v>
      </c>
      <c r="N134" s="94">
        <f t="shared" si="17"/>
        <v>2511180905.3846216</v>
      </c>
      <c r="O134" s="56">
        <f t="shared" si="18"/>
        <v>99.03550112295197</v>
      </c>
      <c r="P134" s="57">
        <f t="shared" si="19"/>
        <v>101.58764071471478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9.393893804419152</v>
      </c>
      <c r="K135" s="51">
        <f t="shared" si="22"/>
        <v>1.9965606049086466</v>
      </c>
      <c r="L135" s="55">
        <f t="shared" si="23"/>
        <v>1.0977196243115449E-2</v>
      </c>
      <c r="M135" s="51">
        <f t="shared" si="21"/>
        <v>2.0075378011517619</v>
      </c>
      <c r="N135" s="94">
        <f t="shared" si="17"/>
        <v>2476816341.6458983</v>
      </c>
      <c r="O135" s="56">
        <f t="shared" si="18"/>
        <v>99.211177675327733</v>
      </c>
      <c r="P135" s="57">
        <f t="shared" si="19"/>
        <v>101.75079265913125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9.3878259980630485</v>
      </c>
      <c r="K136" s="51">
        <f t="shared" si="22"/>
        <v>1.997341060514944</v>
      </c>
      <c r="L136" s="55">
        <f t="shared" si="23"/>
        <v>1.0903486721663346E-2</v>
      </c>
      <c r="M136" s="51">
        <f t="shared" si="21"/>
        <v>2.0082445472366075</v>
      </c>
      <c r="N136" s="94">
        <f t="shared" si="17"/>
        <v>2442451777.9071727</v>
      </c>
      <c r="O136" s="56">
        <f t="shared" si="18"/>
        <v>99.389626948953605</v>
      </c>
      <c r="P136" s="57">
        <f t="shared" si="19"/>
        <v>101.91651090289845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9.3816722117993248</v>
      </c>
      <c r="K137" s="51">
        <f t="shared" si="22"/>
        <v>1.9981325750603363</v>
      </c>
      <c r="L137" s="55">
        <f t="shared" si="23"/>
        <v>1.0828818689157456E-2</v>
      </c>
      <c r="M137" s="51">
        <f t="shared" si="21"/>
        <v>2.0089613937494937</v>
      </c>
      <c r="N137" s="94">
        <f t="shared" si="17"/>
        <v>2408087214.1684556</v>
      </c>
      <c r="O137" s="56">
        <f t="shared" si="18"/>
        <v>99.570932652635662</v>
      </c>
      <c r="P137" s="57">
        <f t="shared" si="19"/>
        <v>102.0848732166301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9.3754299739174272</v>
      </c>
      <c r="K138" s="51">
        <f t="shared" si="22"/>
        <v>1.9989354664620813</v>
      </c>
      <c r="L138" s="55">
        <f t="shared" si="23"/>
        <v>1.0753167677128497E-2</v>
      </c>
      <c r="M138" s="51">
        <f t="shared" si="21"/>
        <v>2.0096886341392097</v>
      </c>
      <c r="N138" s="94">
        <f t="shared" si="17"/>
        <v>2373722650.4297352</v>
      </c>
      <c r="O138" s="56">
        <f t="shared" si="18"/>
        <v>99.755182263091939</v>
      </c>
      <c r="P138" s="57">
        <f t="shared" si="19"/>
        <v>102.25596089941784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9.3690967045671503</v>
      </c>
      <c r="K139" s="51">
        <f t="shared" si="22"/>
        <v>1.9997500665466148</v>
      </c>
      <c r="L139" s="55">
        <f t="shared" si="23"/>
        <v>1.0676508316337742E-2</v>
      </c>
      <c r="M139" s="51">
        <f t="shared" si="21"/>
        <v>2.0104265748629526</v>
      </c>
      <c r="N139" s="94">
        <f t="shared" si="17"/>
        <v>2339358086.6910086</v>
      </c>
      <c r="O139" s="56">
        <f t="shared" si="18"/>
        <v>99.942467252035527</v>
      </c>
      <c r="P139" s="57">
        <f t="shared" si="19"/>
        <v>102.42985899394191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9.3626697093568882</v>
      </c>
      <c r="K140" s="51">
        <f t="shared" si="22"/>
        <v>2.0005767218729584</v>
      </c>
      <c r="L140" s="55">
        <f t="shared" si="23"/>
        <v>1.0598814295984499E-2</v>
      </c>
      <c r="M140" s="51">
        <f t="shared" si="21"/>
        <v>2.0111755361689427</v>
      </c>
      <c r="N140" s="94">
        <f t="shared" si="17"/>
        <v>2304993522.952291</v>
      </c>
      <c r="O140" s="56">
        <f t="shared" si="18"/>
        <v>100.13288333050831</v>
      </c>
      <c r="P140" s="57">
        <f t="shared" si="19"/>
        <v>102.60665651817187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9.3561461724710249</v>
      </c>
      <c r="K141" s="51">
        <f t="shared" si="22"/>
        <v>2.0014157946179778</v>
      </c>
      <c r="L141" s="55">
        <f t="shared" si="23"/>
        <v>1.0520058321011275E-2</v>
      </c>
      <c r="M141" s="51">
        <f t="shared" si="21"/>
        <v>2.011935852938989</v>
      </c>
      <c r="N141" s="94">
        <f t="shared" si="17"/>
        <v>2270628959.2135673</v>
      </c>
      <c r="O141" s="56">
        <f t="shared" si="18"/>
        <v>100.32653071205874</v>
      </c>
      <c r="P141" s="57">
        <f t="shared" si="19"/>
        <v>102.78644671521731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9.3495231492624793</v>
      </c>
      <c r="K142" s="51">
        <f t="shared" si="22"/>
        <v>2.0022676635291452</v>
      </c>
      <c r="L142" s="55">
        <f t="shared" si="23"/>
        <v>1.0440212067462679E-2</v>
      </c>
      <c r="M142" s="51">
        <f t="shared" si="21"/>
        <v>2.0127078755966079</v>
      </c>
      <c r="N142" s="94">
        <f t="shared" si="17"/>
        <v>2236264395.4748464</v>
      </c>
      <c r="O142" s="56">
        <f t="shared" si="18"/>
        <v>100.52351439652408</v>
      </c>
      <c r="P142" s="57">
        <f t="shared" si="19"/>
        <v>102.96932732305612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9.3427975582716307</v>
      </c>
      <c r="K143" s="51">
        <f t="shared" si="22"/>
        <v>2.0031327249510857</v>
      </c>
      <c r="L143" s="55">
        <f t="shared" si="23"/>
        <v>1.0359246135866045E-2</v>
      </c>
      <c r="M143" s="51">
        <f t="shared" si="21"/>
        <v>2.0134919710869519</v>
      </c>
      <c r="N143" s="94">
        <f t="shared" si="17"/>
        <v>2201899831.7361245</v>
      </c>
      <c r="O143" s="56">
        <f t="shared" si="18"/>
        <v>100.72394447637623</v>
      </c>
      <c r="P143" s="57">
        <f t="shared" si="19"/>
        <v>103.15540086607115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9.3359661726174732</v>
      </c>
      <c r="K144" s="51">
        <f t="shared" si="22"/>
        <v>2.0040113939328679</v>
      </c>
      <c r="L144" s="55">
        <f t="shared" si="23"/>
        <v>1.0277130002618115E-2</v>
      </c>
      <c r="M144" s="51">
        <f t="shared" si="21"/>
        <v>2.0142885239354862</v>
      </c>
      <c r="N144" s="94">
        <f t="shared" si="17"/>
        <v>2167535267.9974012</v>
      </c>
      <c r="O144" s="56">
        <f t="shared" si="18"/>
        <v>100.92793646780872</v>
      </c>
      <c r="P144" s="57">
        <f t="shared" si="19"/>
        <v>103.34477497054127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9.3290256107008052</v>
      </c>
      <c r="K145" s="51">
        <f t="shared" si="22"/>
        <v>2.0049041054237788</v>
      </c>
      <c r="L145" s="55">
        <f t="shared" si="23"/>
        <v>1.0193831969383621E-2</v>
      </c>
      <c r="M145" s="51">
        <f t="shared" si="21"/>
        <v>2.0150979373931626</v>
      </c>
      <c r="N145" s="94">
        <f t="shared" si="17"/>
        <v>2133170704.2586782</v>
      </c>
      <c r="O145" s="56">
        <f t="shared" si="18"/>
        <v>101.13561166898926</v>
      </c>
      <c r="P145" s="57">
        <f t="shared" si="19"/>
        <v>103.53756270648731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9.3219723261523875</v>
      </c>
      <c r="K146" s="51">
        <f t="shared" si="22"/>
        <v>2.0058113155662198</v>
      </c>
      <c r="L146" s="55">
        <f t="shared" si="23"/>
        <v>1.0109319110539285E-2</v>
      </c>
      <c r="M146" s="51">
        <f t="shared" si="21"/>
        <v>2.0159206346767591</v>
      </c>
      <c r="N146" s="94">
        <f t="shared" si="17"/>
        <v>2098806140.5199583</v>
      </c>
      <c r="O146" s="56">
        <f t="shared" si="18"/>
        <v>101.34709754818817</v>
      </c>
      <c r="P146" s="57">
        <f t="shared" si="19"/>
        <v>103.733882958561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9.3148025969513135</v>
      </c>
      <c r="K147" s="51">
        <f t="shared" si="22"/>
        <v>2.0067335030953233</v>
      </c>
      <c r="L147" s="55">
        <f t="shared" si="23"/>
        <v>1.0023557218733249E-2</v>
      </c>
      <c r="M147" s="51">
        <f t="shared" si="21"/>
        <v>2.0167570603140565</v>
      </c>
      <c r="N147" s="94">
        <f t="shared" si="17"/>
        <v>2064441576.7812359</v>
      </c>
      <c r="O147" s="56">
        <f t="shared" si="18"/>
        <v>101.56252816480408</v>
      </c>
      <c r="P147" s="57">
        <f t="shared" si="19"/>
        <v>103.93386082898141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9.3075125136299501</v>
      </c>
      <c r="K148" s="51">
        <f t="shared" si="22"/>
        <v>2.0076711708560637</v>
      </c>
      <c r="L148" s="55">
        <f t="shared" si="23"/>
        <v>9.9365107486746544E-3</v>
      </c>
      <c r="M148" s="51">
        <f t="shared" si="21"/>
        <v>2.0176076816047384</v>
      </c>
      <c r="N148" s="94">
        <f t="shared" si="17"/>
        <v>2030077013.0425115</v>
      </c>
      <c r="O148" s="56">
        <f t="shared" si="18"/>
        <v>101.78204462668121</v>
      </c>
      <c r="P148" s="57">
        <f t="shared" si="19"/>
        <v>104.1376280759075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9.3000979664719221</v>
      </c>
      <c r="K149" s="51">
        <f t="shared" si="22"/>
        <v>2.008624847449882</v>
      </c>
      <c r="L149" s="55">
        <f t="shared" si="23"/>
        <v>9.8481427593276293E-3</v>
      </c>
      <c r="M149" s="51">
        <f t="shared" si="21"/>
        <v>2.0184729902092098</v>
      </c>
      <c r="N149" s="94">
        <f t="shared" si="17"/>
        <v>1995712449.3037841</v>
      </c>
      <c r="O149" s="56">
        <f t="shared" si="18"/>
        <v>102.00579558751416</v>
      </c>
      <c r="P149" s="57">
        <f t="shared" si="19"/>
        <v>104.34532359104706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9.2925546315981489</v>
      </c>
      <c r="K150" s="51">
        <f t="shared" si="22"/>
        <v>2.0095950890243337</v>
      </c>
      <c r="L150" s="55">
        <f t="shared" si="23"/>
        <v>9.7584148547568052E-3</v>
      </c>
      <c r="M150" s="51">
        <f t="shared" si="21"/>
        <v>2.0193535038790906</v>
      </c>
      <c r="N150" s="94">
        <f t="shared" si="17"/>
        <v>1961347885.5650704</v>
      </c>
      <c r="O150" s="56">
        <f t="shared" si="18"/>
        <v>102.23393778861758</v>
      </c>
      <c r="P150" s="57">
        <f t="shared" si="19"/>
        <v>104.55709392079589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9.2848779558230028</v>
      </c>
      <c r="K151" s="51">
        <f t="shared" si="22"/>
        <v>2.0105824812209248</v>
      </c>
      <c r="L151" s="55">
        <f t="shared" si="23"/>
        <v>9.6672871239652566E-3</v>
      </c>
      <c r="M151" s="51">
        <f t="shared" si="21"/>
        <v>2.0202497683448901</v>
      </c>
      <c r="N151" s="94">
        <f t="shared" si="17"/>
        <v>1926983321.8263533</v>
      </c>
      <c r="O151" s="56">
        <f t="shared" si="18"/>
        <v>102.46663664987018</v>
      </c>
      <c r="P151" s="57">
        <f t="shared" si="19"/>
        <v>104.77309383575684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9.2770631401477814</v>
      </c>
      <c r="K152" s="51">
        <f t="shared" si="22"/>
        <v>2.011587641298219</v>
      </c>
      <c r="L152" s="55">
        <f t="shared" si="23"/>
        <v>9.5747180801831738E-3</v>
      </c>
      <c r="M152" s="51">
        <f t="shared" si="21"/>
        <v>2.0211623593784021</v>
      </c>
      <c r="N152" s="94">
        <f t="shared" si="17"/>
        <v>1892618758.0876288</v>
      </c>
      <c r="O152" s="56">
        <f t="shared" si="18"/>
        <v>102.7040669152633</v>
      </c>
      <c r="P152" s="57">
        <f t="shared" si="19"/>
        <v>104.99348695413249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9.2691051217416494</v>
      </c>
      <c r="K153" s="51">
        <f t="shared" si="22"/>
        <v>2.0126112204494948</v>
      </c>
      <c r="L153" s="55">
        <f t="shared" si="23"/>
        <v>9.4806646002135384E-3</v>
      </c>
      <c r="M153" s="51">
        <f t="shared" si="21"/>
        <v>2.0220918850497083</v>
      </c>
      <c r="N153" s="94">
        <f t="shared" si="17"/>
        <v>1858254194.3488975</v>
      </c>
      <c r="O153" s="56">
        <f t="shared" si="18"/>
        <v>102.94641335919549</v>
      </c>
      <c r="P153" s="57">
        <f t="shared" si="19"/>
        <v>105.21844642523013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9.2609985542406292</v>
      </c>
      <c r="K154" s="51">
        <f t="shared" si="22"/>
        <v>2.013653906336732</v>
      </c>
      <c r="L154" s="55">
        <f t="shared" si="23"/>
        <v>9.3850818646274113E-3</v>
      </c>
      <c r="M154" s="51">
        <f t="shared" si="21"/>
        <v>2.0230389882013595</v>
      </c>
      <c r="N154" s="94">
        <f t="shared" si="17"/>
        <v>1823889630.6101799</v>
      </c>
      <c r="O154" s="56">
        <f t="shared" si="18"/>
        <v>103.19387156047041</v>
      </c>
      <c r="P154" s="57">
        <f t="shared" si="19"/>
        <v>105.44815568017239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9.2527377861726308</v>
      </c>
      <c r="K155" s="51">
        <f t="shared" si="22"/>
        <v>2.0147164258656405</v>
      </c>
      <c r="L155" s="55">
        <f t="shared" si="23"/>
        <v>9.2879232998352573E-3</v>
      </c>
      <c r="M155" s="51">
        <f t="shared" si="21"/>
        <v>2.0240043491654758</v>
      </c>
      <c r="N155" s="94">
        <f t="shared" si="17"/>
        <v>1789525066.8714585</v>
      </c>
      <c r="O155" s="56">
        <f t="shared" si="18"/>
        <v>103.44664875190271</v>
      </c>
      <c r="P155" s="57">
        <f t="shared" si="19"/>
        <v>105.6828092579166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9.244316837290512</v>
      </c>
      <c r="K156" s="51">
        <f t="shared" si="22"/>
        <v>2.0157995482297517</v>
      </c>
      <c r="L156" s="55">
        <f t="shared" si="23"/>
        <v>9.1891405233562994E-3</v>
      </c>
      <c r="M156" s="51">
        <f t="shared" si="21"/>
        <v>2.0249886887531079</v>
      </c>
      <c r="N156" s="94">
        <f t="shared" si="17"/>
        <v>1755160503.132741</v>
      </c>
      <c r="O156" s="56">
        <f t="shared" si="18"/>
        <v>103.70496475452569</v>
      </c>
      <c r="P156" s="57">
        <f t="shared" si="19"/>
        <v>105.92261371583801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9.2357293725648706</v>
      </c>
      <c r="K157" s="51">
        <f t="shared" si="22"/>
        <v>2.0169040882555334</v>
      </c>
      <c r="L157" s="55">
        <f t="shared" si="23"/>
        <v>9.0886832939776393E-3</v>
      </c>
      <c r="M157" s="51">
        <f t="shared" si="21"/>
        <v>2.025992771549511</v>
      </c>
      <c r="N157" s="94">
        <f t="shared" si="17"/>
        <v>1720795939.3940203</v>
      </c>
      <c r="O157" s="56">
        <f t="shared" si="18"/>
        <v>103.96905300667426</v>
      </c>
      <c r="P157" s="57">
        <f t="shared" si="19"/>
        <v>106.16778863550402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9.2269686735533263</v>
      </c>
      <c r="K158" s="51">
        <f t="shared" si="22"/>
        <v>2.0180309100849358</v>
      </c>
      <c r="L158" s="55">
        <f t="shared" si="23"/>
        <v>8.9864994689639096E-3</v>
      </c>
      <c r="M158" s="51">
        <f t="shared" si="21"/>
        <v>2.0270174095539</v>
      </c>
      <c r="N158" s="94">
        <f t="shared" si="17"/>
        <v>1686431375.6552958</v>
      </c>
      <c r="O158" s="56">
        <f t="shared" si="18"/>
        <v>104.2391616996818</v>
      </c>
      <c r="P158" s="57">
        <f t="shared" si="19"/>
        <v>106.41856773584772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9.2180276068221101</v>
      </c>
      <c r="K159" s="51">
        <f t="shared" si="22"/>
        <v>2.0191809312370839</v>
      </c>
      <c r="L159" s="55">
        <f t="shared" si="23"/>
        <v>8.8825349710672484E-3</v>
      </c>
      <c r="M159" s="51">
        <f t="shared" si="21"/>
        <v>2.0280634662081511</v>
      </c>
      <c r="N159" s="94">
        <f t="shared" si="17"/>
        <v>1652066811.9165699</v>
      </c>
      <c r="O159" s="56">
        <f t="shared" si="18"/>
        <v>104.5155550336696</v>
      </c>
      <c r="P159" s="57">
        <f t="shared" si="19"/>
        <v>106.67520010783686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9.2088985890481379</v>
      </c>
      <c r="K160" s="51">
        <f t="shared" si="22"/>
        <v>2.0203551270969302</v>
      </c>
      <c r="L160" s="55">
        <f t="shared" si="23"/>
        <v>8.7767337688342828E-3</v>
      </c>
      <c r="M160" s="51">
        <f t="shared" si="21"/>
        <v>2.0291318608657645</v>
      </c>
      <c r="N160" s="94">
        <f t="shared" si="17"/>
        <v>1617702248.177851</v>
      </c>
      <c r="O160" s="56">
        <f t="shared" si="18"/>
        <v>104.79851460891946</v>
      </c>
      <c r="P160" s="57">
        <f t="shared" si="19"/>
        <v>106.93795158693359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9.1995735483738184</v>
      </c>
      <c r="K161" s="51">
        <f t="shared" si="22"/>
        <v>2.0215545358858913</v>
      </c>
      <c r="L161" s="55">
        <f t="shared" si="23"/>
        <v>8.6690378746517999E-3</v>
      </c>
      <c r="M161" s="51">
        <f t="shared" si="21"/>
        <v>2.030223573760543</v>
      </c>
      <c r="N161" s="94">
        <f t="shared" si="17"/>
        <v>1583337684.4391291</v>
      </c>
      <c r="O161" s="56">
        <f t="shared" si="18"/>
        <v>105.08834097070068</v>
      </c>
      <c r="P161" s="57">
        <f t="shared" si="19"/>
        <v>107.20710628226523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9.1900438815211327</v>
      </c>
      <c r="K162" s="51">
        <f t="shared" si="22"/>
        <v>2.022780264177936</v>
      </c>
      <c r="L162" s="55">
        <f t="shared" si="23"/>
        <v>8.5593873661729044E-3</v>
      </c>
      <c r="M162" s="51">
        <f t="shared" si="21"/>
        <v>2.0313396515441089</v>
      </c>
      <c r="N162" s="94">
        <f t="shared" si="17"/>
        <v>1548973120.7004077</v>
      </c>
      <c r="O162" s="56">
        <f t="shared" si="18"/>
        <v>105.38535532822189</v>
      </c>
      <c r="P162" s="57">
        <f t="shared" si="19"/>
        <v>107.48296828453648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9.1803004060939966</v>
      </c>
      <c r="K163" s="51">
        <f t="shared" si="22"/>
        <v>2.0240334930345689</v>
      </c>
      <c r="L163" s="55">
        <f t="shared" si="23"/>
        <v>8.4477204382930136E-3</v>
      </c>
      <c r="M163" s="51">
        <f t="shared" si="21"/>
        <v>2.0324812134728618</v>
      </c>
      <c r="N163" s="94">
        <f t="shared" si="17"/>
        <v>1514608556.9616828</v>
      </c>
      <c r="O163" s="56">
        <f t="shared" si="18"/>
        <v>105.689901471686</v>
      </c>
      <c r="P163" s="57">
        <f t="shared" si="19"/>
        <v>107.76586357842601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9.1703333074061799</v>
      </c>
      <c r="K164" s="51">
        <f t="shared" si="22"/>
        <v>2.025315484843949</v>
      </c>
      <c r="L164" s="55">
        <f t="shared" si="23"/>
        <v>8.333973494794868E-3</v>
      </c>
      <c r="M164" s="51">
        <f t="shared" si="21"/>
        <v>2.0336494583387439</v>
      </c>
      <c r="N164" s="94">
        <f t="shared" si="17"/>
        <v>1480243993.2229588</v>
      </c>
      <c r="O164" s="56">
        <f t="shared" si="18"/>
        <v>106.00234791536248</v>
      </c>
      <c r="P164" s="57">
        <f t="shared" si="19"/>
        <v>108.05614218965968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9.1601320790630272</v>
      </c>
      <c r="K165" s="51">
        <f t="shared" si="22"/>
        <v>2.0266275909634075</v>
      </c>
      <c r="L165" s="55">
        <f t="shared" si="23"/>
        <v>8.2180812912777419E-3</v>
      </c>
      <c r="M165" s="51">
        <f t="shared" si="21"/>
        <v>2.034845672254685</v>
      </c>
      <c r="N165" s="94">
        <f t="shared" si="17"/>
        <v>1445879429.4842374</v>
      </c>
      <c r="O165" s="56">
        <f t="shared" si="18"/>
        <v>106.32309029926715</v>
      </c>
      <c r="P165" s="57">
        <f t="shared" si="19"/>
        <v>108.35418060230332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9.1496854563952645</v>
      </c>
      <c r="K166" s="51">
        <f t="shared" si="22"/>
        <v>2.0279712602813529</v>
      </c>
      <c r="L166" s="55">
        <f t="shared" si="23"/>
        <v>8.099977144192189E-3</v>
      </c>
      <c r="M166" s="51">
        <f t="shared" si="21"/>
        <v>2.0360712374255452</v>
      </c>
      <c r="N166" s="94">
        <f t="shared" si="17"/>
        <v>1411514865.7455156</v>
      </c>
      <c r="O166" s="56">
        <f t="shared" si="18"/>
        <v>106.65255408764415</v>
      </c>
      <c r="P166" s="57">
        <f t="shared" si="19"/>
        <v>108.66038448829043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9.1389813416875487</v>
      </c>
      <c r="K167" s="51">
        <f t="shared" si="22"/>
        <v>2.0293480488345477</v>
      </c>
      <c r="L167" s="55">
        <f t="shared" si="23"/>
        <v>7.9795932249339379E-3</v>
      </c>
      <c r="M167" s="51">
        <f t="shared" si="21"/>
        <v>2.0373276420594815</v>
      </c>
      <c r="N167" s="94">
        <f t="shared" si="17"/>
        <v>1377150302.0068021</v>
      </c>
      <c r="O167" s="56">
        <f t="shared" si="18"/>
        <v>106.99119760916082</v>
      </c>
      <c r="P167" s="57">
        <f t="shared" si="19"/>
        <v>108.97519179904734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9.1280067199572894</v>
      </c>
      <c r="K168" s="51">
        <f t="shared" si="22"/>
        <v>2.0307596306408389</v>
      </c>
      <c r="L168" s="55">
        <f t="shared" si="23"/>
        <v>7.8568609632953135E-3</v>
      </c>
      <c r="M168" s="51">
        <f t="shared" si="21"/>
        <v>2.0386164916041341</v>
      </c>
      <c r="N168" s="94">
        <f t="shared" ref="N168:N204" si="24">10^$J168</f>
        <v>1342785738.2680745</v>
      </c>
      <c r="O168" s="56">
        <f t="shared" ref="O168:O204" si="25">10^K168</f>
        <v>107.33951549184169</v>
      </c>
      <c r="P168" s="57">
        <f t="shared" ref="P168:P204" si="26">10^M168</f>
        <v>109.29907627867225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9.1167475638134174</v>
      </c>
      <c r="K169" s="51">
        <f t="shared" si="22"/>
        <v>2.0322078099364465</v>
      </c>
      <c r="L169" s="55">
        <f t="shared" si="23"/>
        <v>7.7317115915146633E-3</v>
      </c>
      <c r="M169" s="51">
        <f t="shared" ref="M169:M204" si="28">+$I$14+$I$13*J169+L169</f>
        <v>2.0399395215279612</v>
      </c>
      <c r="N169" s="94">
        <f t="shared" si="24"/>
        <v>1308421174.5293522</v>
      </c>
      <c r="O169" s="56">
        <f t="shared" si="25"/>
        <v>107.69804255557622</v>
      </c>
      <c r="P169" s="57">
        <f t="shared" si="26"/>
        <v>109.63255146986538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9.1051887256506365</v>
      </c>
      <c r="K170" s="51">
        <f t="shared" si="22"/>
        <v>2.0336945350421929</v>
      </c>
      <c r="L170" s="55">
        <f t="shared" si="23"/>
        <v>7.6040768692134915E-3</v>
      </c>
      <c r="M170" s="51">
        <f t="shared" si="28"/>
        <v>2.0412986119114063</v>
      </c>
      <c r="N170" s="94">
        <f t="shared" si="24"/>
        <v>1274056610.7906289</v>
      </c>
      <c r="O170" s="56">
        <f t="shared" si="25"/>
        <v>108.06735823698963</v>
      </c>
      <c r="P170" s="57">
        <f t="shared" si="26"/>
        <v>109.97617529831209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9.0933138151007977</v>
      </c>
      <c r="K171" s="51">
        <f t="shared" si="22"/>
        <v>2.0352219141259997</v>
      </c>
      <c r="L171" s="55">
        <f t="shared" si="23"/>
        <v>7.473890041362197E-3</v>
      </c>
      <c r="M171" s="51">
        <f t="shared" si="28"/>
        <v>2.0426958041673617</v>
      </c>
      <c r="N171" s="94">
        <f t="shared" si="24"/>
        <v>1239692047.0519085</v>
      </c>
      <c r="O171" s="56">
        <f t="shared" si="25"/>
        <v>108.44809163607125</v>
      </c>
      <c r="P171" s="57">
        <f t="shared" si="26"/>
        <v>110.33055533918204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9.0811050592537672</v>
      </c>
      <c r="K172" s="51">
        <f t="shared" si="22"/>
        <v>2.0367922331816084</v>
      </c>
      <c r="L172" s="55">
        <f t="shared" si="23"/>
        <v>7.3410870969967019E-3</v>
      </c>
      <c r="M172" s="51">
        <f t="shared" si="28"/>
        <v>2.0441333202786049</v>
      </c>
      <c r="N172" s="94">
        <f t="shared" si="24"/>
        <v>1205327483.3131876</v>
      </c>
      <c r="O172" s="56">
        <f t="shared" si="25"/>
        <v>108.84092729190519</v>
      </c>
      <c r="P172" s="57">
        <f t="shared" si="26"/>
        <v>110.69635489181823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9.068543142656333</v>
      </c>
      <c r="K173" s="51">
        <f t="shared" si="22"/>
        <v>2.0384079766082994</v>
      </c>
      <c r="L173" s="55">
        <f t="shared" si="23"/>
        <v>7.2056084169905511E-3</v>
      </c>
      <c r="M173" s="51">
        <f t="shared" si="28"/>
        <v>2.0456135850252899</v>
      </c>
      <c r="N173" s="94">
        <f t="shared" si="24"/>
        <v>1170962919.5744667</v>
      </c>
      <c r="O173" s="56">
        <f t="shared" si="25"/>
        <v>109.24661181703797</v>
      </c>
      <c r="P173" s="57">
        <f t="shared" si="26"/>
        <v>111.07430001681583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9.055607023473641</v>
      </c>
      <c r="K174" s="51">
        <f t="shared" si="22"/>
        <v>2.040071850856644</v>
      </c>
      <c r="L174" s="55">
        <f t="shared" si="23"/>
        <v>7.0674009264926965E-3</v>
      </c>
      <c r="M174" s="51">
        <f t="shared" si="28"/>
        <v>2.0471392517831366</v>
      </c>
      <c r="N174" s="94">
        <f t="shared" si="24"/>
        <v>1136598355.8357441</v>
      </c>
      <c r="O174" s="56">
        <f t="shared" si="25"/>
        <v>109.66596154758155</v>
      </c>
      <c r="P174" s="57">
        <f t="shared" si="26"/>
        <v>111.46518772519657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9.0422737214202655</v>
      </c>
      <c r="K175" s="51">
        <f t="shared" si="22"/>
        <v>2.041786811705312</v>
      </c>
      <c r="L175" s="55">
        <f t="shared" si="23"/>
        <v>6.9264209040287667E-3</v>
      </c>
      <c r="M175" s="51">
        <f t="shared" si="28"/>
        <v>2.0487132326093409</v>
      </c>
      <c r="N175" s="94">
        <f t="shared" si="24"/>
        <v>1102233792.0970244</v>
      </c>
      <c r="O175" s="56">
        <f t="shared" si="25"/>
        <v>110.09987140061709</v>
      </c>
      <c r="P175" s="57">
        <f t="shared" si="26"/>
        <v>111.86989555453313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9.0285180720935596</v>
      </c>
      <c r="K176" s="51">
        <f t="shared" si="22"/>
        <v>2.0435560958592944</v>
      </c>
      <c r="L176" s="55">
        <f t="shared" si="23"/>
        <v>6.7826376479637645E-3</v>
      </c>
      <c r="M176" s="51">
        <f t="shared" si="28"/>
        <v>2.050338733507258</v>
      </c>
      <c r="N176" s="94">
        <f t="shared" si="24"/>
        <v>1067869228.3582994</v>
      </c>
      <c r="O176" s="56">
        <f t="shared" si="25"/>
        <v>110.54932517382467</v>
      </c>
      <c r="P176" s="57">
        <f t="shared" si="26"/>
        <v>112.28939282464466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9.0143124411122866</v>
      </c>
      <c r="K177" s="51">
        <f t="shared" si="22"/>
        <v>2.0453832577180733</v>
      </c>
      <c r="L177" s="55">
        <f t="shared" si="23"/>
        <v>6.6360382664679626E-3</v>
      </c>
      <c r="M177" s="51">
        <f t="shared" si="28"/>
        <v>2.0520192959845414</v>
      </c>
      <c r="N177" s="94">
        <f t="shared" si="24"/>
        <v>1033504664.6195766</v>
      </c>
      <c r="O177" s="56">
        <f t="shared" si="25"/>
        <v>111.01540757718878</v>
      </c>
      <c r="P177" s="57">
        <f t="shared" si="26"/>
        <v>112.72475393996702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8.9996263899010334</v>
      </c>
      <c r="K178" s="51">
        <f t="shared" si="22"/>
        <v>2.0472722123632168</v>
      </c>
      <c r="L178" s="55">
        <f t="shared" si="23"/>
        <v>6.4866339453948938E-3</v>
      </c>
      <c r="M178" s="51">
        <f t="shared" si="28"/>
        <v>2.0537588463086118</v>
      </c>
      <c r="N178" s="94">
        <f t="shared" si="24"/>
        <v>999140100.88085806</v>
      </c>
      <c r="O178" s="56">
        <f t="shared" si="25"/>
        <v>111.49931835668018</v>
      </c>
      <c r="P178" s="57">
        <f t="shared" si="26"/>
        <v>113.17717420236332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8.9844262829605928</v>
      </c>
      <c r="K179" s="51">
        <f t="shared" si="22"/>
        <v>2.049227286072195</v>
      </c>
      <c r="L179" s="55">
        <f t="shared" si="23"/>
        <v>6.3344681678878792E-3</v>
      </c>
      <c r="M179" s="51">
        <f t="shared" si="28"/>
        <v>2.0555617542400828</v>
      </c>
      <c r="N179" s="94">
        <f t="shared" si="24"/>
        <v>964775537.14213336</v>
      </c>
      <c r="O179" s="56">
        <f t="shared" si="25"/>
        <v>112.00238895987323</v>
      </c>
      <c r="P179" s="57">
        <f t="shared" si="26"/>
        <v>113.64798872457911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8.9686748238833811</v>
      </c>
      <c r="K180" s="51">
        <f t="shared" si="22"/>
        <v>2.0512532759971718</v>
      </c>
      <c r="L180" s="55">
        <f t="shared" si="23"/>
        <v>6.179627521389083E-3</v>
      </c>
      <c r="M180" s="51">
        <f t="shared" si="28"/>
        <v>2.0574329035185608</v>
      </c>
      <c r="N180" s="94">
        <f t="shared" si="24"/>
        <v>930410973.40341306</v>
      </c>
      <c r="O180" s="56">
        <f t="shared" si="25"/>
        <v>112.52610231012177</v>
      </c>
      <c r="P180" s="57">
        <f t="shared" si="26"/>
        <v>114.13869520106518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8.9523305040140322</v>
      </c>
      <c r="K181" s="51">
        <f t="shared" si="22"/>
        <v>2.0533555210795846</v>
      </c>
      <c r="L181" s="55">
        <f t="shared" si="23"/>
        <v>6.0222559472329793E-3</v>
      </c>
      <c r="M181" s="51">
        <f t="shared" si="28"/>
        <v>2.0593777770268176</v>
      </c>
      <c r="N181" s="94">
        <f t="shared" si="24"/>
        <v>896046409.66469169</v>
      </c>
      <c r="O181" s="56">
        <f t="shared" si="25"/>
        <v>113.0721164084047</v>
      </c>
      <c r="P181" s="57">
        <f t="shared" si="26"/>
        <v>114.650981513823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8.9353469432447152</v>
      </c>
      <c r="K182" s="51">
        <f t="shared" si="22"/>
        <v>2.0555399868386104</v>
      </c>
      <c r="L182" s="55">
        <f t="shared" si="23"/>
        <v>5.8625735851843604E-3</v>
      </c>
      <c r="M182" s="51">
        <f t="shared" si="28"/>
        <v>2.0614025604237947</v>
      </c>
      <c r="N182" s="94">
        <f t="shared" si="24"/>
        <v>861681845.92596829</v>
      </c>
      <c r="O182" s="56">
        <f t="shared" si="25"/>
        <v>113.6422926830551</v>
      </c>
      <c r="P182" s="57">
        <f t="shared" si="26"/>
        <v>115.18675944599488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8.9176720965867275</v>
      </c>
      <c r="K183" s="51">
        <f t="shared" si="22"/>
        <v>2.0578133674238028</v>
      </c>
      <c r="L183" s="55">
        <f t="shared" si="23"/>
        <v>5.700901765566228E-3</v>
      </c>
      <c r="M183" s="51">
        <f t="shared" si="28"/>
        <v>2.0635142691893691</v>
      </c>
      <c r="N183" s="94">
        <f t="shared" si="24"/>
        <v>827317282.18724895</v>
      </c>
      <c r="O183" s="56">
        <f t="shared" si="25"/>
        <v>114.23873027545535</v>
      </c>
      <c r="P183" s="57">
        <f t="shared" si="26"/>
        <v>115.74820617244126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8.899247292325061</v>
      </c>
      <c r="K184" s="51">
        <f t="shared" si="22"/>
        <v>2.0601832093299288</v>
      </c>
      <c r="L184" s="55">
        <f t="shared" si="23"/>
        <v>5.5376962352880494E-3</v>
      </c>
      <c r="M184" s="51">
        <f t="shared" si="28"/>
        <v>2.0657209055652168</v>
      </c>
      <c r="N184" s="94">
        <f t="shared" si="24"/>
        <v>792952718.4485234</v>
      </c>
      <c r="O184" s="56">
        <f t="shared" si="25"/>
        <v>114.86380781035909</v>
      </c>
      <c r="P184" s="57">
        <f t="shared" si="26"/>
        <v>116.33781573212029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8.8800060569479307</v>
      </c>
      <c r="K185" s="51">
        <f t="shared" si="22"/>
        <v>2.0626580625373094</v>
      </c>
      <c r="L185" s="55">
        <f t="shared" si="23"/>
        <v>5.3735914025601177E-3</v>
      </c>
      <c r="M185" s="51">
        <f t="shared" si="28"/>
        <v>2.0680316539398698</v>
      </c>
      <c r="N185" s="94">
        <f t="shared" si="24"/>
        <v>758588154.70980608</v>
      </c>
      <c r="O185" s="56">
        <f t="shared" si="25"/>
        <v>115.52023469042464</v>
      </c>
      <c r="P185" s="57">
        <f t="shared" si="26"/>
        <v>116.95846341304046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8.8598726674869202</v>
      </c>
      <c r="K186" s="51">
        <f t="shared" si="22"/>
        <v>2.0652476667132591</v>
      </c>
      <c r="L186" s="55">
        <f t="shared" si="23"/>
        <v>5.2094592702007147E-3</v>
      </c>
      <c r="M186" s="51">
        <f t="shared" si="28"/>
        <v>2.0704571259834599</v>
      </c>
      <c r="N186" s="94">
        <f t="shared" si="24"/>
        <v>724223590.97108138</v>
      </c>
      <c r="O186" s="56">
        <f t="shared" si="25"/>
        <v>116.21111463122506</v>
      </c>
      <c r="P186" s="57">
        <f t="shared" si="26"/>
        <v>117.61348696589187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8.838760351679003</v>
      </c>
      <c r="K187" s="51">
        <f t="shared" si="22"/>
        <v>2.0679631827114973</v>
      </c>
      <c r="L187" s="55">
        <f t="shared" si="23"/>
        <v>5.0464877859319858E-3</v>
      </c>
      <c r="M187" s="51">
        <f t="shared" si="28"/>
        <v>2.0730096704974295</v>
      </c>
      <c r="N187" s="94">
        <f t="shared" si="24"/>
        <v>689859027.23235881</v>
      </c>
      <c r="O187" s="56">
        <f t="shared" si="25"/>
        <v>116.9400250981907</v>
      </c>
      <c r="P187" s="57">
        <f t="shared" si="26"/>
        <v>118.30678989742189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8.8165690278578079</v>
      </c>
      <c r="K188" s="51">
        <f t="shared" si="22"/>
        <v>2.0708174832726867</v>
      </c>
      <c r="L188" s="55">
        <f t="shared" si="23"/>
        <v>4.8862844673433032E-3</v>
      </c>
      <c r="M188" s="51">
        <f t="shared" si="28"/>
        <v>2.0757037677400301</v>
      </c>
      <c r="N188" s="94">
        <f t="shared" si="24"/>
        <v>655494463.4936378</v>
      </c>
      <c r="O188" s="56">
        <f t="shared" si="25"/>
        <v>117.71111764654148</v>
      </c>
      <c r="P188" s="57">
        <f t="shared" si="26"/>
        <v>119.04297389263957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8.7931824356793342</v>
      </c>
      <c r="K189" s="51">
        <f t="shared" si="22"/>
        <v>2.0738255220772741</v>
      </c>
      <c r="L189" s="55">
        <f t="shared" si="23"/>
        <v>4.7310120629451132E-3</v>
      </c>
      <c r="M189" s="51">
        <f t="shared" si="28"/>
        <v>2.078556534140219</v>
      </c>
      <c r="N189" s="94">
        <f t="shared" si="24"/>
        <v>621129899.75491393</v>
      </c>
      <c r="O189" s="56">
        <f t="shared" si="25"/>
        <v>118.52924609402957</v>
      </c>
      <c r="P189" s="57">
        <f t="shared" si="26"/>
        <v>119.82750981015069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8.7684644493744504</v>
      </c>
      <c r="K190" s="51">
        <f t="shared" si="22"/>
        <v>2.0770048079436769</v>
      </c>
      <c r="L190" s="55">
        <f t="shared" si="23"/>
        <v>4.5835630192064538E-3</v>
      </c>
      <c r="M190" s="51">
        <f t="shared" si="28"/>
        <v>2.0815883709628835</v>
      </c>
      <c r="N190" s="94">
        <f t="shared" si="24"/>
        <v>586765336.01619339</v>
      </c>
      <c r="O190" s="56">
        <f t="shared" si="25"/>
        <v>119.40013228208798</v>
      </c>
      <c r="P190" s="57">
        <f t="shared" si="26"/>
        <v>120.66695983528506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8.7422542770673637</v>
      </c>
      <c r="K191" s="51">
        <f t="shared" si="22"/>
        <v>2.0803760223032963</v>
      </c>
      <c r="L191" s="55">
        <f t="shared" si="23"/>
        <v>4.4477773393543389E-3</v>
      </c>
      <c r="M191" s="51">
        <f t="shared" si="28"/>
        <v>2.0848237996426509</v>
      </c>
      <c r="N191" s="94">
        <f t="shared" si="24"/>
        <v>552400772.2774713</v>
      </c>
      <c r="O191" s="56">
        <f t="shared" si="25"/>
        <v>120.33058340069213</v>
      </c>
      <c r="P191" s="57">
        <f t="shared" si="26"/>
        <v>121.56926742244137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8.714360116152573</v>
      </c>
      <c r="K192" s="51">
        <f t="shared" si="22"/>
        <v>2.083963835260942</v>
      </c>
      <c r="L192" s="55">
        <f t="shared" si="23"/>
        <v>4.3287019081446375E-3</v>
      </c>
      <c r="M192" s="51">
        <f t="shared" si="28"/>
        <v>2.0882925371690866</v>
      </c>
      <c r="N192" s="94">
        <f t="shared" si="24"/>
        <v>518036208.53875023</v>
      </c>
      <c r="O192" s="56">
        <f t="shared" si="25"/>
        <v>121.32878128834352</v>
      </c>
      <c r="P192" s="57">
        <f t="shared" si="26"/>
        <v>122.54413684851691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8.6845506276658124</v>
      </c>
      <c r="K193" s="51">
        <f t="shared" si="22"/>
        <v>2.0877980021814055</v>
      </c>
      <c r="L193" s="55">
        <f t="shared" si="23"/>
        <v>4.2328758336477919E-3</v>
      </c>
      <c r="M193" s="51">
        <f t="shared" si="28"/>
        <v>2.0920308780150534</v>
      </c>
      <c r="N193" s="94">
        <f t="shared" si="24"/>
        <v>483671644.80002958</v>
      </c>
      <c r="O193" s="56">
        <f t="shared" si="25"/>
        <v>122.40467416916282</v>
      </c>
      <c r="P193" s="57">
        <f t="shared" si="26"/>
        <v>123.60353115129173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8.6525432631103136</v>
      </c>
      <c r="K194" s="51">
        <f t="shared" ref="K194:K204" si="29">+$I$14+$I$13*J194</f>
        <v>2.0919148651206818</v>
      </c>
      <c r="L194" s="55">
        <f t="shared" ref="L194:L204" si="30">SQRT(2*$I$20*$I$17)*SQRT((1/$I$2)+((J194-$I$11)^2/$I$8))</f>
        <v>4.1686044803706515E-3</v>
      </c>
      <c r="M194" s="51">
        <f t="shared" si="28"/>
        <v>2.0960834696010524</v>
      </c>
      <c r="N194" s="94">
        <f t="shared" si="24"/>
        <v>449307081.06130582</v>
      </c>
      <c r="O194" s="56">
        <f t="shared" si="25"/>
        <v>123.57051740392583</v>
      </c>
      <c r="P194" s="57">
        <f t="shared" si="26"/>
        <v>124.76232792292731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8.617987937341713</v>
      </c>
      <c r="K195" s="51">
        <f t="shared" si="29"/>
        <v>2.0963594528581284</v>
      </c>
      <c r="L195" s="55">
        <f t="shared" si="30"/>
        <v>4.1461597911428517E-3</v>
      </c>
      <c r="M195" s="51">
        <f t="shared" si="28"/>
        <v>2.1005056126492714</v>
      </c>
      <c r="N195" s="94">
        <f t="shared" si="24"/>
        <v>414942517.32258517</v>
      </c>
      <c r="O195" s="56">
        <f t="shared" si="25"/>
        <v>124.8416364516094</v>
      </c>
      <c r="P195" s="57">
        <f t="shared" si="26"/>
        <v>126.0391926593481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8.5804436265306308</v>
      </c>
      <c r="K196" s="51">
        <f t="shared" si="29"/>
        <v>2.1011884909218779</v>
      </c>
      <c r="L196" s="55">
        <f t="shared" si="30"/>
        <v>4.1778363434121528E-3</v>
      </c>
      <c r="M196" s="51">
        <f t="shared" si="28"/>
        <v>2.10536632726529</v>
      </c>
      <c r="N196" s="94">
        <f t="shared" si="24"/>
        <v>380577953.58386189</v>
      </c>
      <c r="O196" s="56">
        <f t="shared" si="25"/>
        <v>126.23753072806635</v>
      </c>
      <c r="P196" s="57">
        <f t="shared" si="26"/>
        <v>127.45777336545933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8.5393438602563183</v>
      </c>
      <c r="K197" s="51">
        <f t="shared" si="29"/>
        <v>2.1064748400773738</v>
      </c>
      <c r="L197" s="55">
        <f t="shared" si="30"/>
        <v>4.2778408680878921E-3</v>
      </c>
      <c r="M197" s="51">
        <f t="shared" si="28"/>
        <v>2.1107526809454615</v>
      </c>
      <c r="N197" s="94">
        <f t="shared" si="24"/>
        <v>346213389.84514058</v>
      </c>
      <c r="O197" s="56">
        <f t="shared" si="25"/>
        <v>127.7835178771834</v>
      </c>
      <c r="P197" s="57">
        <f t="shared" si="26"/>
        <v>129.04841682142242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8.4939441135740523</v>
      </c>
      <c r="K198" s="51">
        <f t="shared" si="29"/>
        <v>2.1123142628841052</v>
      </c>
      <c r="L198" s="55">
        <f t="shared" si="30"/>
        <v>4.4621387737198018E-3</v>
      </c>
      <c r="M198" s="51">
        <f t="shared" si="28"/>
        <v>2.116776401657825</v>
      </c>
      <c r="N198" s="94">
        <f t="shared" si="24"/>
        <v>311848826.10641807</v>
      </c>
      <c r="O198" s="56">
        <f t="shared" si="25"/>
        <v>129.51326825200888</v>
      </c>
      <c r="P198" s="57">
        <f t="shared" si="26"/>
        <v>130.8508058661167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8.4432383569697489</v>
      </c>
      <c r="K199" s="51">
        <f t="shared" si="29"/>
        <v>2.1188361572378325</v>
      </c>
      <c r="L199" s="55">
        <f t="shared" si="30"/>
        <v>4.74862058375873E-3</v>
      </c>
      <c r="M199" s="51">
        <f t="shared" si="28"/>
        <v>2.1235847778215913</v>
      </c>
      <c r="N199" s="94">
        <f t="shared" si="24"/>
        <v>277484262.36769646</v>
      </c>
      <c r="O199" s="56">
        <f t="shared" si="25"/>
        <v>131.47287415547342</v>
      </c>
      <c r="P199" s="57">
        <f t="shared" si="26"/>
        <v>132.91829991551344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8.385820148721054</v>
      </c>
      <c r="K200" s="51">
        <f t="shared" si="29"/>
        <v>2.1262214229996794</v>
      </c>
      <c r="L200" s="55">
        <f t="shared" si="30"/>
        <v>5.158216455290421E-3</v>
      </c>
      <c r="M200" s="51">
        <f t="shared" si="28"/>
        <v>2.1313796394549698</v>
      </c>
      <c r="N200" s="94">
        <f t="shared" si="24"/>
        <v>243119698.62897554</v>
      </c>
      <c r="O200" s="56">
        <f t="shared" si="25"/>
        <v>133.72771472346292</v>
      </c>
      <c r="P200" s="57">
        <f t="shared" si="26"/>
        <v>135.32549970702408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8.319637166920069</v>
      </c>
      <c r="K201" s="51">
        <f t="shared" si="29"/>
        <v>2.1347340346679973</v>
      </c>
      <c r="L201" s="55">
        <f t="shared" si="30"/>
        <v>5.7178654652136809E-3</v>
      </c>
      <c r="M201" s="51">
        <f t="shared" si="28"/>
        <v>2.1404519001332107</v>
      </c>
      <c r="N201" s="94">
        <f t="shared" si="24"/>
        <v>208755134.89025301</v>
      </c>
      <c r="O201" s="56">
        <f t="shared" si="25"/>
        <v>136.37477110570967</v>
      </c>
      <c r="P201" s="57">
        <f t="shared" si="26"/>
        <v>138.18213551335086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8.2415230000486179</v>
      </c>
      <c r="K202" s="51">
        <f t="shared" si="29"/>
        <v>2.1447812635820771</v>
      </c>
      <c r="L202" s="55">
        <f t="shared" si="30"/>
        <v>6.4668640088903035E-3</v>
      </c>
      <c r="M202" s="51">
        <f t="shared" si="28"/>
        <v>2.1512481275909674</v>
      </c>
      <c r="N202" s="94">
        <f t="shared" si="24"/>
        <v>174390571.15153131</v>
      </c>
      <c r="O202" s="56">
        <f t="shared" si="25"/>
        <v>139.56652443435425</v>
      </c>
      <c r="P202" s="57">
        <f t="shared" si="26"/>
        <v>141.66029034618566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8.1462087058703254</v>
      </c>
      <c r="K203" s="51">
        <f t="shared" si="29"/>
        <v>2.1570408135555046</v>
      </c>
      <c r="L203" s="55">
        <f t="shared" si="30"/>
        <v>7.4702476700937272E-3</v>
      </c>
      <c r="M203" s="51">
        <f t="shared" si="28"/>
        <v>2.1645110612255984</v>
      </c>
      <c r="N203" s="94">
        <f t="shared" si="24"/>
        <v>140026007.41280854</v>
      </c>
      <c r="O203" s="56">
        <f t="shared" si="25"/>
        <v>143.56243422302794</v>
      </c>
      <c r="P203" s="57">
        <f t="shared" si="26"/>
        <v>146.05319478595524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8.0239165402464945</v>
      </c>
      <c r="K204" s="51">
        <f t="shared" si="29"/>
        <v>2.1727703211676532</v>
      </c>
      <c r="L204" s="55">
        <f t="shared" si="30"/>
        <v>8.8505662311855679E-3</v>
      </c>
      <c r="M204" s="51">
        <f t="shared" si="28"/>
        <v>2.181620887398839</v>
      </c>
      <c r="N204" s="97">
        <f t="shared" si="24"/>
        <v>105661443.67408726</v>
      </c>
      <c r="O204" s="91">
        <f t="shared" si="25"/>
        <v>148.85736298167001</v>
      </c>
      <c r="P204" s="92">
        <f t="shared" si="26"/>
        <v>151.92207636331509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0" zoomScaleNormal="100" workbookViewId="0">
      <selection activeCell="G46" sqref="G46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60L'!O7</f>
        <v>3542117817.5462627</v>
      </c>
      <c r="B2" s="48">
        <f>'New Vestas G27 60L'!X7</f>
        <v>3.5115944195112589E-2</v>
      </c>
      <c r="C2" s="50">
        <f t="shared" ref="C2:D44" si="0">IF(ISNA(A2),"",LOG10(A2))</f>
        <v>9.5492630025511875</v>
      </c>
      <c r="D2" s="50">
        <f t="shared" si="0"/>
        <v>-1.4544956498102923</v>
      </c>
      <c r="E2" s="51">
        <f>IF(C2="","",C2^2)</f>
        <v>91.188423891892924</v>
      </c>
      <c r="F2" s="51">
        <f>IF(D2="","",D2^2)</f>
        <v>2.1155575953170644</v>
      </c>
      <c r="G2" s="52">
        <f>IF(OR(C2="",D2=""),"",C2*D2)</f>
        <v>-13.889361496105073</v>
      </c>
      <c r="H2" s="53" t="s">
        <v>57</v>
      </c>
      <c r="I2" s="54">
        <f>COUNT(C:C)</f>
        <v>43</v>
      </c>
      <c r="J2" s="51">
        <f t="shared" ref="J2:J65" si="1">LOG($I$24+($I$25-$I$24)*(ROW()-2)/100)</f>
        <v>9.5492630025511875</v>
      </c>
      <c r="K2" s="51">
        <f t="shared" ref="K2:K65" si="2">+$I$14+$I$13*J2</f>
        <v>-1.4991471999143053</v>
      </c>
      <c r="L2" s="55">
        <f t="shared" ref="L2:L65" si="3">SQRT(2*$I$20*$I$17)*SQRT((1/$I$2)+((J2-$I$11)^2/$I$8))</f>
        <v>2.5777337349285362E-2</v>
      </c>
      <c r="M2" s="51">
        <f t="shared" ref="M2:M65" si="4">+$I$14+$I$13*J2-L2</f>
        <v>-1.5249245372635907</v>
      </c>
      <c r="N2" s="94">
        <f>10^$J2</f>
        <v>3542117817.5462699</v>
      </c>
      <c r="O2" s="56">
        <f>10^K2</f>
        <v>3.1684933508470306E-2</v>
      </c>
      <c r="P2" s="57">
        <f t="shared" ref="P2:P65" si="5">10^M2</f>
        <v>2.9859014021972233E-2</v>
      </c>
      <c r="R2" s="47"/>
      <c r="S2" s="47"/>
      <c r="T2" s="47"/>
    </row>
    <row r="3" spans="1:20" ht="12.75" customHeight="1" x14ac:dyDescent="0.35">
      <c r="A3" s="49">
        <f>'New Vestas G27 60L'!O8</f>
        <v>3060896420.076324</v>
      </c>
      <c r="B3" s="48">
        <f>'New Vestas G27 60L'!X8</f>
        <v>3.252442637529742E-2</v>
      </c>
      <c r="C3" s="50">
        <f t="shared" si="0"/>
        <v>9.4858486334358165</v>
      </c>
      <c r="D3" s="50">
        <f t="shared" si="0"/>
        <v>-1.4877903542357027</v>
      </c>
      <c r="E3" s="51">
        <f t="shared" ref="E3:F44" si="6">IF(C3="","",C3^2)</f>
        <v>89.981324296456151</v>
      </c>
      <c r="F3" s="51">
        <f t="shared" si="6"/>
        <v>2.2135201381567979</v>
      </c>
      <c r="G3" s="52">
        <f t="shared" ref="G3:G44" si="7">IF(OR(C3="",D3=""),"",C3*D3)</f>
        <v>-14.11295409856573</v>
      </c>
      <c r="H3" s="53" t="s">
        <v>58</v>
      </c>
      <c r="I3" s="58">
        <f>SUM(C:C)</f>
        <v>370.64256325493585</v>
      </c>
      <c r="J3" s="51">
        <f t="shared" si="1"/>
        <v>9.5450290361538883</v>
      </c>
      <c r="K3" s="51">
        <f t="shared" si="2"/>
        <v>-1.4980580343682335</v>
      </c>
      <c r="L3" s="55">
        <f t="shared" si="3"/>
        <v>2.5672113642433721E-2</v>
      </c>
      <c r="M3" s="51">
        <f t="shared" si="4"/>
        <v>-1.5237301480106673</v>
      </c>
      <c r="N3" s="94">
        <f t="shared" ref="N3:N66" si="8">10^$J3</f>
        <v>3507753253.8075647</v>
      </c>
      <c r="O3" s="56">
        <f t="shared" ref="O3:O66" si="9">10^K3</f>
        <v>3.1764495762814919E-2</v>
      </c>
      <c r="P3" s="57">
        <f t="shared" si="5"/>
        <v>2.9941244794420549E-2</v>
      </c>
      <c r="R3" s="47"/>
      <c r="S3" s="47"/>
      <c r="T3" s="47"/>
    </row>
    <row r="4" spans="1:20" ht="12.75" customHeight="1" x14ac:dyDescent="0.35">
      <c r="A4" s="49">
        <f>'New Vestas G27 60L'!O9</f>
        <v>105661443.67408709</v>
      </c>
      <c r="B4" s="48">
        <f>'New Vestas G27 60L'!X9</f>
        <v>7.6451056804510642E-2</v>
      </c>
      <c r="C4" s="50">
        <f t="shared" si="0"/>
        <v>8.0239165402464945</v>
      </c>
      <c r="D4" s="50">
        <f t="shared" si="0"/>
        <v>-1.1166165068351115</v>
      </c>
      <c r="E4" s="51">
        <f t="shared" si="6"/>
        <v>64.383236644841276</v>
      </c>
      <c r="F4" s="51">
        <f t="shared" si="6"/>
        <v>1.2468324233366466</v>
      </c>
      <c r="G4" s="52">
        <f t="shared" si="7"/>
        <v>-8.959637658306514</v>
      </c>
      <c r="H4" s="59" t="s">
        <v>59</v>
      </c>
      <c r="I4" s="58">
        <f>SUM(D:D)</f>
        <v>-54.179779615546678</v>
      </c>
      <c r="J4" s="51">
        <f t="shared" si="1"/>
        <v>9.5407533858176965</v>
      </c>
      <c r="K4" s="51">
        <f t="shared" si="2"/>
        <v>-1.4969581458485233</v>
      </c>
      <c r="L4" s="55">
        <f t="shared" si="3"/>
        <v>2.5565904956216069E-2</v>
      </c>
      <c r="M4" s="51">
        <f t="shared" si="4"/>
        <v>-1.5225240508047393</v>
      </c>
      <c r="N4" s="94">
        <f t="shared" si="8"/>
        <v>3473388690.06884</v>
      </c>
      <c r="O4" s="56">
        <f t="shared" si="9"/>
        <v>3.1845044063701949E-2</v>
      </c>
      <c r="P4" s="57">
        <f t="shared" si="5"/>
        <v>3.0024511434418338E-2</v>
      </c>
      <c r="R4" s="47"/>
      <c r="S4" s="47"/>
      <c r="T4" s="47"/>
    </row>
    <row r="5" spans="1:20" ht="12.75" customHeight="1" x14ac:dyDescent="0.35">
      <c r="A5" s="49">
        <f>'New Vestas G27 60L'!O10</f>
        <v>140881924.89878279</v>
      </c>
      <c r="B5" s="48">
        <f>'New Vestas G27 60L'!X10</f>
        <v>7.4493020671554847E-2</v>
      </c>
      <c r="C5" s="50">
        <f t="shared" si="0"/>
        <v>8.1488552768547944</v>
      </c>
      <c r="D5" s="50">
        <f t="shared" si="0"/>
        <v>-1.1278844148465983</v>
      </c>
      <c r="E5" s="51">
        <f t="shared" si="6"/>
        <v>66.403842323124223</v>
      </c>
      <c r="F5" s="51">
        <f t="shared" si="6"/>
        <v>1.2721232532538533</v>
      </c>
      <c r="G5" s="52">
        <f t="shared" si="7"/>
        <v>-9.1909668656049845</v>
      </c>
      <c r="H5" s="59" t="s">
        <v>60</v>
      </c>
      <c r="I5" s="58">
        <f>SUM(E:E)</f>
        <v>3199.0783318177268</v>
      </c>
      <c r="J5" s="51">
        <f t="shared" si="1"/>
        <v>9.5364352226074978</v>
      </c>
      <c r="K5" s="51">
        <f t="shared" si="2"/>
        <v>-1.4958473211159835</v>
      </c>
      <c r="L5" s="55">
        <f t="shared" si="3"/>
        <v>2.5458692862929358E-2</v>
      </c>
      <c r="M5" s="51">
        <f t="shared" si="4"/>
        <v>-1.521306013978913</v>
      </c>
      <c r="N5" s="94">
        <f t="shared" si="8"/>
        <v>3439024126.3301115</v>
      </c>
      <c r="O5" s="56">
        <f t="shared" si="9"/>
        <v>3.1926600570203564E-2</v>
      </c>
      <c r="P5" s="57">
        <f t="shared" si="5"/>
        <v>3.0108837379550151E-2</v>
      </c>
      <c r="R5" s="47"/>
      <c r="S5" s="47"/>
      <c r="T5" s="47"/>
    </row>
    <row r="6" spans="1:20" ht="12.75" customHeight="1" x14ac:dyDescent="0.35">
      <c r="A6" s="49">
        <f>'New Vestas G27 60L'!O11</f>
        <v>176102406.12347847</v>
      </c>
      <c r="B6" s="48">
        <f>'New Vestas G27 60L'!X11</f>
        <v>6.5925784656394135E-2</v>
      </c>
      <c r="C6" s="50">
        <f t="shared" si="0"/>
        <v>8.2457652898628506</v>
      </c>
      <c r="D6" s="50">
        <f t="shared" si="0"/>
        <v>-1.1809446924800844</v>
      </c>
      <c r="E6" s="51">
        <f t="shared" si="6"/>
        <v>67.992645215506982</v>
      </c>
      <c r="F6" s="51">
        <f t="shared" si="6"/>
        <v>1.3946303666968811</v>
      </c>
      <c r="G6" s="52">
        <f t="shared" si="7"/>
        <v>-9.7377927545000382</v>
      </c>
      <c r="H6" s="59" t="s">
        <v>61</v>
      </c>
      <c r="I6" s="58">
        <f>SUM(F:F)</f>
        <v>68.568907788318924</v>
      </c>
      <c r="J6" s="51">
        <f t="shared" si="1"/>
        <v>9.532073692613082</v>
      </c>
      <c r="K6" s="51">
        <f t="shared" si="2"/>
        <v>-1.4947253405067125</v>
      </c>
      <c r="L6" s="55">
        <f t="shared" si="3"/>
        <v>2.5350458420624167E-2</v>
      </c>
      <c r="M6" s="51">
        <f t="shared" si="4"/>
        <v>-1.5200757989273366</v>
      </c>
      <c r="N6" s="94">
        <f t="shared" si="8"/>
        <v>3404659562.5913954</v>
      </c>
      <c r="O6" s="56">
        <f t="shared" si="9"/>
        <v>3.2009188167206368E-2</v>
      </c>
      <c r="P6" s="57">
        <f t="shared" si="5"/>
        <v>3.0194246837124804E-2</v>
      </c>
      <c r="R6" s="47"/>
      <c r="S6" s="47"/>
      <c r="T6" s="47"/>
    </row>
    <row r="7" spans="1:20" ht="12.75" customHeight="1" x14ac:dyDescent="0.35">
      <c r="A7" s="49">
        <f>'New Vestas G27 60L'!O12</f>
        <v>211322887.34817418</v>
      </c>
      <c r="B7" s="48">
        <f>'New Vestas G27 60L'!X12</f>
        <v>6.4944052058859017E-2</v>
      </c>
      <c r="C7" s="50">
        <f t="shared" si="0"/>
        <v>8.3249465359104757</v>
      </c>
      <c r="D7" s="50">
        <f t="shared" si="0"/>
        <v>-1.1874606178981537</v>
      </c>
      <c r="E7" s="51">
        <f t="shared" si="6"/>
        <v>69.304734825767824</v>
      </c>
      <c r="F7" s="51">
        <f t="shared" si="6"/>
        <v>1.4100627190590651</v>
      </c>
      <c r="G7" s="52">
        <f t="shared" si="7"/>
        <v>-9.8855461575013486</v>
      </c>
      <c r="H7" s="59" t="s">
        <v>62</v>
      </c>
      <c r="I7" s="58">
        <f>SUM(G:G)</f>
        <v>-468.11124160427767</v>
      </c>
      <c r="J7" s="51">
        <f t="shared" si="1"/>
        <v>9.527667915935659</v>
      </c>
      <c r="K7" s="51">
        <f t="shared" si="2"/>
        <v>-1.4935919776713824</v>
      </c>
      <c r="L7" s="55">
        <f t="shared" si="3"/>
        <v>2.5241182154189606E-2</v>
      </c>
      <c r="M7" s="51">
        <f t="shared" si="4"/>
        <v>-1.518833159825572</v>
      </c>
      <c r="N7" s="94">
        <f t="shared" si="8"/>
        <v>3370294998.8526707</v>
      </c>
      <c r="O7" s="56">
        <f t="shared" si="9"/>
        <v>3.2092830496799868E-2</v>
      </c>
      <c r="P7" s="57">
        <f t="shared" si="5"/>
        <v>3.0280764817462273E-2</v>
      </c>
      <c r="R7" s="47"/>
      <c r="S7" s="47"/>
      <c r="T7" s="47"/>
    </row>
    <row r="8" spans="1:20" ht="12.75" customHeight="1" x14ac:dyDescent="0.35">
      <c r="A8" s="49">
        <f>'New Vestas G27 60L'!O13</f>
        <v>246543368.57286987</v>
      </c>
      <c r="B8" s="48">
        <f>'New Vestas G27 60L'!X13</f>
        <v>6.3416209034051207E-2</v>
      </c>
      <c r="C8" s="50">
        <f t="shared" si="0"/>
        <v>8.3918933255410888</v>
      </c>
      <c r="D8" s="50">
        <f t="shared" si="0"/>
        <v>-1.1977997232802595</v>
      </c>
      <c r="E8" s="51">
        <f t="shared" si="6"/>
        <v>70.42387358726107</v>
      </c>
      <c r="F8" s="51">
        <f t="shared" si="6"/>
        <v>1.4347241770902663</v>
      </c>
      <c r="G8" s="52">
        <f t="shared" si="7"/>
        <v>-10.051807503130574</v>
      </c>
      <c r="H8" s="53" t="s">
        <v>63</v>
      </c>
      <c r="I8" s="58">
        <f>+I5-I3^2/$I$2</f>
        <v>4.2897342319329255</v>
      </c>
      <c r="J8" s="51">
        <f t="shared" si="1"/>
        <v>9.5232169856224296</v>
      </c>
      <c r="K8" s="51">
        <f t="shared" si="2"/>
        <v>-1.4924469993011651</v>
      </c>
      <c r="L8" s="55">
        <f t="shared" si="3"/>
        <v>2.5130844035585975E-2</v>
      </c>
      <c r="M8" s="51">
        <f t="shared" si="4"/>
        <v>-1.5175778433367511</v>
      </c>
      <c r="N8" s="94">
        <f t="shared" si="8"/>
        <v>3335930435.1139498</v>
      </c>
      <c r="O8" s="56">
        <f t="shared" si="9"/>
        <v>3.2177551991358369E-2</v>
      </c>
      <c r="P8" s="57">
        <f t="shared" si="5"/>
        <v>3.0368417168973025E-2</v>
      </c>
      <c r="R8" s="47"/>
      <c r="S8" s="47"/>
      <c r="T8" s="47"/>
    </row>
    <row r="9" spans="1:20" ht="12.75" customHeight="1" x14ac:dyDescent="0.35">
      <c r="A9" s="49">
        <f>'New Vestas G27 60L'!O14</f>
        <v>281763849.79756558</v>
      </c>
      <c r="B9" s="48">
        <f>'New Vestas G27 60L'!X14</f>
        <v>6.1416432584628616E-2</v>
      </c>
      <c r="C9" s="50">
        <f t="shared" si="0"/>
        <v>8.4498852725187756</v>
      </c>
      <c r="D9" s="50">
        <f t="shared" si="0"/>
        <v>-1.211715413451496</v>
      </c>
      <c r="E9" s="51">
        <f t="shared" si="6"/>
        <v>71.400561118729698</v>
      </c>
      <c r="F9" s="51">
        <f t="shared" si="6"/>
        <v>1.46825424319593</v>
      </c>
      <c r="G9" s="52">
        <f t="shared" si="7"/>
        <v>-10.238856226607796</v>
      </c>
      <c r="H9" s="59" t="s">
        <v>64</v>
      </c>
      <c r="I9" s="58">
        <f>+I6-I4^2/$I$2</f>
        <v>0.30266315601177496</v>
      </c>
      <c r="J9" s="51">
        <f t="shared" si="1"/>
        <v>9.5187199665459943</v>
      </c>
      <c r="K9" s="51">
        <f t="shared" si="2"/>
        <v>-1.4912901648394641</v>
      </c>
      <c r="L9" s="55">
        <f t="shared" si="3"/>
        <v>2.5019423463180871E-2</v>
      </c>
      <c r="M9" s="51">
        <f t="shared" si="4"/>
        <v>-1.516309588302645</v>
      </c>
      <c r="N9" s="94">
        <f t="shared" si="8"/>
        <v>3301565871.3752255</v>
      </c>
      <c r="O9" s="56">
        <f t="shared" si="9"/>
        <v>3.2263377908426309E-2</v>
      </c>
      <c r="P9" s="57">
        <f t="shared" si="5"/>
        <v>3.0457230615145225E-2</v>
      </c>
      <c r="R9" s="47"/>
      <c r="S9" s="47"/>
      <c r="T9" s="47"/>
    </row>
    <row r="10" spans="1:20" ht="12.75" customHeight="1" x14ac:dyDescent="0.35">
      <c r="A10" s="49">
        <f>'New Vestas G27 60L'!O15</f>
        <v>316984331.02226126</v>
      </c>
      <c r="B10" s="48">
        <f>'New Vestas G27 60L'!X15</f>
        <v>5.8092982255365751E-2</v>
      </c>
      <c r="C10" s="50">
        <f t="shared" si="0"/>
        <v>8.5010377949661571</v>
      </c>
      <c r="D10" s="50">
        <f t="shared" si="0"/>
        <v>-1.235876328054605</v>
      </c>
      <c r="E10" s="51">
        <f t="shared" si="6"/>
        <v>72.267643591443061</v>
      </c>
      <c r="F10" s="51">
        <f t="shared" si="6"/>
        <v>1.5273902982457337</v>
      </c>
      <c r="G10" s="52">
        <f t="shared" si="7"/>
        <v>-10.50623137469619</v>
      </c>
      <c r="H10" s="59" t="s">
        <v>65</v>
      </c>
      <c r="I10" s="58">
        <f>+I7-I3*I4/$I$2</f>
        <v>-1.1035115276789043</v>
      </c>
      <c r="J10" s="51">
        <f t="shared" si="1"/>
        <v>9.5141758942251311</v>
      </c>
      <c r="K10" s="51">
        <f t="shared" si="2"/>
        <v>-1.4901212261785672</v>
      </c>
      <c r="L10" s="55">
        <f t="shared" si="3"/>
        <v>2.4906899240141705E-2</v>
      </c>
      <c r="M10" s="51">
        <f t="shared" si="4"/>
        <v>-1.515028125418709</v>
      </c>
      <c r="N10" s="94">
        <f t="shared" si="8"/>
        <v>3267201307.6364961</v>
      </c>
      <c r="O10" s="56">
        <f t="shared" si="9"/>
        <v>3.2350334367525227E-2</v>
      </c>
      <c r="P10" s="57">
        <f t="shared" si="5"/>
        <v>3.0547232793564544E-2</v>
      </c>
      <c r="R10" s="47"/>
      <c r="S10" s="47"/>
      <c r="T10" s="47"/>
    </row>
    <row r="11" spans="1:20" ht="12.75" customHeight="1" x14ac:dyDescent="0.35">
      <c r="A11" s="49">
        <f>'New Vestas G27 60L'!O16</f>
        <v>352204812.24695694</v>
      </c>
      <c r="B11" s="48">
        <f>'New Vestas G27 60L'!X16</f>
        <v>4.9772035843508054E-2</v>
      </c>
      <c r="C11" s="50">
        <f t="shared" si="0"/>
        <v>8.5467952855268319</v>
      </c>
      <c r="D11" s="50">
        <f t="shared" si="0"/>
        <v>-1.3030145947890519</v>
      </c>
      <c r="E11" s="51">
        <f t="shared" si="6"/>
        <v>73.047709652703674</v>
      </c>
      <c r="F11" s="51">
        <f t="shared" si="6"/>
        <v>1.6978470342332772</v>
      </c>
      <c r="G11" s="52">
        <f t="shared" si="7"/>
        <v>-11.136598995715724</v>
      </c>
      <c r="H11" s="59" t="s">
        <v>66</v>
      </c>
      <c r="I11" s="58">
        <f>+I3/$I$2</f>
        <v>8.6195944943008342</v>
      </c>
      <c r="J11" s="51">
        <f t="shared" si="1"/>
        <v>9.5095837735832429</v>
      </c>
      <c r="K11" s="51">
        <f t="shared" si="2"/>
        <v>-1.488939927340263</v>
      </c>
      <c r="L11" s="55">
        <f t="shared" si="3"/>
        <v>2.4793249551835393E-2</v>
      </c>
      <c r="M11" s="51">
        <f t="shared" si="4"/>
        <v>-1.5137331768920985</v>
      </c>
      <c r="N11" s="94">
        <f t="shared" si="8"/>
        <v>3232836743.8977737</v>
      </c>
      <c r="O11" s="56">
        <f t="shared" si="9"/>
        <v>3.2438448389009361E-2</v>
      </c>
      <c r="P11" s="57">
        <f t="shared" si="5"/>
        <v>3.0638452297100507E-2</v>
      </c>
      <c r="R11" s="47"/>
      <c r="S11" s="47"/>
      <c r="T11" s="47"/>
    </row>
    <row r="12" spans="1:20" ht="12.75" customHeight="1" x14ac:dyDescent="0.35">
      <c r="A12" s="49">
        <f>'New Vestas G27 60L'!O17</f>
        <v>387425293.47165269</v>
      </c>
      <c r="B12" s="48">
        <f>'New Vestas G27 60L'!X17</f>
        <v>4.9089418399388379E-2</v>
      </c>
      <c r="C12" s="50">
        <f t="shared" si="0"/>
        <v>8.5881879706850572</v>
      </c>
      <c r="D12" s="50">
        <f t="shared" si="0"/>
        <v>-1.3090121132949684</v>
      </c>
      <c r="E12" s="51">
        <f t="shared" si="6"/>
        <v>73.756972619819521</v>
      </c>
      <c r="F12" s="51">
        <f t="shared" si="6"/>
        <v>1.713512712752959</v>
      </c>
      <c r="G12" s="52">
        <f t="shared" si="7"/>
        <v>-11.242042084880872</v>
      </c>
      <c r="H12" s="59" t="s">
        <v>67</v>
      </c>
      <c r="I12" s="58">
        <f>+I4/$I$2</f>
        <v>-1.2599948747801553</v>
      </c>
      <c r="J12" s="51">
        <f t="shared" si="1"/>
        <v>9.504942577640433</v>
      </c>
      <c r="K12" s="51">
        <f t="shared" si="2"/>
        <v>-1.4877460041393848</v>
      </c>
      <c r="L12" s="55">
        <f t="shared" si="3"/>
        <v>2.4678451942181732E-2</v>
      </c>
      <c r="M12" s="51">
        <f t="shared" si="4"/>
        <v>-1.5124244560815665</v>
      </c>
      <c r="N12" s="94">
        <f t="shared" si="8"/>
        <v>3198472180.1590538</v>
      </c>
      <c r="O12" s="56">
        <f t="shared" si="9"/>
        <v>3.2527747935107716E-2</v>
      </c>
      <c r="P12" s="57">
        <f t="shared" si="5"/>
        <v>3.0730918717404222E-2</v>
      </c>
      <c r="R12" s="47"/>
      <c r="S12" s="47"/>
      <c r="T12" s="47"/>
    </row>
    <row r="13" spans="1:20" ht="12.75" customHeight="1" x14ac:dyDescent="0.35">
      <c r="A13" s="49">
        <f>'New Vestas G27 60L'!O18</f>
        <v>140881924.89878279</v>
      </c>
      <c r="B13" s="48">
        <f>'New Vestas G27 60L'!X18</f>
        <v>6.9664706025259468E-2</v>
      </c>
      <c r="C13" s="50">
        <f t="shared" si="0"/>
        <v>8.1488552768547944</v>
      </c>
      <c r="D13" s="50">
        <f t="shared" si="0"/>
        <v>-1.15698719120755</v>
      </c>
      <c r="E13" s="51">
        <f t="shared" si="6"/>
        <v>66.403842323124223</v>
      </c>
      <c r="F13" s="51">
        <f t="shared" si="6"/>
        <v>1.3386193606183359</v>
      </c>
      <c r="G13" s="52">
        <f t="shared" si="7"/>
        <v>-9.4281211783250516</v>
      </c>
      <c r="H13" s="59" t="s">
        <v>68</v>
      </c>
      <c r="I13" s="60">
        <f>+I10/I8</f>
        <v>-0.25724473079575128</v>
      </c>
      <c r="J13" s="51">
        <f t="shared" si="1"/>
        <v>9.5002512461349617</v>
      </c>
      <c r="K13" s="51">
        <f t="shared" si="2"/>
        <v>-1.4865391838291862</v>
      </c>
      <c r="L13" s="55">
        <f t="shared" si="3"/>
        <v>2.4562483288906239E-2</v>
      </c>
      <c r="M13" s="51">
        <f t="shared" si="4"/>
        <v>-1.5111016671180924</v>
      </c>
      <c r="N13" s="94">
        <f t="shared" si="8"/>
        <v>3164107616.4203324</v>
      </c>
      <c r="O13" s="56">
        <f t="shared" si="9"/>
        <v>3.261826195330006E-2</v>
      </c>
      <c r="P13" s="57">
        <f t="shared" si="5"/>
        <v>3.0824662690872712E-2</v>
      </c>
      <c r="R13" s="47"/>
      <c r="S13" s="47"/>
      <c r="T13" s="47"/>
    </row>
    <row r="14" spans="1:20" ht="12.75" customHeight="1" x14ac:dyDescent="0.35">
      <c r="A14" s="49">
        <f>'New Vestas G27 60L'!O19</f>
        <v>176102406.12347847</v>
      </c>
      <c r="B14" s="48">
        <f>'New Vestas G27 60L'!X19</f>
        <v>6.8768327046843478E-2</v>
      </c>
      <c r="C14" s="50">
        <f t="shared" si="0"/>
        <v>8.2457652898628506</v>
      </c>
      <c r="D14" s="50">
        <f t="shared" si="0"/>
        <v>-1.1626115407759341</v>
      </c>
      <c r="E14" s="51">
        <f t="shared" si="6"/>
        <v>67.992645215506982</v>
      </c>
      <c r="F14" s="51">
        <f t="shared" si="6"/>
        <v>1.3516655947453915</v>
      </c>
      <c r="G14" s="52">
        <f t="shared" si="7"/>
        <v>-9.5866218885241654</v>
      </c>
      <c r="H14" s="59" t="s">
        <v>69</v>
      </c>
      <c r="I14" s="60">
        <f>+I12-I13*I11</f>
        <v>0.95735039047480264</v>
      </c>
      <c r="J14" s="51">
        <f t="shared" si="1"/>
        <v>9.4955086840694154</v>
      </c>
      <c r="K14" s="51">
        <f t="shared" si="2"/>
        <v>-1.4853191847273526</v>
      </c>
      <c r="L14" s="55">
        <f t="shared" si="3"/>
        <v>2.444531977763292E-2</v>
      </c>
      <c r="M14" s="51">
        <f t="shared" si="4"/>
        <v>-1.5097645045049854</v>
      </c>
      <c r="N14" s="94">
        <f t="shared" si="8"/>
        <v>3129743052.6816144</v>
      </c>
      <c r="O14" s="56">
        <f t="shared" si="9"/>
        <v>3.2710020422186514E-2</v>
      </c>
      <c r="P14" s="57">
        <f t="shared" si="5"/>
        <v>3.0919715947248131E-2</v>
      </c>
      <c r="R14" s="47"/>
      <c r="S14" s="47"/>
      <c r="T14" s="47"/>
    </row>
    <row r="15" spans="1:20" ht="12.75" customHeight="1" thickBot="1" x14ac:dyDescent="0.4">
      <c r="A15" s="49">
        <f>'New Vestas G27 60L'!O20</f>
        <v>211322887.34817418</v>
      </c>
      <c r="B15" s="48">
        <f>'New Vestas G27 60L'!X20</f>
        <v>6.7820495226105476E-2</v>
      </c>
      <c r="C15" s="50">
        <f t="shared" si="0"/>
        <v>8.3249465359104757</v>
      </c>
      <c r="D15" s="50">
        <f t="shared" si="0"/>
        <v>-1.1686390433226086</v>
      </c>
      <c r="E15" s="51">
        <f t="shared" si="6"/>
        <v>69.304734825767824</v>
      </c>
      <c r="F15" s="51">
        <f t="shared" si="6"/>
        <v>1.3657172135779818</v>
      </c>
      <c r="G15" s="52">
        <f t="shared" si="7"/>
        <v>-9.7288575554382835</v>
      </c>
      <c r="H15" s="61" t="s">
        <v>70</v>
      </c>
      <c r="I15" s="62">
        <f>+I10^2/(I8*I9)</f>
        <v>0.93791570010828829</v>
      </c>
      <c r="J15" s="51">
        <f t="shared" si="1"/>
        <v>9.4907137601766181</v>
      </c>
      <c r="K15" s="51">
        <f t="shared" si="2"/>
        <v>-1.4840857158213638</v>
      </c>
      <c r="L15" s="55">
        <f t="shared" si="3"/>
        <v>2.4326936874755394E-2</v>
      </c>
      <c r="M15" s="51">
        <f t="shared" si="4"/>
        <v>-1.5084126526961192</v>
      </c>
      <c r="N15" s="94">
        <f t="shared" si="8"/>
        <v>3095378488.9428968</v>
      </c>
      <c r="O15" s="56">
        <f t="shared" si="9"/>
        <v>3.2803054400023915E-2</v>
      </c>
      <c r="P15" s="57">
        <f t="shared" si="5"/>
        <v>3.1016111361033237E-2</v>
      </c>
      <c r="R15" s="47"/>
      <c r="S15" s="47"/>
      <c r="T15" s="47"/>
    </row>
    <row r="16" spans="1:20" ht="12.75" customHeight="1" x14ac:dyDescent="0.35">
      <c r="A16" s="49">
        <f>'New Vestas G27 60L'!O21</f>
        <v>246543368.57286987</v>
      </c>
      <c r="B16" s="48">
        <f>'New Vestas G27 60L'!X21</f>
        <v>6.7334785142997289E-2</v>
      </c>
      <c r="C16" s="50">
        <f t="shared" si="0"/>
        <v>8.3918933255410888</v>
      </c>
      <c r="D16" s="50">
        <f t="shared" si="0"/>
        <v>-1.171760521320635</v>
      </c>
      <c r="E16" s="51">
        <f t="shared" si="6"/>
        <v>70.42387358726107</v>
      </c>
      <c r="F16" s="51">
        <f t="shared" si="6"/>
        <v>1.3730227193256064</v>
      </c>
      <c r="G16" s="52">
        <f t="shared" si="7"/>
        <v>-9.8332892980031836</v>
      </c>
      <c r="H16" s="63" t="s">
        <v>71</v>
      </c>
      <c r="I16" s="64"/>
      <c r="J16" s="51">
        <f t="shared" si="1"/>
        <v>9.4858653052999067</v>
      </c>
      <c r="K16" s="51">
        <f t="shared" si="2"/>
        <v>-1.4828384763518287</v>
      </c>
      <c r="L16" s="55">
        <f t="shared" si="3"/>
        <v>2.4207309299020995E-2</v>
      </c>
      <c r="M16" s="51">
        <f t="shared" si="4"/>
        <v>-1.5070457856508497</v>
      </c>
      <c r="N16" s="94">
        <f t="shared" si="8"/>
        <v>3061013925.2041717</v>
      </c>
      <c r="O16" s="56">
        <f t="shared" si="9"/>
        <v>3.2897396076114652E-2</v>
      </c>
      <c r="P16" s="57">
        <f t="shared" si="5"/>
        <v>3.1113883005919107E-2</v>
      </c>
      <c r="R16" s="47"/>
      <c r="S16" s="47"/>
      <c r="T16" s="47"/>
    </row>
    <row r="17" spans="1:20" ht="12.75" customHeight="1" x14ac:dyDescent="0.35">
      <c r="A17" s="49">
        <f>'New Vestas G27 60L'!O22</f>
        <v>281763849.79756558</v>
      </c>
      <c r="B17" s="48">
        <f>'New Vestas G27 60L'!X22</f>
        <v>6.437349628870212E-2</v>
      </c>
      <c r="C17" s="50">
        <f t="shared" si="0"/>
        <v>8.4498852725187756</v>
      </c>
      <c r="D17" s="50">
        <f t="shared" si="0"/>
        <v>-1.1912929025899197</v>
      </c>
      <c r="E17" s="51">
        <f t="shared" si="6"/>
        <v>71.400561118729698</v>
      </c>
      <c r="F17" s="51">
        <f t="shared" si="6"/>
        <v>1.4191787797611159</v>
      </c>
      <c r="G17" s="52">
        <f t="shared" si="7"/>
        <v>-10.066288352850707</v>
      </c>
      <c r="H17" s="53" t="s">
        <v>72</v>
      </c>
      <c r="I17" s="65">
        <f>(+I9-(+I10^2/I8))/($I$2-2)</f>
        <v>4.5830805229285374E-4</v>
      </c>
      <c r="J17" s="51">
        <f t="shared" si="1"/>
        <v>9.4809621106819666</v>
      </c>
      <c r="K17" s="51">
        <f t="shared" si="2"/>
        <v>-1.4815771553722978</v>
      </c>
      <c r="L17" s="55">
        <f t="shared" si="3"/>
        <v>2.4086410991758653E-2</v>
      </c>
      <c r="M17" s="51">
        <f t="shared" si="4"/>
        <v>-1.5056635663640565</v>
      </c>
      <c r="N17" s="94">
        <f t="shared" si="8"/>
        <v>3026649361.4654408</v>
      </c>
      <c r="O17" s="56">
        <f t="shared" si="9"/>
        <v>3.2993078825250433E-2</v>
      </c>
      <c r="P17" s="57">
        <f t="shared" si="5"/>
        <v>3.1213066212436739E-2</v>
      </c>
      <c r="R17" s="47"/>
      <c r="S17" s="47"/>
      <c r="T17" s="47"/>
    </row>
    <row r="18" spans="1:20" ht="12.75" customHeight="1" x14ac:dyDescent="0.35">
      <c r="A18" s="49">
        <f>'New Vestas G27 60L'!O23</f>
        <v>316984331.02226126</v>
      </c>
      <c r="B18" s="48">
        <f>'New Vestas G27 60L'!X23</f>
        <v>6.3539644419278299E-2</v>
      </c>
      <c r="C18" s="50">
        <f t="shared" si="0"/>
        <v>8.5010377949661571</v>
      </c>
      <c r="D18" s="50">
        <f t="shared" si="0"/>
        <v>-1.1969552199019686</v>
      </c>
      <c r="E18" s="51">
        <f t="shared" si="6"/>
        <v>72.267643591443061</v>
      </c>
      <c r="F18" s="51">
        <f t="shared" si="6"/>
        <v>1.4327017984505701</v>
      </c>
      <c r="G18" s="52">
        <f t="shared" si="7"/>
        <v>-10.175361563268662</v>
      </c>
      <c r="H18" s="66" t="s">
        <v>53</v>
      </c>
      <c r="I18" s="67">
        <v>0.95</v>
      </c>
      <c r="J18" s="51">
        <f t="shared" si="1"/>
        <v>9.4760029261559691</v>
      </c>
      <c r="K18" s="51">
        <f t="shared" si="2"/>
        <v>-1.4803014312839409</v>
      </c>
      <c r="L18" s="55">
        <f t="shared" si="3"/>
        <v>2.3964215085677969E-2</v>
      </c>
      <c r="M18" s="51">
        <f t="shared" si="4"/>
        <v>-1.5042656463696189</v>
      </c>
      <c r="N18" s="94">
        <f t="shared" si="8"/>
        <v>2992284797.7267156</v>
      </c>
      <c r="O18" s="56">
        <f t="shared" si="9"/>
        <v>3.3090137265429302E-2</v>
      </c>
      <c r="P18" s="57">
        <f t="shared" si="5"/>
        <v>3.1313697629062741E-2</v>
      </c>
      <c r="R18" s="47"/>
      <c r="S18" s="47"/>
      <c r="T18" s="47"/>
    </row>
    <row r="19" spans="1:20" ht="12.75" customHeight="1" x14ac:dyDescent="0.35">
      <c r="A19" s="49">
        <f>'New Vestas G27 60L'!O24</f>
        <v>387425293.47165269</v>
      </c>
      <c r="B19" s="48">
        <f>'New Vestas G27 60L'!X24</f>
        <v>5.674989593327015E-2</v>
      </c>
      <c r="C19" s="50">
        <f t="shared" si="0"/>
        <v>8.5881879706850572</v>
      </c>
      <c r="D19" s="50">
        <f t="shared" si="0"/>
        <v>-1.2460349305339227</v>
      </c>
      <c r="E19" s="51">
        <f t="shared" si="6"/>
        <v>73.756972619819521</v>
      </c>
      <c r="F19" s="51">
        <f t="shared" si="6"/>
        <v>1.5526030481106774</v>
      </c>
      <c r="G19" s="52">
        <f t="shared" si="7"/>
        <v>-10.701182201464826</v>
      </c>
      <c r="H19" s="53" t="s">
        <v>73</v>
      </c>
      <c r="I19" s="68">
        <f>_xlfn.T.INV(1-(1-I18)/2,I2-2)</f>
        <v>2.0195409704413745</v>
      </c>
      <c r="J19" s="51">
        <f t="shared" si="1"/>
        <v>9.4709864582322236</v>
      </c>
      <c r="K19" s="51">
        <f t="shared" si="2"/>
        <v>-1.4790109713433517</v>
      </c>
      <c r="L19" s="55">
        <f t="shared" si="3"/>
        <v>2.3840693872162123E-2</v>
      </c>
      <c r="M19" s="51">
        <f t="shared" si="4"/>
        <v>-1.5028516652155137</v>
      </c>
      <c r="N19" s="94">
        <f t="shared" si="8"/>
        <v>2957920233.9880018</v>
      </c>
      <c r="O19" s="56">
        <f t="shared" si="9"/>
        <v>3.3188607319082804E-2</v>
      </c>
      <c r="P19" s="57">
        <f t="shared" si="5"/>
        <v>3.1415815287026527E-2</v>
      </c>
      <c r="R19" s="47"/>
      <c r="S19" s="47"/>
      <c r="T19" s="47"/>
    </row>
    <row r="20" spans="1:20" ht="12.75" customHeight="1" x14ac:dyDescent="0.35">
      <c r="A20" s="49">
        <f>'New Vestas G27 60L'!O25</f>
        <v>422645774.69634837</v>
      </c>
      <c r="B20" s="48">
        <f>'New Vestas G27 60L'!X25</f>
        <v>5.4469228512949545E-2</v>
      </c>
      <c r="C20" s="50">
        <f t="shared" si="0"/>
        <v>8.625976531574457</v>
      </c>
      <c r="D20" s="50">
        <f t="shared" si="0"/>
        <v>-1.2638487759099348</v>
      </c>
      <c r="E20" s="51">
        <f t="shared" si="6"/>
        <v>74.407471123273297</v>
      </c>
      <c r="F20" s="51">
        <f t="shared" si="6"/>
        <v>1.5973137283690406</v>
      </c>
      <c r="G20" s="52">
        <f t="shared" si="7"/>
        <v>-10.901929880458203</v>
      </c>
      <c r="H20" s="53" t="s">
        <v>74</v>
      </c>
      <c r="I20" s="68">
        <f>_xlfn.F.INV(I18,2,I2-2)</f>
        <v>3.2256838422954499</v>
      </c>
      <c r="J20" s="51">
        <f t="shared" si="1"/>
        <v>9.4659113680730371</v>
      </c>
      <c r="K20" s="51">
        <f t="shared" si="2"/>
        <v>-1.4777054311415876</v>
      </c>
      <c r="L20" s="55">
        <f t="shared" si="3"/>
        <v>2.3715818766974116E-2</v>
      </c>
      <c r="M20" s="51">
        <f t="shared" si="4"/>
        <v>-1.5014212499085617</v>
      </c>
      <c r="N20" s="94">
        <f t="shared" si="8"/>
        <v>2923555670.2492785</v>
      </c>
      <c r="O20" s="56">
        <f t="shared" si="9"/>
        <v>3.3288526278070822E-2</v>
      </c>
      <c r="P20" s="57">
        <f t="shared" si="5"/>
        <v>3.1519458669089756E-2</v>
      </c>
      <c r="R20" s="47"/>
      <c r="S20" s="47"/>
      <c r="T20" s="47"/>
    </row>
    <row r="21" spans="1:20" ht="12.75" customHeight="1" x14ac:dyDescent="0.35">
      <c r="A21" s="49">
        <f>'New Vestas G27 60L'!O26</f>
        <v>176102406.12347847</v>
      </c>
      <c r="B21" s="48">
        <f>'New Vestas G27 60L'!X26</f>
        <v>7.3691748175305896E-2</v>
      </c>
      <c r="C21" s="50">
        <f t="shared" si="0"/>
        <v>8.2457652898628506</v>
      </c>
      <c r="D21" s="50">
        <f t="shared" si="0"/>
        <v>-1.1325811406697284</v>
      </c>
      <c r="E21" s="51">
        <f t="shared" si="6"/>
        <v>67.992645215506982</v>
      </c>
      <c r="F21" s="51">
        <f t="shared" si="6"/>
        <v>1.2827400402007429</v>
      </c>
      <c r="G21" s="52">
        <f t="shared" si="7"/>
        <v>-9.3389982576877202</v>
      </c>
      <c r="H21" s="53" t="s">
        <v>75</v>
      </c>
      <c r="I21" s="68">
        <f>I19*SQRT(I17)*(($I$8)^(-1/2))</f>
        <v>2.0874506581879795E-2</v>
      </c>
      <c r="J21" s="51">
        <f t="shared" si="1"/>
        <v>9.4607762693478357</v>
      </c>
      <c r="K21" s="51">
        <f t="shared" si="2"/>
        <v>-1.4763844540524134</v>
      </c>
      <c r="L21" s="55">
        <f t="shared" si="3"/>
        <v>2.35895602742907E-2</v>
      </c>
      <c r="M21" s="51">
        <f t="shared" si="4"/>
        <v>-1.499974014326704</v>
      </c>
      <c r="N21" s="94">
        <f t="shared" si="8"/>
        <v>2889191106.5105586</v>
      </c>
      <c r="O21" s="56">
        <f t="shared" si="9"/>
        <v>3.3389932872722468E-2</v>
      </c>
      <c r="P21" s="57">
        <f t="shared" si="5"/>
        <v>3.1624668782589328E-2</v>
      </c>
      <c r="R21" s="47"/>
      <c r="S21" s="47"/>
      <c r="T21" s="47"/>
    </row>
    <row r="22" spans="1:20" ht="12.75" customHeight="1" thickBot="1" x14ac:dyDescent="0.4">
      <c r="A22" s="49">
        <f>'New Vestas G27 60L'!O27</f>
        <v>211322887.34817418</v>
      </c>
      <c r="B22" s="48">
        <f>'New Vestas G27 60L'!X27</f>
        <v>6.8849065210035379E-2</v>
      </c>
      <c r="C22" s="50">
        <f t="shared" si="0"/>
        <v>8.3249465359104757</v>
      </c>
      <c r="D22" s="50">
        <f t="shared" si="0"/>
        <v>-1.1621019519485156</v>
      </c>
      <c r="E22" s="51">
        <f t="shared" si="6"/>
        <v>69.304734825767824</v>
      </c>
      <c r="F22" s="51">
        <f t="shared" si="6"/>
        <v>1.35048094672255</v>
      </c>
      <c r="G22" s="52">
        <f t="shared" si="7"/>
        <v>-9.6744366192485973</v>
      </c>
      <c r="H22" s="61" t="s">
        <v>76</v>
      </c>
      <c r="I22" s="69">
        <f>I19*SQRT(I17)*(1/I2+I11^2/I8)^(1/2)</f>
        <v>0.18005053991982345</v>
      </c>
      <c r="J22" s="51">
        <f t="shared" si="1"/>
        <v>9.4555797259599625</v>
      </c>
      <c r="K22" s="51">
        <f t="shared" si="2"/>
        <v>-1.4750476706475317</v>
      </c>
      <c r="L22" s="55">
        <f t="shared" si="3"/>
        <v>2.3461887948974452E-2</v>
      </c>
      <c r="M22" s="51">
        <f t="shared" si="4"/>
        <v>-1.4985095585965063</v>
      </c>
      <c r="N22" s="94">
        <f t="shared" si="8"/>
        <v>2854826542.7718415</v>
      </c>
      <c r="O22" s="56">
        <f t="shared" si="9"/>
        <v>3.3492867345227002E-2</v>
      </c>
      <c r="P22" s="57">
        <f t="shared" si="5"/>
        <v>3.1731488237062087E-2</v>
      </c>
      <c r="R22" s="47"/>
      <c r="S22" s="47"/>
      <c r="T22" s="47"/>
    </row>
    <row r="23" spans="1:20" ht="12.75" customHeight="1" x14ac:dyDescent="0.35">
      <c r="A23" s="49">
        <f>'New Vestas G27 60L'!O28</f>
        <v>246543368.57286987</v>
      </c>
      <c r="B23" s="48">
        <f>'New Vestas G27 60L'!X28</f>
        <v>6.3421114603097656E-2</v>
      </c>
      <c r="C23" s="50">
        <f t="shared" si="0"/>
        <v>8.3918933255410888</v>
      </c>
      <c r="D23" s="50">
        <f t="shared" si="0"/>
        <v>-1.1977661296737809</v>
      </c>
      <c r="E23" s="51">
        <f t="shared" si="6"/>
        <v>70.42387358726107</v>
      </c>
      <c r="F23" s="51">
        <f t="shared" si="6"/>
        <v>1.4346437013937086</v>
      </c>
      <c r="G23" s="52">
        <f t="shared" si="7"/>
        <v>-10.051525589168584</v>
      </c>
      <c r="H23" s="63" t="s">
        <v>77</v>
      </c>
      <c r="I23" s="70"/>
      <c r="J23" s="51">
        <f t="shared" si="1"/>
        <v>9.4503202496358103</v>
      </c>
      <c r="K23" s="51">
        <f t="shared" si="2"/>
        <v>-1.4736946980763985</v>
      </c>
      <c r="L23" s="55">
        <f t="shared" si="3"/>
        <v>2.3332770356989132E-2</v>
      </c>
      <c r="M23" s="51">
        <f t="shared" si="4"/>
        <v>-1.4970274684333877</v>
      </c>
      <c r="N23" s="94">
        <f t="shared" si="8"/>
        <v>2820461979.0331235</v>
      </c>
      <c r="O23" s="56">
        <f t="shared" si="9"/>
        <v>3.3597371527705387E-2</v>
      </c>
      <c r="P23" s="57">
        <f t="shared" si="5"/>
        <v>3.1839961326797193E-2</v>
      </c>
      <c r="R23" s="47"/>
      <c r="S23" s="47"/>
      <c r="T23" s="47"/>
    </row>
    <row r="24" spans="1:20" ht="12.75" customHeight="1" x14ac:dyDescent="0.35">
      <c r="A24" s="49">
        <f>'New Vestas G27 60L'!O29</f>
        <v>281763849.79756558</v>
      </c>
      <c r="B24" s="48">
        <f>'New Vestas G27 60L'!X29</f>
        <v>6.2675680845554554E-2</v>
      </c>
      <c r="C24" s="50">
        <f t="shared" si="0"/>
        <v>8.4498852725187756</v>
      </c>
      <c r="D24" s="50">
        <f t="shared" si="0"/>
        <v>-1.2029009396057038</v>
      </c>
      <c r="E24" s="51">
        <f t="shared" si="6"/>
        <v>71.400561118729698</v>
      </c>
      <c r="F24" s="51">
        <f t="shared" si="6"/>
        <v>1.4469706705042851</v>
      </c>
      <c r="G24" s="52">
        <f t="shared" si="7"/>
        <v>-10.164374933873233</v>
      </c>
      <c r="H24" s="66" t="s">
        <v>78</v>
      </c>
      <c r="I24" s="71">
        <f>10^(MAX(C:C))</f>
        <v>3542117817.5462699</v>
      </c>
      <c r="J24" s="51">
        <f t="shared" si="1"/>
        <v>9.444996297366183</v>
      </c>
      <c r="K24" s="51">
        <f t="shared" si="2"/>
        <v>-1.4723251394080288</v>
      </c>
      <c r="L24" s="55">
        <f t="shared" si="3"/>
        <v>2.3202175033859896E-2</v>
      </c>
      <c r="M24" s="51">
        <f t="shared" si="4"/>
        <v>-1.4955273144418886</v>
      </c>
      <c r="N24" s="94">
        <f t="shared" si="8"/>
        <v>2786097415.2943945</v>
      </c>
      <c r="O24" s="56">
        <f t="shared" si="9"/>
        <v>3.3703488925320609E-2</v>
      </c>
      <c r="P24" s="57">
        <f t="shared" si="5"/>
        <v>3.1950134118690549E-2</v>
      </c>
      <c r="R24" s="47"/>
      <c r="S24" s="47"/>
      <c r="T24" s="47"/>
    </row>
    <row r="25" spans="1:20" ht="12.75" customHeight="1" thickBot="1" x14ac:dyDescent="0.4">
      <c r="A25" s="49">
        <f>'New Vestas G27 60L'!O30</f>
        <v>316984331.02226126</v>
      </c>
      <c r="B25" s="48">
        <f>'New Vestas G27 60L'!X30</f>
        <v>6.0899192397184415E-2</v>
      </c>
      <c r="C25" s="50">
        <f t="shared" si="0"/>
        <v>8.5010377949661571</v>
      </c>
      <c r="D25" s="50">
        <f t="shared" si="0"/>
        <v>-1.2153884666408847</v>
      </c>
      <c r="E25" s="51">
        <f t="shared" si="6"/>
        <v>72.267643591443061</v>
      </c>
      <c r="F25" s="51">
        <f t="shared" si="6"/>
        <v>1.4771691248436809</v>
      </c>
      <c r="G25" s="52">
        <f t="shared" si="7"/>
        <v>-10.332063290480125</v>
      </c>
      <c r="H25" s="72" t="s">
        <v>79</v>
      </c>
      <c r="I25" s="73">
        <f>10^(MIN(C:C))</f>
        <v>105661443.67408726</v>
      </c>
      <c r="J25" s="51">
        <f t="shared" si="1"/>
        <v>9.4396062686888662</v>
      </c>
      <c r="K25" s="51">
        <f t="shared" si="2"/>
        <v>-1.470938582931951</v>
      </c>
      <c r="L25" s="55">
        <f t="shared" si="3"/>
        <v>2.3070068441074048E-2</v>
      </c>
      <c r="M25" s="51">
        <f t="shared" si="4"/>
        <v>-1.4940086513730251</v>
      </c>
      <c r="N25" s="94">
        <f t="shared" si="8"/>
        <v>2751732851.5556779</v>
      </c>
      <c r="O25" s="56">
        <f t="shared" si="9"/>
        <v>3.3811264804820482E-2</v>
      </c>
      <c r="P25" s="57">
        <f t="shared" si="5"/>
        <v>3.206205454581211E-2</v>
      </c>
      <c r="R25" s="47"/>
      <c r="S25" s="47"/>
      <c r="T25" s="47"/>
    </row>
    <row r="26" spans="1:20" ht="12.75" customHeight="1" x14ac:dyDescent="0.35">
      <c r="A26" s="49">
        <f>'New Vestas G27 60L'!O31</f>
        <v>352204812.24695694</v>
      </c>
      <c r="B26" s="48">
        <f>'New Vestas G27 60L'!X31</f>
        <v>5.7422834821048249E-2</v>
      </c>
      <c r="C26" s="50">
        <f t="shared" si="0"/>
        <v>8.5467952855268319</v>
      </c>
      <c r="D26" s="50">
        <f t="shared" si="0"/>
        <v>-1.2409153712831105</v>
      </c>
      <c r="E26" s="51">
        <f t="shared" si="6"/>
        <v>73.047709652703674</v>
      </c>
      <c r="F26" s="51">
        <f t="shared" si="6"/>
        <v>1.5398709586866999</v>
      </c>
      <c r="G26" s="52">
        <f t="shared" si="7"/>
        <v>-10.605849645020268</v>
      </c>
      <c r="H26" s="63" t="s">
        <v>80</v>
      </c>
      <c r="I26" s="70"/>
      <c r="J26" s="51">
        <f t="shared" si="1"/>
        <v>9.4341485028004382</v>
      </c>
      <c r="K26" s="51">
        <f t="shared" si="2"/>
        <v>-1.4695346014152362</v>
      </c>
      <c r="L26" s="55">
        <f t="shared" si="3"/>
        <v>2.2936415920313872E-2</v>
      </c>
      <c r="M26" s="51">
        <f t="shared" si="4"/>
        <v>-1.49247101733555</v>
      </c>
      <c r="N26" s="94">
        <f t="shared" si="8"/>
        <v>2717368287.8169565</v>
      </c>
      <c r="O26" s="56">
        <f t="shared" si="9"/>
        <v>3.3920746288939534E-2</v>
      </c>
      <c r="P26" s="57">
        <f t="shared" si="5"/>
        <v>3.2175772507132119E-2</v>
      </c>
      <c r="R26" s="47" t="s">
        <v>81</v>
      </c>
      <c r="S26" s="47"/>
      <c r="T26" s="47"/>
    </row>
    <row r="27" spans="1:20" ht="12.75" customHeight="1" x14ac:dyDescent="0.35">
      <c r="A27" s="49">
        <f>'New Vestas G27 60L'!O32</f>
        <v>573388253.43339479</v>
      </c>
      <c r="B27" s="48">
        <f>'New Vestas G27 60L'!X32</f>
        <v>5.2064725892779315E-2</v>
      </c>
      <c r="C27" s="50">
        <f t="shared" si="0"/>
        <v>8.7584487916427083</v>
      </c>
      <c r="D27" s="50">
        <f t="shared" si="0"/>
        <v>-1.2834564137142159</v>
      </c>
      <c r="E27" s="51">
        <f t="shared" si="6"/>
        <v>76.710425235827614</v>
      </c>
      <c r="F27" s="51">
        <f t="shared" si="6"/>
        <v>1.6472603659041567</v>
      </c>
      <c r="G27" s="52">
        <f t="shared" si="7"/>
        <v>-11.241087275821359</v>
      </c>
      <c r="H27" s="53" t="str">
        <f>"m lower " &amp; TEXT(I18,"##%") &amp; " conf"</f>
        <v>m lower 95% conf</v>
      </c>
      <c r="I27" s="74">
        <f>-I13-I21</f>
        <v>0.23637022421387149</v>
      </c>
      <c r="J27" s="51">
        <f t="shared" si="1"/>
        <v>9.4286212754842769</v>
      </c>
      <c r="K27" s="51">
        <f t="shared" si="2"/>
        <v>-1.4681127513122432</v>
      </c>
      <c r="L27" s="55">
        <f t="shared" si="3"/>
        <v>2.2801181645408116E-2</v>
      </c>
      <c r="M27" s="51">
        <f t="shared" si="4"/>
        <v>-1.4909139329576513</v>
      </c>
      <c r="N27" s="94">
        <f t="shared" si="8"/>
        <v>2683003724.0782328</v>
      </c>
      <c r="O27" s="56">
        <f t="shared" si="9"/>
        <v>3.4031982457128233E-2</v>
      </c>
      <c r="P27" s="57">
        <f t="shared" si="5"/>
        <v>3.2291339973893225E-2</v>
      </c>
      <c r="R27" s="47"/>
      <c r="S27" s="47"/>
      <c r="T27" s="47"/>
    </row>
    <row r="28" spans="1:20" ht="12.75" customHeight="1" x14ac:dyDescent="0.35">
      <c r="A28" s="49">
        <f>'New Vestas G27 60L'!O33</f>
        <v>661601830.88468611</v>
      </c>
      <c r="B28" s="48">
        <f>'New Vestas G27 60L'!X33</f>
        <v>4.9566299170730986E-2</v>
      </c>
      <c r="C28" s="50">
        <f t="shared" si="0"/>
        <v>8.8205966983915527</v>
      </c>
      <c r="D28" s="50">
        <f t="shared" si="0"/>
        <v>-1.30481350614489</v>
      </c>
      <c r="E28" s="51">
        <f t="shared" si="6"/>
        <v>77.802926115675959</v>
      </c>
      <c r="F28" s="51">
        <f t="shared" si="6"/>
        <v>1.7025382858181208</v>
      </c>
      <c r="G28" s="52">
        <f t="shared" si="7"/>
        <v>-11.509233704318323</v>
      </c>
      <c r="H28" s="75" t="s">
        <v>82</v>
      </c>
      <c r="I28" s="76">
        <f>-I13</f>
        <v>0.25724473079575128</v>
      </c>
      <c r="J28" s="51">
        <f t="shared" si="1"/>
        <v>9.4230227958405575</v>
      </c>
      <c r="K28" s="51">
        <f t="shared" si="2"/>
        <v>-1.466672571923429</v>
      </c>
      <c r="L28" s="55">
        <f t="shared" si="3"/>
        <v>2.2664328571884378E-2</v>
      </c>
      <c r="M28" s="51">
        <f t="shared" si="4"/>
        <v>-1.4893369004953134</v>
      </c>
      <c r="N28" s="94">
        <f t="shared" si="8"/>
        <v>2648639160.3395114</v>
      </c>
      <c r="O28" s="56">
        <f t="shared" si="9"/>
        <v>3.4145024453119836E-2</v>
      </c>
      <c r="P28" s="57">
        <f t="shared" si="5"/>
        <v>3.240881110316151E-2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60L'!O34</f>
        <v>705708619.61033213</v>
      </c>
      <c r="B29" s="48">
        <f>'New Vestas G27 60L'!X34</f>
        <v>4.6238650654597022E-2</v>
      </c>
      <c r="C29" s="50">
        <f t="shared" si="0"/>
        <v>8.8486254219917964</v>
      </c>
      <c r="D29" s="50">
        <f t="shared" si="0"/>
        <v>-1.3349948480696465</v>
      </c>
      <c r="E29" s="51">
        <f t="shared" si="6"/>
        <v>78.298171858719499</v>
      </c>
      <c r="F29" s="51">
        <f t="shared" si="6"/>
        <v>1.7822112443724987</v>
      </c>
      <c r="G29" s="52">
        <f t="shared" si="7"/>
        <v>-11.812869350857151</v>
      </c>
      <c r="H29" s="77" t="str">
        <f>"m upper " &amp; TEXT(I18,"##%") &amp; " conf"</f>
        <v>m upper 95% conf</v>
      </c>
      <c r="I29" s="74">
        <f>-I13+I21</f>
        <v>0.27811923737763106</v>
      </c>
      <c r="J29" s="51">
        <f t="shared" si="1"/>
        <v>9.417351202802708</v>
      </c>
      <c r="K29" s="51">
        <f t="shared" si="2"/>
        <v>-1.4652135844992245</v>
      </c>
      <c r="L29" s="55">
        <f t="shared" si="3"/>
        <v>2.2525818383999523E-2</v>
      </c>
      <c r="M29" s="51">
        <f t="shared" si="4"/>
        <v>-1.487739402883224</v>
      </c>
      <c r="N29" s="94">
        <f t="shared" si="8"/>
        <v>2614274596.6007829</v>
      </c>
      <c r="O29" s="56">
        <f t="shared" si="9"/>
        <v>3.4259925599895741E-2</v>
      </c>
      <c r="P29" s="57">
        <f t="shared" si="5"/>
        <v>3.2528242359138648E-2</v>
      </c>
      <c r="R29" s="47"/>
      <c r="S29" s="47"/>
      <c r="T29" s="47"/>
    </row>
    <row r="30" spans="1:20" ht="12.75" customHeight="1" x14ac:dyDescent="0.35">
      <c r="A30" s="49">
        <f>'New Vestas G27 60L'!O35</f>
        <v>1014456140.6898522</v>
      </c>
      <c r="B30" s="48">
        <f>'New Vestas G27 60L'!X35</f>
        <v>4.4618182401749994E-2</v>
      </c>
      <c r="C30" s="50">
        <f t="shared" si="0"/>
        <v>9.0062332753534644</v>
      </c>
      <c r="D30" s="50">
        <f t="shared" si="0"/>
        <v>-1.350488125423053</v>
      </c>
      <c r="E30" s="51">
        <f t="shared" si="6"/>
        <v>81.112237810083997</v>
      </c>
      <c r="F30" s="51">
        <f t="shared" si="6"/>
        <v>1.8238181769086717</v>
      </c>
      <c r="G30" s="52">
        <f t="shared" si="7"/>
        <v>-12.162811093154822</v>
      </c>
      <c r="H30" s="77" t="str">
        <f>"C lower " &amp; TEXT(I18,"##%") &amp; " conf"</f>
        <v>C lower 95% conf</v>
      </c>
      <c r="I30" s="78">
        <f>10^(I14-I22)</f>
        <v>5.988248998893587</v>
      </c>
      <c r="J30" s="51">
        <f t="shared" si="1"/>
        <v>9.4116045614233776</v>
      </c>
      <c r="K30" s="51">
        <f t="shared" si="2"/>
        <v>-1.4637352912846189</v>
      </c>
      <c r="L30" s="55">
        <f t="shared" si="3"/>
        <v>2.2385611439121902E-2</v>
      </c>
      <c r="M30" s="51">
        <f t="shared" si="4"/>
        <v>-1.4861209027237408</v>
      </c>
      <c r="N30" s="94">
        <f t="shared" si="8"/>
        <v>2579910032.8620672</v>
      </c>
      <c r="O30" s="56">
        <f t="shared" si="9"/>
        <v>3.437674152266202E-2</v>
      </c>
      <c r="P30" s="57">
        <f t="shared" si="5"/>
        <v>3.2649692642873464E-2</v>
      </c>
      <c r="R30" s="47"/>
      <c r="S30" s="47"/>
      <c r="T30" s="47"/>
    </row>
    <row r="31" spans="1:20" ht="12.75" customHeight="1" x14ac:dyDescent="0.35">
      <c r="A31" s="49">
        <f>'New Vestas G27 60L'!O36</f>
        <v>485174675.98210317</v>
      </c>
      <c r="B31" s="48">
        <f>'New Vestas G27 60L'!X36</f>
        <v>5.3282161383062798E-2</v>
      </c>
      <c r="C31" s="50">
        <f t="shared" si="0"/>
        <v>8.6858981244940949</v>
      </c>
      <c r="D31" s="50">
        <f t="shared" si="0"/>
        <v>-1.2734181663884583</v>
      </c>
      <c r="E31" s="51">
        <f t="shared" si="6"/>
        <v>75.44482622909004</v>
      </c>
      <c r="F31" s="51">
        <f t="shared" si="6"/>
        <v>1.6215938264881433</v>
      </c>
      <c r="G31" s="52">
        <f t="shared" si="7"/>
        <v>-11.06078046313022</v>
      </c>
      <c r="H31" s="75" t="s">
        <v>83</v>
      </c>
      <c r="I31" s="79">
        <f>10^I14</f>
        <v>9.0646364434316773</v>
      </c>
      <c r="J31" s="51">
        <f t="shared" si="1"/>
        <v>9.4057808589113652</v>
      </c>
      <c r="K31" s="51">
        <f t="shared" si="2"/>
        <v>-1.4622371744996818</v>
      </c>
      <c r="L31" s="55">
        <f t="shared" si="3"/>
        <v>2.2243666709334906E-2</v>
      </c>
      <c r="M31" s="51">
        <f t="shared" si="4"/>
        <v>-1.4844808412090167</v>
      </c>
      <c r="N31" s="94">
        <f t="shared" si="8"/>
        <v>2545545469.1233487</v>
      </c>
      <c r="O31" s="56">
        <f t="shared" si="9"/>
        <v>3.4495530280511139E-2</v>
      </c>
      <c r="P31" s="57">
        <f t="shared" si="5"/>
        <v>3.2773223431071717E-2</v>
      </c>
      <c r="R31" s="47"/>
      <c r="S31" s="47"/>
      <c r="T31" s="47"/>
    </row>
    <row r="32" spans="1:20" ht="12.75" customHeight="1" thickBot="1" x14ac:dyDescent="0.4">
      <c r="A32" s="49">
        <f>'New Vestas G27 60L'!O37</f>
        <v>529281464.70774895</v>
      </c>
      <c r="B32" s="48">
        <f>'New Vestas G27 60L'!X37</f>
        <v>5.1249993651282105E-2</v>
      </c>
      <c r="C32" s="50">
        <f t="shared" si="0"/>
        <v>8.7236866853834947</v>
      </c>
      <c r="D32" s="50">
        <f t="shared" si="0"/>
        <v>-1.2903061840714924</v>
      </c>
      <c r="E32" s="51">
        <f t="shared" si="6"/>
        <v>76.102709384737267</v>
      </c>
      <c r="F32" s="51">
        <f t="shared" si="6"/>
        <v>1.6648900486531362</v>
      </c>
      <c r="G32" s="52">
        <f t="shared" si="7"/>
        <v>-11.256226878052463</v>
      </c>
      <c r="H32" s="61" t="str">
        <f>"C upper " &amp; TEXT(I18,"##%") &amp; " conf"</f>
        <v>C upper 95% conf</v>
      </c>
      <c r="I32" s="80">
        <f>10^(I14+I22)</f>
        <v>13.721479161399488</v>
      </c>
      <c r="J32" s="51">
        <f t="shared" si="1"/>
        <v>9.3998780003992088</v>
      </c>
      <c r="K32" s="51">
        <f t="shared" si="2"/>
        <v>-1.4607186952507965</v>
      </c>
      <c r="L32" s="55">
        <f t="shared" si="3"/>
        <v>2.2099941720128979E-2</v>
      </c>
      <c r="M32" s="51">
        <f t="shared" si="4"/>
        <v>-1.4828186369709255</v>
      </c>
      <c r="N32" s="94">
        <f t="shared" si="8"/>
        <v>2511180905.3846216</v>
      </c>
      <c r="O32" s="56">
        <f t="shared" si="9"/>
        <v>3.4616352507508469E-2</v>
      </c>
      <c r="P32" s="57">
        <f t="shared" si="5"/>
        <v>3.289889892477231E-2</v>
      </c>
      <c r="R32" s="47"/>
      <c r="S32" s="47"/>
      <c r="T32" s="47"/>
    </row>
    <row r="33" spans="1:20" ht="12.75" customHeight="1" x14ac:dyDescent="0.35">
      <c r="A33" s="49">
        <f>'New Vestas G27 60L'!O38</f>
        <v>573388253.43339479</v>
      </c>
      <c r="B33" s="48">
        <f>'New Vestas G27 60L'!X38</f>
        <v>5.0567644907169543E-2</v>
      </c>
      <c r="C33" s="50">
        <f t="shared" si="0"/>
        <v>8.7584487916427083</v>
      </c>
      <c r="D33" s="50">
        <f t="shared" si="0"/>
        <v>-1.2961272723440789</v>
      </c>
      <c r="E33" s="51">
        <f t="shared" si="6"/>
        <v>76.710425235827614</v>
      </c>
      <c r="F33" s="51">
        <f t="shared" si="6"/>
        <v>1.679945906114102</v>
      </c>
      <c r="G33" s="52">
        <f t="shared" si="7"/>
        <v>-11.352064342277156</v>
      </c>
      <c r="H33" s="63" t="s">
        <v>84</v>
      </c>
      <c r="I33" s="81"/>
      <c r="J33" s="51">
        <f t="shared" si="1"/>
        <v>9.393893804419152</v>
      </c>
      <c r="K33" s="51">
        <f t="shared" si="2"/>
        <v>-1.459179292366878</v>
      </c>
      <c r="L33" s="55">
        <f t="shared" si="3"/>
        <v>2.1954392486046477E-2</v>
      </c>
      <c r="M33" s="51">
        <f t="shared" si="4"/>
        <v>-1.4811336848529246</v>
      </c>
      <c r="N33" s="94">
        <f t="shared" si="8"/>
        <v>2476816341.6458983</v>
      </c>
      <c r="O33" s="56">
        <f t="shared" si="9"/>
        <v>3.4739271564017758E-2</v>
      </c>
      <c r="P33" s="57">
        <f t="shared" si="5"/>
        <v>3.3026786208732777E-2</v>
      </c>
      <c r="R33" s="47"/>
      <c r="S33" s="47"/>
      <c r="T33" s="47"/>
    </row>
    <row r="34" spans="1:20" ht="12.75" customHeight="1" thickBot="1" x14ac:dyDescent="0.4">
      <c r="A34" s="49">
        <f>'New Vestas G27 60L'!O39</f>
        <v>617495042.15904045</v>
      </c>
      <c r="B34" s="48">
        <f>'New Vestas G27 60L'!X39</f>
        <v>4.7723684389911342E-2</v>
      </c>
      <c r="C34" s="50">
        <f t="shared" si="0"/>
        <v>8.7906334750141095</v>
      </c>
      <c r="D34" s="50">
        <f t="shared" si="0"/>
        <v>-1.3212660350679197</v>
      </c>
      <c r="E34" s="51">
        <f t="shared" si="6"/>
        <v>77.275236892038635</v>
      </c>
      <c r="F34" s="51">
        <f t="shared" si="6"/>
        <v>1.7457439354241013</v>
      </c>
      <c r="G34" s="52">
        <f t="shared" si="7"/>
        <v>-11.614765437267222</v>
      </c>
      <c r="H34" s="82" t="str">
        <f>"G27 Fit: S = " &amp; TEXT(I31,"0,00 E+00 ") &amp; " * N ^ -" &amp; TEXT(I28,"0,00")</f>
        <v>G27 Fit: S = 009 E+00  * N ^ -000</v>
      </c>
      <c r="I34" s="62"/>
      <c r="J34" s="51">
        <f t="shared" si="1"/>
        <v>9.3878259980630485</v>
      </c>
      <c r="K34" s="51">
        <f t="shared" si="2"/>
        <v>-1.4576183811542811</v>
      </c>
      <c r="L34" s="55">
        <f t="shared" si="3"/>
        <v>2.1806973443143508E-2</v>
      </c>
      <c r="M34" s="51">
        <f t="shared" si="4"/>
        <v>-1.4794253545974245</v>
      </c>
      <c r="N34" s="94">
        <f t="shared" si="8"/>
        <v>2442451777.9071727</v>
      </c>
      <c r="O34" s="56">
        <f t="shared" si="9"/>
        <v>3.4864353699162916E-2</v>
      </c>
      <c r="P34" s="57">
        <f t="shared" si="5"/>
        <v>3.3156955422452825E-2</v>
      </c>
      <c r="R34" s="47"/>
      <c r="S34" s="47"/>
      <c r="T34" s="47"/>
    </row>
    <row r="35" spans="1:20" ht="12.75" customHeight="1" thickBot="1" x14ac:dyDescent="0.4">
      <c r="A35" s="49">
        <f>'New Vestas G27 60L'!O40</f>
        <v>661601830.88468611</v>
      </c>
      <c r="B35" s="48">
        <f>'New Vestas G27 60L'!X40</f>
        <v>4.4671018073585617E-2</v>
      </c>
      <c r="C35" s="50">
        <f t="shared" si="0"/>
        <v>8.8205966983915527</v>
      </c>
      <c r="D35" s="50">
        <f t="shared" si="0"/>
        <v>-1.3499741496391524</v>
      </c>
      <c r="E35" s="51">
        <f t="shared" si="6"/>
        <v>77.802926115675959</v>
      </c>
      <c r="F35" s="51">
        <f t="shared" si="6"/>
        <v>1.8224302046939527</v>
      </c>
      <c r="G35" s="52">
        <f t="shared" si="7"/>
        <v>-11.907577527221052</v>
      </c>
      <c r="H35" s="82" t="str">
        <f>"G27 Fit: N = " &amp; TEXT((1/I31)^(-1/I28),"0,00 E+00 ") &amp; " * S ^ -" &amp; TEXT(1/I28,"0,00")</f>
        <v>G27 Fit: N = 5,267 E+00  * S ^ -004</v>
      </c>
      <c r="I35" s="84"/>
      <c r="J35" s="51">
        <f t="shared" si="1"/>
        <v>9.3816722117993248</v>
      </c>
      <c r="K35" s="51">
        <f t="shared" si="2"/>
        <v>-1.4560353520634952</v>
      </c>
      <c r="L35" s="55">
        <f t="shared" si="3"/>
        <v>2.165763737813298E-2</v>
      </c>
      <c r="M35" s="51">
        <f t="shared" si="4"/>
        <v>-1.4776929894416282</v>
      </c>
      <c r="N35" s="94">
        <f t="shared" si="8"/>
        <v>2408087214.1684556</v>
      </c>
      <c r="O35" s="56">
        <f t="shared" si="9"/>
        <v>3.4991668225414177E-2</v>
      </c>
      <c r="P35" s="57">
        <f t="shared" si="5"/>
        <v>3.3289479943857253E-2</v>
      </c>
      <c r="R35" s="47"/>
      <c r="S35" s="47"/>
      <c r="T35" s="47"/>
    </row>
    <row r="36" spans="1:20" ht="12.75" customHeight="1" x14ac:dyDescent="0.35">
      <c r="A36" s="49">
        <f>'New Vestas G27 60L'!O41</f>
        <v>882135774.51291502</v>
      </c>
      <c r="B36" s="48">
        <f>'New Vestas G27 60L'!X41</f>
        <v>4.3306390152360853E-2</v>
      </c>
      <c r="C36" s="50">
        <f t="shared" si="0"/>
        <v>8.9455354349998526</v>
      </c>
      <c r="D36" s="50">
        <f t="shared" si="0"/>
        <v>-1.3634480158141087</v>
      </c>
      <c r="E36" s="51">
        <f t="shared" si="6"/>
        <v>80.022604218837998</v>
      </c>
      <c r="F36" s="51">
        <f t="shared" si="6"/>
        <v>1.85899049182743</v>
      </c>
      <c r="G36" s="52">
        <f t="shared" si="7"/>
        <v>-12.196772539245348</v>
      </c>
      <c r="H36" s="83"/>
      <c r="I36" s="83"/>
      <c r="J36" s="51">
        <f t="shared" si="1"/>
        <v>9.3754299739174272</v>
      </c>
      <c r="K36" s="51">
        <f t="shared" si="2"/>
        <v>-1.4544295692600033</v>
      </c>
      <c r="L36" s="55">
        <f t="shared" si="3"/>
        <v>2.1506335354076336E-2</v>
      </c>
      <c r="M36" s="51">
        <f t="shared" si="4"/>
        <v>-1.4759359046140796</v>
      </c>
      <c r="N36" s="94">
        <f t="shared" si="8"/>
        <v>2373722650.4297352</v>
      </c>
      <c r="O36" s="56">
        <f t="shared" si="9"/>
        <v>3.5121287706392688E-2</v>
      </c>
      <c r="P36" s="57">
        <f t="shared" si="5"/>
        <v>3.3424436586767164E-2</v>
      </c>
      <c r="R36" s="47"/>
      <c r="S36" s="47"/>
      <c r="T36" s="47"/>
    </row>
    <row r="37" spans="1:20" ht="12.75" customHeight="1" x14ac:dyDescent="0.35">
      <c r="A37" s="49">
        <f>'New Vestas G27 60L'!O42</f>
        <v>1014456140.6898522</v>
      </c>
      <c r="B37" s="48">
        <f>'New Vestas G27 60L'!X42</f>
        <v>4.1029534583559887E-2</v>
      </c>
      <c r="C37" s="50">
        <f t="shared" si="0"/>
        <v>9.0062332753534644</v>
      </c>
      <c r="D37" s="50">
        <f t="shared" si="0"/>
        <v>-1.3869034094025277</v>
      </c>
      <c r="E37" s="51">
        <f t="shared" si="6"/>
        <v>81.112237810083997</v>
      </c>
      <c r="F37" s="51">
        <f t="shared" si="6"/>
        <v>1.9235010670123551</v>
      </c>
      <c r="G37" s="52">
        <f t="shared" si="7"/>
        <v>-12.490775635462214</v>
      </c>
      <c r="H37" s="95">
        <f>1/I28</f>
        <v>3.887348817239666</v>
      </c>
      <c r="I37" s="85">
        <f>I31-I30</f>
        <v>3.0763874445380903</v>
      </c>
      <c r="J37" s="51">
        <f t="shared" si="1"/>
        <v>9.3690967045671503</v>
      </c>
      <c r="K37" s="51">
        <f t="shared" si="2"/>
        <v>-1.4528003690909341</v>
      </c>
      <c r="L37" s="55">
        <f t="shared" si="3"/>
        <v>2.1353016632496117E-2</v>
      </c>
      <c r="M37" s="51">
        <f t="shared" si="4"/>
        <v>-1.4741533857234304</v>
      </c>
      <c r="N37" s="94">
        <f t="shared" si="8"/>
        <v>2339358086.6910086</v>
      </c>
      <c r="O37" s="56">
        <f t="shared" si="9"/>
        <v>3.5253288159100657E-2</v>
      </c>
      <c r="P37" s="57">
        <f t="shared" si="5"/>
        <v>3.3561905813403209E-2</v>
      </c>
      <c r="R37" s="47"/>
      <c r="S37" s="47"/>
      <c r="T37" s="47"/>
    </row>
    <row r="38" spans="1:20" ht="12.75" customHeight="1" x14ac:dyDescent="0.35">
      <c r="A38" s="49">
        <f>'New Vestas G27 60L'!O43</f>
        <v>441067887.25645751</v>
      </c>
      <c r="B38" s="48">
        <f>'New Vestas G27 60L'!X43</f>
        <v>5.3812319736201285E-2</v>
      </c>
      <c r="C38" s="50">
        <f t="shared" si="0"/>
        <v>8.6445054393358713</v>
      </c>
      <c r="D38" s="50">
        <f t="shared" si="0"/>
        <v>-1.2691182860260413</v>
      </c>
      <c r="E38" s="51">
        <f t="shared" si="6"/>
        <v>74.727474290707463</v>
      </c>
      <c r="F38" s="51">
        <f t="shared" si="6"/>
        <v>1.6106612239256768</v>
      </c>
      <c r="G38" s="52">
        <f t="shared" si="7"/>
        <v>-10.970899926712733</v>
      </c>
      <c r="H38" s="95">
        <f>((1/I27)-(1/I29))/2</f>
        <v>0.31753559934355713</v>
      </c>
      <c r="I38" s="85">
        <f>I32-I31</f>
        <v>4.6568427179678107</v>
      </c>
      <c r="J38" s="51">
        <f t="shared" si="1"/>
        <v>9.3626697093568882</v>
      </c>
      <c r="K38" s="51">
        <f t="shared" si="2"/>
        <v>-1.4511470584382451</v>
      </c>
      <c r="L38" s="55">
        <f t="shared" si="3"/>
        <v>2.1197628591790935E-2</v>
      </c>
      <c r="M38" s="51">
        <f t="shared" si="4"/>
        <v>-1.4723446870300361</v>
      </c>
      <c r="N38" s="94">
        <f t="shared" si="8"/>
        <v>2304993522.952291</v>
      </c>
      <c r="O38" s="56">
        <f t="shared" si="9"/>
        <v>3.5387749271916208E-2</v>
      </c>
      <c r="P38" s="57">
        <f t="shared" si="5"/>
        <v>3.3701971963299028E-2</v>
      </c>
      <c r="R38" s="47"/>
      <c r="S38" s="47"/>
      <c r="T38" s="47"/>
    </row>
    <row r="39" spans="1:20" ht="12.75" customHeight="1" x14ac:dyDescent="0.35">
      <c r="A39" s="49">
        <f>'New Vestas G27 60L'!O44</f>
        <v>485174675.98210317</v>
      </c>
      <c r="B39" s="48">
        <f>'New Vestas G27 60L'!X44</f>
        <v>5.2166905425000035E-2</v>
      </c>
      <c r="C39" s="50">
        <f t="shared" si="0"/>
        <v>8.6858981244940949</v>
      </c>
      <c r="D39" s="50">
        <f t="shared" si="0"/>
        <v>-1.2826049251466636</v>
      </c>
      <c r="E39" s="51">
        <f t="shared" si="6"/>
        <v>75.44482622909004</v>
      </c>
      <c r="F39" s="51">
        <f t="shared" si="6"/>
        <v>1.6450753940104785</v>
      </c>
      <c r="G39" s="52">
        <f t="shared" si="7"/>
        <v>-11.140575713798293</v>
      </c>
      <c r="H39" s="86"/>
      <c r="I39" s="86"/>
      <c r="J39" s="51">
        <f t="shared" si="1"/>
        <v>9.3561461724710249</v>
      </c>
      <c r="K39" s="51">
        <f t="shared" si="2"/>
        <v>-1.449468912948205</v>
      </c>
      <c r="L39" s="55">
        <f t="shared" si="3"/>
        <v>2.104011664184581E-2</v>
      </c>
      <c r="M39" s="51">
        <f t="shared" si="4"/>
        <v>-1.4705090295900509</v>
      </c>
      <c r="N39" s="94">
        <f t="shared" si="8"/>
        <v>2270628959.2135673</v>
      </c>
      <c r="O39" s="56">
        <f t="shared" si="9"/>
        <v>3.5524754639837848E-2</v>
      </c>
      <c r="P39" s="57">
        <f t="shared" si="5"/>
        <v>3.3844723500150158E-2</v>
      </c>
      <c r="R39" s="47"/>
      <c r="S39" s="47"/>
      <c r="T39" s="47"/>
    </row>
    <row r="40" spans="1:20" ht="12.75" customHeight="1" x14ac:dyDescent="0.35">
      <c r="A40" s="49">
        <f>'New Vestas G27 60L'!O45</f>
        <v>529281464.70774895</v>
      </c>
      <c r="B40" s="48">
        <f>'New Vestas G27 60L'!X45</f>
        <v>5.1208509006679094E-2</v>
      </c>
      <c r="C40" s="50">
        <f t="shared" si="0"/>
        <v>8.7236866853834947</v>
      </c>
      <c r="D40" s="50">
        <f t="shared" si="0"/>
        <v>-1.2906578689537023</v>
      </c>
      <c r="E40" s="51">
        <f t="shared" si="6"/>
        <v>76.102709384737267</v>
      </c>
      <c r="F40" s="51">
        <f t="shared" si="6"/>
        <v>1.665797734692112</v>
      </c>
      <c r="G40" s="52">
        <f t="shared" si="7"/>
        <v>-11.259294866776848</v>
      </c>
      <c r="H40" s="86" t="b">
        <f>H37=H38</f>
        <v>0</v>
      </c>
      <c r="I40" s="86"/>
      <c r="J40" s="51">
        <f t="shared" si="1"/>
        <v>9.3495231492624793</v>
      </c>
      <c r="K40" s="51">
        <f t="shared" si="2"/>
        <v>-1.4477651751258684</v>
      </c>
      <c r="L40" s="55">
        <f t="shared" si="3"/>
        <v>2.0880424134749956E-2</v>
      </c>
      <c r="M40" s="51">
        <f t="shared" si="4"/>
        <v>-1.4686455992606184</v>
      </c>
      <c r="N40" s="94">
        <f t="shared" si="8"/>
        <v>2236264395.4748464</v>
      </c>
      <c r="O40" s="56">
        <f t="shared" si="9"/>
        <v>3.5664392018627256E-2</v>
      </c>
      <c r="P40" s="57">
        <f t="shared" si="5"/>
        <v>3.3990253278288779E-2</v>
      </c>
      <c r="R40" s="47"/>
      <c r="S40" s="47"/>
      <c r="T40" s="47"/>
    </row>
    <row r="41" spans="1:20" ht="12.75" customHeight="1" x14ac:dyDescent="0.35">
      <c r="A41" s="49">
        <f>'New Vestas G27 60L'!O46</f>
        <v>573388253.43339479</v>
      </c>
      <c r="B41" s="48">
        <f>'New Vestas G27 60L'!X46</f>
        <v>5.0156325790842546E-2</v>
      </c>
      <c r="C41" s="50">
        <f t="shared" si="0"/>
        <v>8.7584487916427083</v>
      </c>
      <c r="D41" s="50">
        <f t="shared" si="0"/>
        <v>-1.2996742853194299</v>
      </c>
      <c r="E41" s="51">
        <f t="shared" si="6"/>
        <v>76.710425235827614</v>
      </c>
      <c r="F41" s="51">
        <f t="shared" si="6"/>
        <v>1.6891532479205709</v>
      </c>
      <c r="G41" s="52">
        <f t="shared" si="7"/>
        <v>-11.383130673785061</v>
      </c>
      <c r="H41" s="86"/>
      <c r="I41" s="86"/>
      <c r="J41" s="51">
        <f t="shared" si="1"/>
        <v>9.3427975582716307</v>
      </c>
      <c r="K41" s="51">
        <f t="shared" si="2"/>
        <v>-1.4460350522819851</v>
      </c>
      <c r="L41" s="55">
        <f t="shared" si="3"/>
        <v>2.0718492271558048E-2</v>
      </c>
      <c r="M41" s="51">
        <f t="shared" si="4"/>
        <v>-1.4667535445535431</v>
      </c>
      <c r="N41" s="94">
        <f t="shared" si="8"/>
        <v>2201899831.7361245</v>
      </c>
      <c r="O41" s="56">
        <f t="shared" si="9"/>
        <v>3.5806753599685957E-2</v>
      </c>
      <c r="P41" s="57">
        <f t="shared" si="5"/>
        <v>3.4138658830663478E-2</v>
      </c>
      <c r="R41" s="47"/>
      <c r="S41" s="47"/>
      <c r="T41" s="47"/>
    </row>
    <row r="42" spans="1:20" ht="12.75" customHeight="1" x14ac:dyDescent="0.35">
      <c r="A42" s="49">
        <f>'New Vestas G27 60L'!O47</f>
        <v>617495042.15904045</v>
      </c>
      <c r="B42" s="48">
        <f>'New Vestas G27 60L'!X47</f>
        <v>4.9828479867964855E-2</v>
      </c>
      <c r="C42" s="50">
        <f t="shared" si="0"/>
        <v>8.7906334750141095</v>
      </c>
      <c r="D42" s="50">
        <f t="shared" si="0"/>
        <v>-1.3025223617758577</v>
      </c>
      <c r="E42" s="51">
        <f t="shared" si="6"/>
        <v>77.275236892038635</v>
      </c>
      <c r="F42" s="51">
        <f t="shared" si="6"/>
        <v>1.6965645029261582</v>
      </c>
      <c r="G42" s="52">
        <f t="shared" si="7"/>
        <v>-11.449996675381293</v>
      </c>
      <c r="H42" s="86"/>
      <c r="I42" s="86"/>
      <c r="J42" s="51">
        <f t="shared" si="1"/>
        <v>9.3359661726174732</v>
      </c>
      <c r="K42" s="51">
        <f t="shared" si="2"/>
        <v>-1.4442777143184196</v>
      </c>
      <c r="L42" s="55">
        <f t="shared" si="3"/>
        <v>2.0554260005063569E-2</v>
      </c>
      <c r="M42" s="51">
        <f t="shared" si="4"/>
        <v>-1.4648319743234832</v>
      </c>
      <c r="N42" s="94">
        <f t="shared" si="8"/>
        <v>2167535267.9974012</v>
      </c>
      <c r="O42" s="56">
        <f t="shared" si="9"/>
        <v>3.5951936307710992E-2</v>
      </c>
      <c r="P42" s="57">
        <f t="shared" si="5"/>
        <v>3.4290042680413017E-2</v>
      </c>
      <c r="R42" s="47"/>
      <c r="S42" s="47"/>
      <c r="T42" s="47"/>
    </row>
    <row r="43" spans="1:20" ht="12.75" customHeight="1" thickBot="1" x14ac:dyDescent="0.4">
      <c r="A43" s="49">
        <f>'New Vestas G27 60L'!O48</f>
        <v>749815408.33597767</v>
      </c>
      <c r="B43" s="48">
        <f>'New Vestas G27 60L'!X48</f>
        <v>4.7783763464978785E-2</v>
      </c>
      <c r="C43" s="50">
        <f t="shared" si="0"/>
        <v>8.8749543607141455</v>
      </c>
      <c r="D43" s="50">
        <f t="shared" si="0"/>
        <v>-1.320719648062356</v>
      </c>
      <c r="E43" s="51">
        <f t="shared" si="6"/>
        <v>78.764814904759021</v>
      </c>
      <c r="F43" s="51">
        <f t="shared" si="6"/>
        <v>1.7443003887779533</v>
      </c>
      <c r="G43" s="52">
        <f t="shared" si="7"/>
        <v>-11.721326599851858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9.3290256107008052</v>
      </c>
      <c r="K43" s="51">
        <f t="shared" si="2"/>
        <v>-1.442492291336595</v>
      </c>
      <c r="L43" s="55">
        <f t="shared" si="3"/>
        <v>2.0387663938595979E-2</v>
      </c>
      <c r="M43" s="51">
        <f t="shared" si="4"/>
        <v>-1.462879955275191</v>
      </c>
      <c r="N43" s="94">
        <f t="shared" si="8"/>
        <v>2133170704.2586782</v>
      </c>
      <c r="O43" s="56">
        <f t="shared" si="9"/>
        <v>3.6100042123411884E-2</v>
      </c>
      <c r="P43" s="57">
        <f t="shared" si="5"/>
        <v>3.4444512678361044E-2</v>
      </c>
      <c r="R43" s="47"/>
      <c r="S43" s="47"/>
      <c r="T43" s="47"/>
    </row>
    <row r="44" spans="1:20" ht="12.75" customHeight="1" x14ac:dyDescent="0.35">
      <c r="A44" s="49">
        <f>'New Vestas G27 60L'!O49</f>
        <v>1014456140.6898522</v>
      </c>
      <c r="B44" s="48">
        <f>'New Vestas G27 60L'!X49</f>
        <v>4.6037148945249379E-2</v>
      </c>
      <c r="C44" s="50">
        <f t="shared" si="0"/>
        <v>9.0062332753534644</v>
      </c>
      <c r="D44" s="50">
        <f t="shared" si="0"/>
        <v>-1.3368915798225551</v>
      </c>
      <c r="E44" s="51">
        <f t="shared" si="6"/>
        <v>81.112237810083997</v>
      </c>
      <c r="F44" s="51">
        <f t="shared" si="6"/>
        <v>1.7872790962004472</v>
      </c>
      <c r="G44" s="52">
        <f t="shared" si="7"/>
        <v>-12.040357431737759</v>
      </c>
      <c r="H44" s="86" t="s">
        <v>83</v>
      </c>
      <c r="I44" s="86">
        <f>(1/$I$31)^(-1/$I$28)</f>
        <v>5266.8980037294295</v>
      </c>
      <c r="J44" s="51">
        <f t="shared" si="1"/>
        <v>9.3219723261523875</v>
      </c>
      <c r="K44" s="51">
        <f t="shared" si="2"/>
        <v>-1.4406778710517116</v>
      </c>
      <c r="L44" s="55">
        <f t="shared" si="3"/>
        <v>2.0218638220908729E-2</v>
      </c>
      <c r="M44" s="51">
        <f t="shared" si="4"/>
        <v>-1.4608965092726203</v>
      </c>
      <c r="N44" s="94">
        <f t="shared" si="8"/>
        <v>2098806140.5199583</v>
      </c>
      <c r="O44" s="56">
        <f t="shared" si="9"/>
        <v>3.6251178433841826E-2</v>
      </c>
      <c r="P44" s="57">
        <f t="shared" si="5"/>
        <v>3.4602182369028622E-2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3.887348817239666</v>
      </c>
      <c r="J45" s="51">
        <f t="shared" si="1"/>
        <v>9.3148025969513135</v>
      </c>
      <c r="K45" s="51">
        <f t="shared" si="2"/>
        <v>-1.438833495993503</v>
      </c>
      <c r="L45" s="55">
        <f t="shared" si="3"/>
        <v>2.0047114437298098E-2</v>
      </c>
      <c r="M45" s="51">
        <f t="shared" si="4"/>
        <v>-1.458880610430801</v>
      </c>
      <c r="N45" s="94">
        <f t="shared" si="8"/>
        <v>2064441576.7812359</v>
      </c>
      <c r="O45" s="56">
        <f t="shared" si="9"/>
        <v>3.6405458413201398E-2</v>
      </c>
      <c r="P45" s="57">
        <f t="shared" si="5"/>
        <v>3.4763171388065492E-2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9.3075125136299501</v>
      </c>
      <c r="K46" s="51">
        <f t="shared" si="2"/>
        <v>-1.4369581604720203</v>
      </c>
      <c r="L46" s="55">
        <f t="shared" si="3"/>
        <v>1.9873021497182373E-2</v>
      </c>
      <c r="M46" s="51">
        <f t="shared" si="4"/>
        <v>-1.4568311819692026</v>
      </c>
      <c r="N46" s="94">
        <f t="shared" si="8"/>
        <v>2030077013.0425115</v>
      </c>
      <c r="O46" s="56">
        <f t="shared" si="9"/>
        <v>3.6563001437323418E-2</v>
      </c>
      <c r="P46" s="57">
        <f t="shared" si="5"/>
        <v>3.4927605894348721E-2</v>
      </c>
      <c r="R46" s="47"/>
      <c r="S46" s="47"/>
      <c r="T46" s="47"/>
    </row>
    <row r="47" spans="1:20" ht="12.75" customHeight="1" x14ac:dyDescent="0.35">
      <c r="A47" s="49"/>
      <c r="B47" s="48">
        <f>MIN(B2:B44)</f>
        <v>3.252442637529742E-2</v>
      </c>
      <c r="C47" s="50"/>
      <c r="D47" s="50"/>
      <c r="E47" s="51"/>
      <c r="F47" s="51"/>
      <c r="G47" s="52"/>
      <c r="H47" s="86"/>
      <c r="I47" s="86"/>
      <c r="J47" s="51">
        <f t="shared" si="1"/>
        <v>9.3000979664719221</v>
      </c>
      <c r="K47" s="51">
        <f t="shared" si="2"/>
        <v>-1.4350508072843806</v>
      </c>
      <c r="L47" s="55">
        <f t="shared" si="3"/>
        <v>1.9696285518489808E-2</v>
      </c>
      <c r="M47" s="51">
        <f t="shared" si="4"/>
        <v>-1.4547470928028705</v>
      </c>
      <c r="N47" s="94">
        <f t="shared" si="8"/>
        <v>1995712449.3037841</v>
      </c>
      <c r="O47" s="56">
        <f t="shared" si="9"/>
        <v>3.6723933535444481E-2</v>
      </c>
      <c r="P47" s="57">
        <f t="shared" si="5"/>
        <v>3.5095619040389214E-2</v>
      </c>
      <c r="R47" s="47"/>
      <c r="S47" s="47"/>
      <c r="T47" s="47"/>
    </row>
    <row r="48" spans="1:20" ht="12.75" customHeight="1" x14ac:dyDescent="0.35">
      <c r="A48" s="49"/>
      <c r="B48" s="48">
        <f>MAX(B2:B44)</f>
        <v>7.6451056804510642E-2</v>
      </c>
      <c r="C48" s="50"/>
      <c r="D48" s="50"/>
      <c r="E48" s="51"/>
      <c r="F48" s="51"/>
      <c r="G48" s="52"/>
      <c r="H48" s="86"/>
      <c r="I48" s="86"/>
      <c r="J48" s="51">
        <f t="shared" si="1"/>
        <v>9.2925546315981489</v>
      </c>
      <c r="K48" s="51">
        <f t="shared" si="2"/>
        <v>-1.433110324135475</v>
      </c>
      <c r="L48" s="55">
        <f t="shared" si="3"/>
        <v>1.9516829709349665E-2</v>
      </c>
      <c r="M48" s="51">
        <f t="shared" si="4"/>
        <v>-1.4526271538448248</v>
      </c>
      <c r="N48" s="94">
        <f t="shared" si="8"/>
        <v>1961347885.5650704</v>
      </c>
      <c r="O48" s="56">
        <f t="shared" si="9"/>
        <v>3.6888387883325602E-2</v>
      </c>
      <c r="P48" s="57">
        <f t="shared" si="5"/>
        <v>3.5267351485137315E-2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9.2848779558230028</v>
      </c>
      <c r="K49" s="51">
        <f t="shared" si="2"/>
        <v>-1.4311355397422911</v>
      </c>
      <c r="L49" s="55">
        <f t="shared" si="3"/>
        <v>1.9334574247768098E-2</v>
      </c>
      <c r="M49" s="51">
        <f t="shared" si="4"/>
        <v>-1.4504701139900593</v>
      </c>
      <c r="N49" s="94">
        <f t="shared" si="8"/>
        <v>1926983321.8263533</v>
      </c>
      <c r="O49" s="56">
        <f t="shared" si="9"/>
        <v>3.7056505342306791E-2</v>
      </c>
      <c r="P49" s="57">
        <f t="shared" si="5"/>
        <v>3.5442951953789693E-2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9.2770631401477814</v>
      </c>
      <c r="K50" s="51">
        <f t="shared" si="2"/>
        <v>-1.4291252195877004</v>
      </c>
      <c r="L50" s="55">
        <f t="shared" si="3"/>
        <v>1.9149436160205487E-2</v>
      </c>
      <c r="M50" s="51">
        <f t="shared" si="4"/>
        <v>-1.448274655747906</v>
      </c>
      <c r="N50" s="94">
        <f t="shared" si="8"/>
        <v>1892618758.0876288</v>
      </c>
      <c r="O50" s="56">
        <f t="shared" si="9"/>
        <v>3.7228435049478321E-2</v>
      </c>
      <c r="P50" s="57">
        <f t="shared" si="5"/>
        <v>3.5622577849785765E-2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9.2691051217416494</v>
      </c>
      <c r="K51" s="51">
        <f t="shared" si="2"/>
        <v>-1.4270780612851475</v>
      </c>
      <c r="L51" s="55">
        <f t="shared" si="3"/>
        <v>1.8961329200267798E-2</v>
      </c>
      <c r="M51" s="51">
        <f t="shared" si="4"/>
        <v>-1.4460393904854152</v>
      </c>
      <c r="N51" s="94">
        <f t="shared" si="8"/>
        <v>1858254194.3488975</v>
      </c>
      <c r="O51" s="56">
        <f t="shared" si="9"/>
        <v>3.7404335064846306E-2</v>
      </c>
      <c r="P51" s="57">
        <f t="shared" si="5"/>
        <v>3.5806395924854892E-2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9.2609985542406292</v>
      </c>
      <c r="K52" s="51">
        <f t="shared" si="2"/>
        <v>-1.4249926895106699</v>
      </c>
      <c r="L52" s="55">
        <f t="shared" si="3"/>
        <v>1.877016372909715E-2</v>
      </c>
      <c r="M52" s="51">
        <f t="shared" si="4"/>
        <v>-1.4437628532397671</v>
      </c>
      <c r="N52" s="94">
        <f t="shared" si="8"/>
        <v>1823889630.6101799</v>
      </c>
      <c r="O52" s="56">
        <f t="shared" si="9"/>
        <v>3.7584373082164516E-2</v>
      </c>
      <c r="P52" s="57">
        <f t="shared" si="5"/>
        <v>3.5994583013746043E-2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9.2527377861726308</v>
      </c>
      <c r="K53" s="51">
        <f t="shared" si="2"/>
        <v>-1.4228676504528512</v>
      </c>
      <c r="L53" s="55">
        <f t="shared" si="3"/>
        <v>1.8575846599514473E-2</v>
      </c>
      <c r="M53" s="51">
        <f t="shared" si="4"/>
        <v>-1.4414434970523657</v>
      </c>
      <c r="N53" s="94">
        <f t="shared" si="8"/>
        <v>1789525066.8714585</v>
      </c>
      <c r="O53" s="56">
        <f t="shared" si="9"/>
        <v>3.7768727211030785E-2</v>
      </c>
      <c r="P53" s="57">
        <f t="shared" si="5"/>
        <v>3.6187326841161875E-2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9.244316837290512</v>
      </c>
      <c r="K54" s="51">
        <f t="shared" si="2"/>
        <v>-1.4207014057246261</v>
      </c>
      <c r="L54" s="55">
        <f t="shared" si="3"/>
        <v>1.8378281046558219E-2</v>
      </c>
      <c r="M54" s="51">
        <f t="shared" si="4"/>
        <v>-1.4390796867711844</v>
      </c>
      <c r="N54" s="94">
        <f t="shared" si="8"/>
        <v>1755160503.132741</v>
      </c>
      <c r="O54" s="56">
        <f t="shared" si="9"/>
        <v>3.7957586838915647E-2</v>
      </c>
      <c r="P54" s="57">
        <f t="shared" si="5"/>
        <v>3.6384826909442926E-2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9.2357293725648706</v>
      </c>
      <c r="K55" s="51">
        <f t="shared" si="2"/>
        <v>-1.4184923256730602</v>
      </c>
      <c r="L55" s="55">
        <f t="shared" si="3"/>
        <v>1.8177366587802585E-2</v>
      </c>
      <c r="M55" s="51">
        <f t="shared" si="4"/>
        <v>-1.4366696922608628</v>
      </c>
      <c r="N55" s="94">
        <f t="shared" si="8"/>
        <v>1720795939.3940203</v>
      </c>
      <c r="O55" s="56">
        <f t="shared" si="9"/>
        <v>3.8151153583041525E-2</v>
      </c>
      <c r="P55" s="57">
        <f t="shared" si="5"/>
        <v>3.6587295476736663E-2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9.2269686735533263</v>
      </c>
      <c r="K56" s="51">
        <f t="shared" si="2"/>
        <v>-1.416238682014253</v>
      </c>
      <c r="L56" s="55">
        <f t="shared" si="3"/>
        <v>1.7972998937776843E-2</v>
      </c>
      <c r="M56" s="51">
        <f t="shared" si="4"/>
        <v>-1.4342116809520298</v>
      </c>
      <c r="N56" s="94">
        <f t="shared" si="8"/>
        <v>1686431375.6552958</v>
      </c>
      <c r="O56" s="56">
        <f t="shared" si="9"/>
        <v>3.834964234348235E-2</v>
      </c>
      <c r="P56" s="57">
        <f t="shared" si="5"/>
        <v>3.6794958636758357E-2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9.2180276068221101</v>
      </c>
      <c r="K57" s="51">
        <f t="shared" si="2"/>
        <v>-1.4139386397099543</v>
      </c>
      <c r="L57" s="55">
        <f t="shared" si="3"/>
        <v>1.7765069941985265E-2</v>
      </c>
      <c r="M57" s="51">
        <f t="shared" si="4"/>
        <v>-1.4317037096519396</v>
      </c>
      <c r="N57" s="94">
        <f t="shared" si="8"/>
        <v>1652066811.9165699</v>
      </c>
      <c r="O57" s="56">
        <f t="shared" si="9"/>
        <v>3.8553282470561612E-2</v>
      </c>
      <c r="P57" s="57">
        <f t="shared" si="5"/>
        <v>3.7008057512853409E-2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9.2088985890481379</v>
      </c>
      <c r="K58" s="51">
        <f t="shared" si="2"/>
        <v>-1.4115902479902593</v>
      </c>
      <c r="L58" s="55">
        <f t="shared" si="3"/>
        <v>1.7553467537521114E-2</v>
      </c>
      <c r="M58" s="51">
        <f t="shared" si="4"/>
        <v>-1.4291437155277804</v>
      </c>
      <c r="N58" s="94">
        <f t="shared" si="8"/>
        <v>1617702248.177851</v>
      </c>
      <c r="O58" s="56">
        <f t="shared" si="9"/>
        <v>3.8762319061624188E-2</v>
      </c>
      <c r="P58" s="57">
        <f t="shared" si="5"/>
        <v>3.7226849580930671E-2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9.1995735483738184</v>
      </c>
      <c r="K59" s="51">
        <f t="shared" si="2"/>
        <v>-1.4091914304123345</v>
      </c>
      <c r="L59" s="55">
        <f t="shared" si="3"/>
        <v>1.7338075749157956E-2</v>
      </c>
      <c r="M59" s="51">
        <f t="shared" si="4"/>
        <v>-1.4265295061614924</v>
      </c>
      <c r="N59" s="94">
        <f t="shared" si="8"/>
        <v>1583337684.4391291</v>
      </c>
      <c r="O59" s="56">
        <f t="shared" si="9"/>
        <v>3.8977014404615144E-2</v>
      </c>
      <c r="P59" s="57">
        <f t="shared" si="5"/>
        <v>3.7451610138015339E-2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9.1900438815211327</v>
      </c>
      <c r="K60" s="51">
        <f t="shared" si="2"/>
        <v>-1.4067399738282425</v>
      </c>
      <c r="L60" s="55">
        <f t="shared" si="3"/>
        <v>1.7118774732202007E-2</v>
      </c>
      <c r="M60" s="51">
        <f t="shared" si="4"/>
        <v>-1.4238587485604444</v>
      </c>
      <c r="N60" s="94">
        <f t="shared" si="8"/>
        <v>1548973120.7004077</v>
      </c>
      <c r="O60" s="56">
        <f t="shared" si="9"/>
        <v>3.9197649588682548E-2</v>
      </c>
      <c r="P60" s="57">
        <f t="shared" si="5"/>
        <v>3.7682633935718773E-2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9.1803004060939966</v>
      </c>
      <c r="K61" s="51">
        <f t="shared" si="2"/>
        <v>-1.4042335161149735</v>
      </c>
      <c r="L61" s="55">
        <f t="shared" si="3"/>
        <v>1.6895440876444099E-2</v>
      </c>
      <c r="M61" s="51">
        <f t="shared" si="4"/>
        <v>-1.4211289569914176</v>
      </c>
      <c r="N61" s="94">
        <f t="shared" si="8"/>
        <v>1514608556.9616828</v>
      </c>
      <c r="O61" s="56">
        <f t="shared" si="9"/>
        <v>3.9424526305323719E-2</v>
      </c>
      <c r="P61" s="57">
        <f t="shared" si="5"/>
        <v>3.7920237000918906E-2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9.1703333074061799</v>
      </c>
      <c r="K62" s="51">
        <f t="shared" si="2"/>
        <v>-1.4016695324962116</v>
      </c>
      <c r="L62" s="55">
        <f t="shared" si="3"/>
        <v>1.6667946989449723E-2</v>
      </c>
      <c r="M62" s="51">
        <f t="shared" si="4"/>
        <v>-1.4183374794856614</v>
      </c>
      <c r="N62" s="94">
        <f t="shared" si="8"/>
        <v>1480243993.2229588</v>
      </c>
      <c r="O62" s="56">
        <f t="shared" si="9"/>
        <v>3.965796886752302E-2</v>
      </c>
      <c r="P62" s="57">
        <f t="shared" si="5"/>
        <v>3.8164758669471804E-2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9.1601320790630272</v>
      </c>
      <c r="K63" s="51">
        <f t="shared" si="2"/>
        <v>-1.399045320257291</v>
      </c>
      <c r="L63" s="55">
        <f t="shared" si="3"/>
        <v>1.6436162582417417E-2</v>
      </c>
      <c r="M63" s="51">
        <f t="shared" si="4"/>
        <v>-1.4154814828397084</v>
      </c>
      <c r="N63" s="94">
        <f t="shared" si="8"/>
        <v>1445879429.4842374</v>
      </c>
      <c r="O63" s="56">
        <f t="shared" si="9"/>
        <v>3.9898326479025248E-2</v>
      </c>
      <c r="P63" s="57">
        <f t="shared" si="5"/>
        <v>3.8416563862946333E-2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9.1496854563952645</v>
      </c>
      <c r="K64" s="51">
        <f t="shared" si="2"/>
        <v>-1.396357981621398</v>
      </c>
      <c r="L64" s="55">
        <f t="shared" si="3"/>
        <v>1.6199954288248296E-2</v>
      </c>
      <c r="M64" s="51">
        <f t="shared" si="4"/>
        <v>-1.4125579359096463</v>
      </c>
      <c r="N64" s="94">
        <f t="shared" si="8"/>
        <v>1411514865.7455156</v>
      </c>
      <c r="O64" s="56">
        <f t="shared" si="9"/>
        <v>4.0145975791516339E-2</v>
      </c>
      <c r="P64" s="57">
        <f t="shared" si="5"/>
        <v>3.8676045643308975E-2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9.1389813416875487</v>
      </c>
      <c r="K65" s="51">
        <f t="shared" si="2"/>
        <v>-1.3936044045150044</v>
      </c>
      <c r="L65" s="55">
        <f t="shared" si="3"/>
        <v>1.5959186449733816E-2</v>
      </c>
      <c r="M65" s="51">
        <f t="shared" si="4"/>
        <v>-1.4095635909647382</v>
      </c>
      <c r="N65" s="94">
        <f t="shared" si="8"/>
        <v>1377150302.0068021</v>
      </c>
      <c r="O65" s="56">
        <f t="shared" si="9"/>
        <v>4.0401323794264782E-2</v>
      </c>
      <c r="P65" s="57">
        <f t="shared" si="5"/>
        <v>3.8943628086360038E-2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9.1280067199572894</v>
      </c>
      <c r="K66" s="51">
        <f t="shared" ref="K66:K129" si="11">+$I$14+$I$13*J66</f>
        <v>-1.3907812409024189</v>
      </c>
      <c r="L66" s="55">
        <f t="shared" ref="L66:L129" si="12">SQRT(2*$I$20*$I$17)*SQRT((1/$I$2)+((J66-$I$11)^2/$I$8))</f>
        <v>1.5713721926458629E-2</v>
      </c>
      <c r="M66" s="51">
        <f t="shared" ref="M66:M102" si="13">+$I$14+$I$13*J66-L66</f>
        <v>-1.4064949628288776</v>
      </c>
      <c r="N66" s="94">
        <f t="shared" si="8"/>
        <v>1342785738.2680745</v>
      </c>
      <c r="O66" s="56">
        <f t="shared" si="9"/>
        <v>4.0664811088974302E-2</v>
      </c>
      <c r="P66" s="57">
        <f t="shared" ref="P66:P102" si="14">10^M66</f>
        <v>3.9219769521717442E-2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9.1167475638134174</v>
      </c>
      <c r="K67" s="51">
        <f t="shared" si="11"/>
        <v>-1.3878848823112011</v>
      </c>
      <c r="L67" s="55">
        <f t="shared" si="12"/>
        <v>1.546342318289943E-2</v>
      </c>
      <c r="M67" s="51">
        <f t="shared" si="13"/>
        <v>-1.4033483054941005</v>
      </c>
      <c r="N67" s="94">
        <f t="shared" ref="N67:N101" si="15">10^$J67</f>
        <v>1308421174.5293522</v>
      </c>
      <c r="O67" s="56">
        <f t="shared" ref="O67:O102" si="16">10^K67</f>
        <v>4.0936915612561124E-2</v>
      </c>
      <c r="P67" s="57">
        <f t="shared" si="14"/>
        <v>3.9504966195517632E-2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9.1051887256506365</v>
      </c>
      <c r="K68" s="51">
        <f t="shared" si="11"/>
        <v>-1.3849114320997051</v>
      </c>
      <c r="L68" s="55">
        <f t="shared" si="12"/>
        <v>1.5208153738299231E-2</v>
      </c>
      <c r="M68" s="51">
        <f t="shared" si="13"/>
        <v>-1.4001195858380044</v>
      </c>
      <c r="N68" s="94">
        <f t="shared" si="15"/>
        <v>1274056610.7906289</v>
      </c>
      <c r="O68" s="56">
        <f t="shared" si="16"/>
        <v>4.1218156882725246E-2</v>
      </c>
      <c r="P68" s="57">
        <f t="shared" si="14"/>
        <v>3.9799756422045272E-2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9.0933138151007977</v>
      </c>
      <c r="K69" s="51">
        <f t="shared" si="11"/>
        <v>-1.3818566739320879</v>
      </c>
      <c r="L69" s="55">
        <f t="shared" si="12"/>
        <v>1.494778008259883E-2</v>
      </c>
      <c r="M69" s="51">
        <f t="shared" si="13"/>
        <v>-1.3968044540146867</v>
      </c>
      <c r="N69" s="94">
        <f t="shared" si="15"/>
        <v>1239692047.0519085</v>
      </c>
      <c r="O69" s="56">
        <f t="shared" si="16"/>
        <v>4.1509100856100385E-2</v>
      </c>
      <c r="P69" s="57">
        <f t="shared" si="14"/>
        <v>4.0104725302599273E-2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9.0811050592537672</v>
      </c>
      <c r="K70" s="51">
        <f t="shared" si="11"/>
        <v>-1.3787160358208674</v>
      </c>
      <c r="L70" s="55">
        <f t="shared" si="12"/>
        <v>1.4682174193870072E-2</v>
      </c>
      <c r="M70" s="51">
        <f t="shared" si="13"/>
        <v>-1.3933982100147375</v>
      </c>
      <c r="N70" s="94">
        <f t="shared" si="15"/>
        <v>1205327483.3131876</v>
      </c>
      <c r="O70" s="56">
        <f t="shared" si="16"/>
        <v>4.1810365507155049E-2</v>
      </c>
      <c r="P70" s="57">
        <f t="shared" si="14"/>
        <v>4.0420510104513689E-2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9.068543142656333</v>
      </c>
      <c r="K71" s="51">
        <f t="shared" si="11"/>
        <v>-1.3754845489674818</v>
      </c>
      <c r="L71" s="55">
        <f t="shared" si="12"/>
        <v>1.4411216833860046E-2</v>
      </c>
      <c r="M71" s="51">
        <f t="shared" si="13"/>
        <v>-1.389895765801342</v>
      </c>
      <c r="N71" s="94">
        <f t="shared" si="15"/>
        <v>1170962919.5744667</v>
      </c>
      <c r="O71" s="56">
        <f t="shared" si="16"/>
        <v>4.2122627258817789E-2</v>
      </c>
      <c r="P71" s="57">
        <f t="shared" si="14"/>
        <v>4.0747806410974245E-2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9.055607023473641</v>
      </c>
      <c r="K72" s="51">
        <f t="shared" si="11"/>
        <v>-1.3721568004707887</v>
      </c>
      <c r="L72" s="55">
        <f t="shared" si="12"/>
        <v>1.4134801852866658E-2</v>
      </c>
      <c r="M72" s="51">
        <f t="shared" si="13"/>
        <v>-1.3862916023236553</v>
      </c>
      <c r="N72" s="94">
        <f t="shared" si="15"/>
        <v>1136598355.8357441</v>
      </c>
      <c r="O72" s="56">
        <f t="shared" si="16"/>
        <v>4.2446628424228992E-2</v>
      </c>
      <c r="P72" s="57">
        <f t="shared" si="14"/>
        <v>4.1087375173838578E-2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9.0422737214202655</v>
      </c>
      <c r="K73" s="51">
        <f t="shared" si="11"/>
        <v>-1.3687268787734497</v>
      </c>
      <c r="L73" s="55">
        <f t="shared" si="12"/>
        <v>1.3852841807941167E-2</v>
      </c>
      <c r="M73" s="51">
        <f t="shared" si="13"/>
        <v>-1.3825797205813908</v>
      </c>
      <c r="N73" s="94">
        <f t="shared" si="15"/>
        <v>1102233792.0970244</v>
      </c>
      <c r="O73" s="56">
        <f t="shared" si="16"/>
        <v>4.2783185854692138E-2</v>
      </c>
      <c r="P73" s="57">
        <f t="shared" si="14"/>
        <v>4.1440050828028034E-2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9.0285180720935596</v>
      </c>
      <c r="K74" s="51">
        <f t="shared" si="11"/>
        <v>-1.3651883104654803</v>
      </c>
      <c r="L74" s="55">
        <f t="shared" si="12"/>
        <v>1.3565275295813578E-2</v>
      </c>
      <c r="M74" s="51">
        <f t="shared" si="13"/>
        <v>-1.3787535857612938</v>
      </c>
      <c r="N74" s="94">
        <f t="shared" si="15"/>
        <v>1067869228.3582994</v>
      </c>
      <c r="O74" s="56">
        <f t="shared" si="16"/>
        <v>4.3133201033936898E-2</v>
      </c>
      <c r="P74" s="57">
        <f t="shared" si="14"/>
        <v>4.1806750658406652E-2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9.0143124411122866</v>
      </c>
      <c r="K75" s="51">
        <f t="shared" si="11"/>
        <v>-1.361533986747919</v>
      </c>
      <c r="L75" s="55">
        <f t="shared" si="12"/>
        <v>1.3272076532824436E-2</v>
      </c>
      <c r="M75" s="51">
        <f t="shared" si="13"/>
        <v>-1.3748060632807435</v>
      </c>
      <c r="N75" s="94">
        <f t="shared" si="15"/>
        <v>1033504664.6195766</v>
      </c>
      <c r="O75" s="56">
        <f t="shared" si="16"/>
        <v>4.3497671916069743E-2</v>
      </c>
      <c r="P75" s="57">
        <f t="shared" si="14"/>
        <v>4.2188485649944631E-2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8.9996263899010334</v>
      </c>
      <c r="K76" s="51">
        <f t="shared" si="11"/>
        <v>-1.3577560774576276</v>
      </c>
      <c r="L76" s="55">
        <f t="shared" si="12"/>
        <v>1.2973267890680809E-2</v>
      </c>
      <c r="M76" s="51">
        <f t="shared" si="13"/>
        <v>-1.3707293453483085</v>
      </c>
      <c r="N76" s="94">
        <f t="shared" si="15"/>
        <v>999140100.88085806</v>
      </c>
      <c r="O76" s="56">
        <f t="shared" si="16"/>
        <v>4.3877706877916867E-2</v>
      </c>
      <c r="P76" s="57">
        <f t="shared" si="14"/>
        <v>4.2586373101388755E-2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8.9844262829605928</v>
      </c>
      <c r="K77" s="51">
        <f t="shared" si="11"/>
        <v>-1.3538459300396672</v>
      </c>
      <c r="L77" s="55">
        <f t="shared" si="12"/>
        <v>1.2668936335669337E-2</v>
      </c>
      <c r="M77" s="51">
        <f t="shared" si="13"/>
        <v>-1.3665148663753366</v>
      </c>
      <c r="N77" s="94">
        <f t="shared" si="15"/>
        <v>964775537.14213336</v>
      </c>
      <c r="O77" s="56">
        <f t="shared" si="16"/>
        <v>4.4274541251092439E-2</v>
      </c>
      <c r="P77" s="57">
        <f t="shared" si="14"/>
        <v>4.3001651344280641E-2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8.9686748238833811</v>
      </c>
      <c r="K78" s="51">
        <f t="shared" si="11"/>
        <v>-1.3497939501897096</v>
      </c>
      <c r="L78" s="55">
        <f t="shared" si="12"/>
        <v>1.2359255042674346E-2</v>
      </c>
      <c r="M78" s="51">
        <f t="shared" si="13"/>
        <v>-1.3621532052323839</v>
      </c>
      <c r="N78" s="94">
        <f t="shared" si="15"/>
        <v>930410973.40341306</v>
      </c>
      <c r="O78" s="56">
        <f t="shared" si="16"/>
        <v>4.4689557022241554E-2</v>
      </c>
      <c r="P78" s="57">
        <f t="shared" si="14"/>
        <v>4.3435696986540422E-2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8.9523305040140322</v>
      </c>
      <c r="K79" s="51">
        <f t="shared" si="11"/>
        <v>-1.3455894600248794</v>
      </c>
      <c r="L79" s="55">
        <f t="shared" si="12"/>
        <v>1.2044511894364783E-2</v>
      </c>
      <c r="M79" s="51">
        <f t="shared" si="13"/>
        <v>-1.3576339719192443</v>
      </c>
      <c r="N79" s="94">
        <f t="shared" si="15"/>
        <v>896046409.66469169</v>
      </c>
      <c r="O79" s="56">
        <f t="shared" si="16"/>
        <v>4.5124306451493394E-2</v>
      </c>
      <c r="P79" s="57">
        <f t="shared" si="14"/>
        <v>4.3890045197877037E-2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8.9353469432447152</v>
      </c>
      <c r="K80" s="51">
        <f t="shared" si="11"/>
        <v>-1.3412205285068231</v>
      </c>
      <c r="L80" s="55">
        <f t="shared" si="12"/>
        <v>1.1725147170270228E-2</v>
      </c>
      <c r="M80" s="51">
        <f t="shared" si="13"/>
        <v>-1.3529456756770932</v>
      </c>
      <c r="N80" s="94">
        <f t="shared" si="15"/>
        <v>861681845.92596829</v>
      </c>
      <c r="O80" s="56">
        <f t="shared" si="16"/>
        <v>4.5580540573217365E-2</v>
      </c>
      <c r="P80" s="57">
        <f t="shared" si="14"/>
        <v>4.4366413679974237E-2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8.9176720965867275</v>
      </c>
      <c r="K81" s="51">
        <f t="shared" si="11"/>
        <v>-1.3366737673364328</v>
      </c>
      <c r="L81" s="55">
        <f t="shared" si="12"/>
        <v>1.1401803531036678E-2</v>
      </c>
      <c r="M81" s="51">
        <f t="shared" si="13"/>
        <v>-1.3480755708674694</v>
      </c>
      <c r="N81" s="94">
        <f t="shared" si="15"/>
        <v>827317282.18724895</v>
      </c>
      <c r="O81" s="56">
        <f t="shared" si="16"/>
        <v>4.6060243829597516E-2</v>
      </c>
      <c r="P81" s="57">
        <f t="shared" si="14"/>
        <v>4.4866731128032432E-2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8.899247292325061</v>
      </c>
      <c r="K82" s="51">
        <f t="shared" si="11"/>
        <v>-1.331934083524176</v>
      </c>
      <c r="L82" s="55">
        <f t="shared" si="12"/>
        <v>1.1075392470483064E-2</v>
      </c>
      <c r="M82" s="51">
        <f t="shared" si="13"/>
        <v>-1.3430094759946591</v>
      </c>
      <c r="N82" s="94">
        <f t="shared" si="15"/>
        <v>792952718.4485234</v>
      </c>
      <c r="O82" s="56">
        <f t="shared" si="16"/>
        <v>4.6565676474927375E-2</v>
      </c>
      <c r="P82" s="57">
        <f t="shared" si="14"/>
        <v>4.5393171207718609E-2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8.8800060569479307</v>
      </c>
      <c r="K83" s="51">
        <f t="shared" si="11"/>
        <v>-1.3269843771094085</v>
      </c>
      <c r="L83" s="55">
        <f t="shared" si="12"/>
        <v>1.0747182805029957E-2</v>
      </c>
      <c r="M83" s="51">
        <f t="shared" si="13"/>
        <v>-1.3377315599144386</v>
      </c>
      <c r="N83" s="94">
        <f t="shared" si="15"/>
        <v>758588154.70980608</v>
      </c>
      <c r="O83" s="56">
        <f t="shared" si="16"/>
        <v>4.7099426918553254E-2</v>
      </c>
      <c r="P83" s="57">
        <f t="shared" si="14"/>
        <v>4.5948193368536235E-2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8.8598726674869202</v>
      </c>
      <c r="K84" s="51">
        <f t="shared" si="11"/>
        <v>-1.3218051687575048</v>
      </c>
      <c r="L84" s="55">
        <f t="shared" si="12"/>
        <v>1.0418918540313909E-2</v>
      </c>
      <c r="M84" s="51">
        <f t="shared" si="13"/>
        <v>-1.3322240872978186</v>
      </c>
      <c r="N84" s="94">
        <f t="shared" si="15"/>
        <v>724223590.97108138</v>
      </c>
      <c r="O84" s="56">
        <f t="shared" si="16"/>
        <v>4.7664476908718056E-2</v>
      </c>
      <c r="P84" s="57">
        <f t="shared" si="14"/>
        <v>4.653459223442391E-2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8.838760351679003</v>
      </c>
      <c r="K85" s="51">
        <f t="shared" si="11"/>
        <v>-1.3163741367610222</v>
      </c>
      <c r="L85" s="55">
        <f t="shared" si="12"/>
        <v>1.0092975571779189E-2</v>
      </c>
      <c r="M85" s="51">
        <f t="shared" si="13"/>
        <v>-1.3264671123328013</v>
      </c>
      <c r="N85" s="94">
        <f t="shared" si="15"/>
        <v>689859027.23235881</v>
      </c>
      <c r="O85" s="56">
        <f t="shared" si="16"/>
        <v>4.8264283490770943E-2</v>
      </c>
      <c r="P85" s="57">
        <f t="shared" si="14"/>
        <v>4.7155557930977185E-2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8.8165690278578079</v>
      </c>
      <c r="K86" s="51">
        <f t="shared" si="11"/>
        <v>-1.3106655356386376</v>
      </c>
      <c r="L86" s="55">
        <f t="shared" si="12"/>
        <v>9.7725689346045141E-3</v>
      </c>
      <c r="M86" s="51">
        <f t="shared" si="13"/>
        <v>-1.3204381045732421</v>
      </c>
      <c r="N86" s="94">
        <f t="shared" si="15"/>
        <v>655494463.4936378</v>
      </c>
      <c r="O86" s="56">
        <f t="shared" si="16"/>
        <v>4.8902883142865457E-2</v>
      </c>
      <c r="P86" s="57">
        <f t="shared" si="14"/>
        <v>4.7814750663067444E-2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8.7931824356793342</v>
      </c>
      <c r="K87" s="51">
        <f t="shared" si="11"/>
        <v>-1.3046494580294561</v>
      </c>
      <c r="L87" s="55">
        <f t="shared" si="12"/>
        <v>9.4620241258107432E-3</v>
      </c>
      <c r="M87" s="51">
        <f t="shared" si="13"/>
        <v>-1.3141114821552669</v>
      </c>
      <c r="N87" s="94">
        <f t="shared" si="15"/>
        <v>621129899.75491393</v>
      </c>
      <c r="O87" s="56">
        <f t="shared" si="16"/>
        <v>4.9585025620708101E-2</v>
      </c>
      <c r="P87" s="57">
        <f t="shared" si="14"/>
        <v>4.8516394397505137E-2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8.7684644493744504</v>
      </c>
      <c r="K88" s="51">
        <f t="shared" si="11"/>
        <v>-1.2982908862966434</v>
      </c>
      <c r="L88" s="55">
        <f t="shared" si="12"/>
        <v>9.1671260383359016E-3</v>
      </c>
      <c r="M88" s="51">
        <f t="shared" si="13"/>
        <v>-1.3074580123349793</v>
      </c>
      <c r="N88" s="94">
        <f t="shared" si="15"/>
        <v>586765336.01619339</v>
      </c>
      <c r="O88" s="56">
        <f t="shared" si="16"/>
        <v>5.0316348180318521E-2</v>
      </c>
      <c r="P88" s="57">
        <f t="shared" si="14"/>
        <v>4.9265397091765029E-2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8.7422542770673637</v>
      </c>
      <c r="K89" s="51">
        <f t="shared" si="11"/>
        <v>-1.2915484575773966</v>
      </c>
      <c r="L89" s="55">
        <f t="shared" si="12"/>
        <v>8.8955546786339545E-3</v>
      </c>
      <c r="M89" s="51">
        <f t="shared" si="13"/>
        <v>-1.3004440122560306</v>
      </c>
      <c r="N89" s="94">
        <f t="shared" si="15"/>
        <v>552400772.2774713</v>
      </c>
      <c r="O89" s="56">
        <f t="shared" si="16"/>
        <v>5.110360556308486E-2</v>
      </c>
      <c r="P89" s="57">
        <f t="shared" si="14"/>
        <v>5.0067509367159153E-2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8.714360116152573</v>
      </c>
      <c r="K90" s="51">
        <f t="shared" si="11"/>
        <v>-1.2843728316620977</v>
      </c>
      <c r="L90" s="55">
        <f t="shared" si="12"/>
        <v>8.657403816216552E-3</v>
      </c>
      <c r="M90" s="51">
        <f t="shared" si="13"/>
        <v>-1.2930302354783143</v>
      </c>
      <c r="N90" s="94">
        <f t="shared" si="15"/>
        <v>518036208.53875023</v>
      </c>
      <c r="O90" s="56">
        <f t="shared" si="16"/>
        <v>5.1954978368323572E-2</v>
      </c>
      <c r="P90" s="57">
        <f t="shared" si="14"/>
        <v>5.0929541279766545E-2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8.6845506276658124</v>
      </c>
      <c r="K91" s="51">
        <f t="shared" si="11"/>
        <v>-1.2767044978211621</v>
      </c>
      <c r="L91" s="55">
        <f t="shared" si="12"/>
        <v>8.4657516672244706E-3</v>
      </c>
      <c r="M91" s="51">
        <f t="shared" si="13"/>
        <v>-1.2851702494883865</v>
      </c>
      <c r="N91" s="94">
        <f t="shared" si="15"/>
        <v>483671644.80002958</v>
      </c>
      <c r="O91" s="56">
        <f t="shared" si="16"/>
        <v>5.2880493827328345E-2</v>
      </c>
      <c r="P91" s="57">
        <f t="shared" si="14"/>
        <v>5.1859670194278576E-2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8.6525432631103136</v>
      </c>
      <c r="K92" s="51">
        <f t="shared" si="11"/>
        <v>-1.2684707719426012</v>
      </c>
      <c r="L92" s="55">
        <f t="shared" si="12"/>
        <v>8.3372089606712687E-3</v>
      </c>
      <c r="M92" s="51">
        <f t="shared" si="13"/>
        <v>-1.2768079809032724</v>
      </c>
      <c r="N92" s="94">
        <f t="shared" si="15"/>
        <v>449307081.06130582</v>
      </c>
      <c r="O92" s="56">
        <f t="shared" si="16"/>
        <v>5.3892611392840857E-2</v>
      </c>
      <c r="P92" s="57">
        <f t="shared" si="14"/>
        <v>5.2867895038243712E-2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8.617987937341713</v>
      </c>
      <c r="K93" s="51">
        <f t="shared" si="11"/>
        <v>-1.2595815964676982</v>
      </c>
      <c r="L93" s="55">
        <f t="shared" si="12"/>
        <v>8.2923195822160456E-3</v>
      </c>
      <c r="M93" s="51">
        <f t="shared" si="13"/>
        <v>-1.2678739160499142</v>
      </c>
      <c r="N93" s="94">
        <f t="shared" si="15"/>
        <v>414942517.32258517</v>
      </c>
      <c r="O93" s="56">
        <f t="shared" si="16"/>
        <v>5.5007056199839886E-2</v>
      </c>
      <c r="P93" s="57">
        <f t="shared" si="14"/>
        <v>5.3966727545102115E-2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8.5804436265306308</v>
      </c>
      <c r="K94" s="51">
        <f t="shared" si="11"/>
        <v>-1.2499235203401891</v>
      </c>
      <c r="L94" s="55">
        <f t="shared" si="12"/>
        <v>8.3556726867541169E-3</v>
      </c>
      <c r="M94" s="51">
        <f t="shared" si="13"/>
        <v>-1.2582791930269432</v>
      </c>
      <c r="N94" s="94">
        <f t="shared" si="15"/>
        <v>380577953.58386189</v>
      </c>
      <c r="O94" s="56">
        <f t="shared" si="16"/>
        <v>5.6244036273770046E-2</v>
      </c>
      <c r="P94" s="57">
        <f t="shared" si="14"/>
        <v>5.5172264168606815E-2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8.5393438602563183</v>
      </c>
      <c r="K95" s="51">
        <f t="shared" si="11"/>
        <v>-1.2393508220291856</v>
      </c>
      <c r="L95" s="55">
        <f t="shared" si="12"/>
        <v>8.5556817361039147E-3</v>
      </c>
      <c r="M95" s="51">
        <f t="shared" si="13"/>
        <v>-1.2479065037652894</v>
      </c>
      <c r="N95" s="94">
        <f t="shared" si="15"/>
        <v>346213389.84514058</v>
      </c>
      <c r="O95" s="56">
        <f t="shared" si="16"/>
        <v>5.7630074097200182E-2</v>
      </c>
      <c r="P95" s="57">
        <f t="shared" si="14"/>
        <v>5.6505860925200144E-2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8.4939441135740523</v>
      </c>
      <c r="K96" s="51">
        <f t="shared" si="11"/>
        <v>-1.2276719764157105</v>
      </c>
      <c r="L96" s="55">
        <f t="shared" si="12"/>
        <v>8.9242775473646375E-3</v>
      </c>
      <c r="M96" s="51">
        <f t="shared" si="13"/>
        <v>-1.236596253963075</v>
      </c>
      <c r="N96" s="94">
        <f t="shared" si="15"/>
        <v>311848826.10641807</v>
      </c>
      <c r="O96" s="56">
        <f t="shared" si="16"/>
        <v>5.9200861076822993E-2</v>
      </c>
      <c r="P96" s="57">
        <f t="shared" si="14"/>
        <v>5.7996761834865039E-2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8.4432383569697489</v>
      </c>
      <c r="K97" s="51">
        <f t="shared" si="11"/>
        <v>-1.2146281877082417</v>
      </c>
      <c r="L97" s="55">
        <f t="shared" si="12"/>
        <v>9.4972411674376801E-3</v>
      </c>
      <c r="M97" s="51">
        <f t="shared" si="13"/>
        <v>-1.2241254288756793</v>
      </c>
      <c r="N97" s="94">
        <f t="shared" si="15"/>
        <v>277484262.36769646</v>
      </c>
      <c r="O97" s="56">
        <f t="shared" si="16"/>
        <v>6.1005896316902133E-2</v>
      </c>
      <c r="P97" s="57">
        <f t="shared" si="14"/>
        <v>5.968628813264875E-2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8.385820148721054</v>
      </c>
      <c r="K98" s="51">
        <f t="shared" si="11"/>
        <v>-1.1998576561845318</v>
      </c>
      <c r="L98" s="55">
        <f t="shared" si="12"/>
        <v>1.0316432910494182E-2</v>
      </c>
      <c r="M98" s="51">
        <f t="shared" si="13"/>
        <v>-1.2101740890950259</v>
      </c>
      <c r="N98" s="94">
        <f t="shared" si="15"/>
        <v>243119698.62897554</v>
      </c>
      <c r="O98" s="56">
        <f t="shared" si="16"/>
        <v>6.3116418016344503E-2</v>
      </c>
      <c r="P98" s="57">
        <f t="shared" si="14"/>
        <v>6.1634788623179226E-2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8.319637166920069</v>
      </c>
      <c r="K99" s="51">
        <f t="shared" si="11"/>
        <v>-1.1828324328478774</v>
      </c>
      <c r="L99" s="55">
        <f t="shared" si="12"/>
        <v>1.14357309303313E-2</v>
      </c>
      <c r="M99" s="51">
        <f t="shared" si="13"/>
        <v>-1.1942681637782087</v>
      </c>
      <c r="N99" s="94">
        <f t="shared" si="15"/>
        <v>208755134.89025301</v>
      </c>
      <c r="O99" s="56">
        <f t="shared" si="16"/>
        <v>6.5639848068180545E-2</v>
      </c>
      <c r="P99" s="57">
        <f t="shared" si="14"/>
        <v>6.3933994039658798E-2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8.2415230000486179</v>
      </c>
      <c r="K100" s="51">
        <f t="shared" si="11"/>
        <v>-1.1627379750196964</v>
      </c>
      <c r="L100" s="55">
        <f t="shared" si="12"/>
        <v>1.2933728017671961E-2</v>
      </c>
      <c r="M100" s="51">
        <f t="shared" si="13"/>
        <v>-1.1756717030373685</v>
      </c>
      <c r="N100" s="94">
        <f t="shared" si="15"/>
        <v>174390571.15153131</v>
      </c>
      <c r="O100" s="56">
        <f t="shared" si="16"/>
        <v>6.8748309739948485E-2</v>
      </c>
      <c r="P100" s="57">
        <f t="shared" si="14"/>
        <v>6.6731102014868357E-2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8.1462087058703254</v>
      </c>
      <c r="K101" s="51">
        <f t="shared" si="11"/>
        <v>-1.1382188750728144</v>
      </c>
      <c r="L101" s="55">
        <f t="shared" si="12"/>
        <v>1.4940495340061951E-2</v>
      </c>
      <c r="M101" s="51">
        <f t="shared" si="13"/>
        <v>-1.1531593704128764</v>
      </c>
      <c r="N101" s="94">
        <f t="shared" si="15"/>
        <v>140026007.41280854</v>
      </c>
      <c r="O101" s="56">
        <f t="shared" si="16"/>
        <v>7.2741311158767752E-2</v>
      </c>
      <c r="P101" s="57">
        <f t="shared" si="14"/>
        <v>7.0281436503032452E-2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8.0239165402464945</v>
      </c>
      <c r="K102" s="51">
        <f t="shared" si="11"/>
        <v>-1.1067598598484829</v>
      </c>
      <c r="L102" s="55">
        <f t="shared" si="12"/>
        <v>1.7701132462222442E-2</v>
      </c>
      <c r="M102" s="51">
        <f t="shared" si="13"/>
        <v>-1.1244609923107054</v>
      </c>
      <c r="N102" s="94">
        <f>10^$J102</f>
        <v>105661443.67408726</v>
      </c>
      <c r="O102" s="56">
        <f t="shared" si="16"/>
        <v>7.8206011982738285E-2</v>
      </c>
      <c r="P102" s="57">
        <f t="shared" si="14"/>
        <v>7.5082548912856151E-2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9.5492630025511875</v>
      </c>
      <c r="K104" s="51">
        <f t="shared" si="11"/>
        <v>-1.4991471999143053</v>
      </c>
      <c r="L104" s="55">
        <f t="shared" si="12"/>
        <v>2.5777337349285362E-2</v>
      </c>
      <c r="M104" s="51">
        <f>+$I$14+$I$13*J104+L104</f>
        <v>-1.47336986256502</v>
      </c>
      <c r="N104" s="94">
        <f t="shared" ref="N104:N167" si="17">10^$J104</f>
        <v>3542117817.5462699</v>
      </c>
      <c r="O104" s="56">
        <f t="shared" ref="O104:O167" si="18">10^K104</f>
        <v>3.1684933508470306E-2</v>
      </c>
      <c r="P104" s="57">
        <f t="shared" ref="P104:P167" si="19">10^M104</f>
        <v>3.3622510465262594E-2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9.5450290361538883</v>
      </c>
      <c r="K105" s="51">
        <f t="shared" si="11"/>
        <v>-1.4980580343682335</v>
      </c>
      <c r="L105" s="55">
        <f t="shared" si="12"/>
        <v>2.5672113642433721E-2</v>
      </c>
      <c r="M105" s="51">
        <f t="shared" ref="M105:M168" si="21">+$I$14+$I$13*J105+L105</f>
        <v>-1.4723859207257997</v>
      </c>
      <c r="N105" s="94">
        <f t="shared" si="17"/>
        <v>3507753253.8075647</v>
      </c>
      <c r="O105" s="56">
        <f t="shared" si="18"/>
        <v>3.1764495762814919E-2</v>
      </c>
      <c r="P105" s="57">
        <f t="shared" si="19"/>
        <v>3.3698772312028516E-2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9.5407533858176965</v>
      </c>
      <c r="K106" s="51">
        <f t="shared" si="11"/>
        <v>-1.4969581458485233</v>
      </c>
      <c r="L106" s="55">
        <f t="shared" si="12"/>
        <v>2.5565904956216069E-2</v>
      </c>
      <c r="M106" s="51">
        <f t="shared" si="21"/>
        <v>-1.4713922408923072</v>
      </c>
      <c r="N106" s="94">
        <f t="shared" si="17"/>
        <v>3473388690.06884</v>
      </c>
      <c r="O106" s="56">
        <f t="shared" si="18"/>
        <v>3.1845044063701949E-2</v>
      </c>
      <c r="P106" s="57">
        <f t="shared" si="19"/>
        <v>3.3775964469370395E-2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9.5364352226074978</v>
      </c>
      <c r="K107" s="51">
        <f t="shared" si="11"/>
        <v>-1.4958473211159835</v>
      </c>
      <c r="L107" s="55">
        <f t="shared" si="12"/>
        <v>2.5458692862929358E-2</v>
      </c>
      <c r="M107" s="51">
        <f t="shared" si="21"/>
        <v>-1.4703886282530541</v>
      </c>
      <c r="N107" s="94">
        <f t="shared" si="17"/>
        <v>3439024126.3301115</v>
      </c>
      <c r="O107" s="56">
        <f t="shared" si="18"/>
        <v>3.1926600570203564E-2</v>
      </c>
      <c r="P107" s="57">
        <f t="shared" si="19"/>
        <v>3.385410771993589E-2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9.532073692613082</v>
      </c>
      <c r="K108" s="51">
        <f t="shared" si="11"/>
        <v>-1.4947253405067125</v>
      </c>
      <c r="L108" s="55">
        <f t="shared" si="12"/>
        <v>2.5350458420624167E-2</v>
      </c>
      <c r="M108" s="51">
        <f t="shared" si="21"/>
        <v>-1.4693748820860884</v>
      </c>
      <c r="N108" s="94">
        <f t="shared" si="17"/>
        <v>3404659562.5913954</v>
      </c>
      <c r="O108" s="56">
        <f t="shared" si="18"/>
        <v>3.2009188167206368E-2</v>
      </c>
      <c r="P108" s="57">
        <f t="shared" si="19"/>
        <v>3.3933223526008291E-2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9.527667915935659</v>
      </c>
      <c r="K109" s="51">
        <f t="shared" si="11"/>
        <v>-1.4935919776713824</v>
      </c>
      <c r="L109" s="55">
        <f t="shared" si="12"/>
        <v>2.5241182154189606E-2</v>
      </c>
      <c r="M109" s="51">
        <f t="shared" si="21"/>
        <v>-1.4683507955171928</v>
      </c>
      <c r="N109" s="94">
        <f t="shared" si="17"/>
        <v>3370294998.8526707</v>
      </c>
      <c r="O109" s="56">
        <f t="shared" si="18"/>
        <v>3.2092830496799868E-2</v>
      </c>
      <c r="P109" s="57">
        <f t="shared" si="19"/>
        <v>3.4013334058932955E-2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9.5232169856224296</v>
      </c>
      <c r="K110" s="51">
        <f t="shared" si="11"/>
        <v>-1.4924469993011651</v>
      </c>
      <c r="L110" s="55">
        <f t="shared" si="12"/>
        <v>2.5130844035585975E-2</v>
      </c>
      <c r="M110" s="51">
        <f t="shared" si="21"/>
        <v>-1.4673161552655791</v>
      </c>
      <c r="N110" s="94">
        <f t="shared" si="17"/>
        <v>3335930435.1139498</v>
      </c>
      <c r="O110" s="56">
        <f t="shared" si="18"/>
        <v>3.2177551991358369E-2</v>
      </c>
      <c r="P110" s="57">
        <f t="shared" si="19"/>
        <v>3.4094462230136215E-2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9.5187199665459943</v>
      </c>
      <c r="K111" s="51">
        <f t="shared" si="11"/>
        <v>-1.4912901648394641</v>
      </c>
      <c r="L111" s="55">
        <f t="shared" si="12"/>
        <v>2.5019423463180871E-2</v>
      </c>
      <c r="M111" s="51">
        <f t="shared" si="21"/>
        <v>-1.4662707413762832</v>
      </c>
      <c r="N111" s="94">
        <f t="shared" si="17"/>
        <v>3301565871.3752255</v>
      </c>
      <c r="O111" s="56">
        <f t="shared" si="18"/>
        <v>3.2263377908426309E-2</v>
      </c>
      <c r="P111" s="57">
        <f t="shared" si="19"/>
        <v>3.4176631723841562E-2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9.5141758942251311</v>
      </c>
      <c r="K112" s="51">
        <f t="shared" si="11"/>
        <v>-1.4901212261785672</v>
      </c>
      <c r="L112" s="55">
        <f t="shared" si="12"/>
        <v>2.4906899240141705E-2</v>
      </c>
      <c r="M112" s="51">
        <f t="shared" si="21"/>
        <v>-1.4652143269384255</v>
      </c>
      <c r="N112" s="94">
        <f t="shared" si="17"/>
        <v>3267201307.6364961</v>
      </c>
      <c r="O112" s="56">
        <f t="shared" si="18"/>
        <v>3.2350334367525227E-2</v>
      </c>
      <c r="P112" s="57">
        <f t="shared" si="19"/>
        <v>3.425986703159449E-2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9.5095837735832429</v>
      </c>
      <c r="K113" s="51">
        <f t="shared" si="11"/>
        <v>-1.488939927340263</v>
      </c>
      <c r="L113" s="55">
        <f t="shared" si="12"/>
        <v>2.4793249551835393E-2</v>
      </c>
      <c r="M113" s="51">
        <f t="shared" si="21"/>
        <v>-1.4641466777884276</v>
      </c>
      <c r="N113" s="94">
        <f t="shared" si="17"/>
        <v>3232836743.8977737</v>
      </c>
      <c r="O113" s="56">
        <f t="shared" si="18"/>
        <v>3.2438448389009361E-2</v>
      </c>
      <c r="P113" s="57">
        <f t="shared" si="19"/>
        <v>3.4344193488716278E-2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9.504942577640433</v>
      </c>
      <c r="K114" s="51">
        <f t="shared" si="11"/>
        <v>-1.4877460041393848</v>
      </c>
      <c r="L114" s="55">
        <f t="shared" si="12"/>
        <v>2.4678451942181732E-2</v>
      </c>
      <c r="M114" s="51">
        <f t="shared" si="21"/>
        <v>-1.4630675521972032</v>
      </c>
      <c r="N114" s="94">
        <f t="shared" si="17"/>
        <v>3198472180.1590538</v>
      </c>
      <c r="O114" s="56">
        <f t="shared" si="18"/>
        <v>3.2527747935107716E-2</v>
      </c>
      <c r="P114" s="57">
        <f t="shared" si="19"/>
        <v>3.4429637312817563E-2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9.5002512461349617</v>
      </c>
      <c r="K115" s="51">
        <f t="shared" si="11"/>
        <v>-1.4865391838291862</v>
      </c>
      <c r="L115" s="55">
        <f t="shared" si="12"/>
        <v>2.4562483288906239E-2</v>
      </c>
      <c r="M115" s="51">
        <f t="shared" si="21"/>
        <v>-1.4619767005402799</v>
      </c>
      <c r="N115" s="94">
        <f t="shared" si="17"/>
        <v>3164107616.4203324</v>
      </c>
      <c r="O115" s="56">
        <f t="shared" si="18"/>
        <v>3.261826195330006E-2</v>
      </c>
      <c r="P115" s="57">
        <f t="shared" si="19"/>
        <v>3.4516225644510984E-2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9.4955086840694154</v>
      </c>
      <c r="K116" s="51">
        <f t="shared" si="11"/>
        <v>-1.4853191847273526</v>
      </c>
      <c r="L116" s="55">
        <f t="shared" si="12"/>
        <v>2.444531977763292E-2</v>
      </c>
      <c r="M116" s="51">
        <f t="shared" si="21"/>
        <v>-1.4608738649497197</v>
      </c>
      <c r="N116" s="94">
        <f t="shared" si="17"/>
        <v>3129743052.6816144</v>
      </c>
      <c r="O116" s="56">
        <f t="shared" si="18"/>
        <v>3.2710020422186514E-2</v>
      </c>
      <c r="P116" s="57">
        <f t="shared" si="19"/>
        <v>3.4603986590474631E-2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9.4907137601766181</v>
      </c>
      <c r="K117" s="51">
        <f t="shared" si="11"/>
        <v>-1.4840857158213638</v>
      </c>
      <c r="L117" s="55">
        <f t="shared" si="12"/>
        <v>2.4326936874755394E-2</v>
      </c>
      <c r="M117" s="51">
        <f t="shared" si="21"/>
        <v>-1.4597587789466084</v>
      </c>
      <c r="N117" s="94">
        <f t="shared" si="17"/>
        <v>3095378488.9428968</v>
      </c>
      <c r="O117" s="56">
        <f t="shared" si="18"/>
        <v>3.2803054400023915E-2</v>
      </c>
      <c r="P117" s="57">
        <f t="shared" si="19"/>
        <v>3.4692949269030549E-2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9.4858653052999067</v>
      </c>
      <c r="K118" s="51">
        <f t="shared" si="11"/>
        <v>-1.4828384763518287</v>
      </c>
      <c r="L118" s="55">
        <f t="shared" si="12"/>
        <v>2.4207309299020995E-2</v>
      </c>
      <c r="M118" s="51">
        <f t="shared" si="21"/>
        <v>-1.4586311670528078</v>
      </c>
      <c r="N118" s="94">
        <f t="shared" si="17"/>
        <v>3061013925.2041717</v>
      </c>
      <c r="O118" s="56">
        <f t="shared" si="18"/>
        <v>3.2897396076114652E-2</v>
      </c>
      <c r="P118" s="57">
        <f t="shared" si="19"/>
        <v>3.4783143858414557E-2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9.4809621106819666</v>
      </c>
      <c r="K119" s="51">
        <f t="shared" si="11"/>
        <v>-1.4815771553722978</v>
      </c>
      <c r="L119" s="55">
        <f t="shared" si="12"/>
        <v>2.4086410991758653E-2</v>
      </c>
      <c r="M119" s="51">
        <f t="shared" si="21"/>
        <v>-1.4574907443805392</v>
      </c>
      <c r="N119" s="94">
        <f t="shared" si="17"/>
        <v>3026649361.4654408</v>
      </c>
      <c r="O119" s="56">
        <f t="shared" si="18"/>
        <v>3.2993078825250433E-2</v>
      </c>
      <c r="P119" s="57">
        <f t="shared" si="19"/>
        <v>3.4874601647929798E-2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9.4760029261559691</v>
      </c>
      <c r="K120" s="51">
        <f t="shared" si="11"/>
        <v>-1.4803014312839409</v>
      </c>
      <c r="L120" s="55">
        <f t="shared" si="12"/>
        <v>2.3964215085677969E-2</v>
      </c>
      <c r="M120" s="51">
        <f t="shared" si="21"/>
        <v>-1.4563372161982628</v>
      </c>
      <c r="N120" s="94">
        <f t="shared" si="17"/>
        <v>2992284797.7267156</v>
      </c>
      <c r="O120" s="56">
        <f t="shared" si="18"/>
        <v>3.3090137265429302E-2</v>
      </c>
      <c r="P120" s="57">
        <f t="shared" si="19"/>
        <v>3.4967355092191538E-2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9.4709864582322236</v>
      </c>
      <c r="K121" s="51">
        <f t="shared" si="11"/>
        <v>-1.4790109713433517</v>
      </c>
      <c r="L121" s="55">
        <f t="shared" si="12"/>
        <v>2.3840693872162123E-2</v>
      </c>
      <c r="M121" s="51">
        <f t="shared" si="21"/>
        <v>-1.4551702774711897</v>
      </c>
      <c r="N121" s="94">
        <f t="shared" si="17"/>
        <v>2957920233.9880018</v>
      </c>
      <c r="O121" s="56">
        <f t="shared" si="18"/>
        <v>3.3188607319082804E-2</v>
      </c>
      <c r="P121" s="57">
        <f t="shared" si="19"/>
        <v>3.5061437868688559E-2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9.4659113680730371</v>
      </c>
      <c r="K122" s="51">
        <f t="shared" si="11"/>
        <v>-1.4777054311415876</v>
      </c>
      <c r="L122" s="55">
        <f t="shared" si="12"/>
        <v>2.3715818766974116E-2</v>
      </c>
      <c r="M122" s="51">
        <f t="shared" si="21"/>
        <v>-1.4539896123746134</v>
      </c>
      <c r="N122" s="94">
        <f t="shared" si="17"/>
        <v>2923555670.2492785</v>
      </c>
      <c r="O122" s="56">
        <f t="shared" si="18"/>
        <v>3.3288526278070822E-2</v>
      </c>
      <c r="P122" s="57">
        <f t="shared" si="19"/>
        <v>3.5156884938906646E-2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9.4607762693478357</v>
      </c>
      <c r="K123" s="51">
        <f t="shared" si="11"/>
        <v>-1.4763844540524134</v>
      </c>
      <c r="L123" s="55">
        <f t="shared" si="12"/>
        <v>2.35895602742907E-2</v>
      </c>
      <c r="M123" s="51">
        <f t="shared" si="21"/>
        <v>-1.4527948937781228</v>
      </c>
      <c r="N123" s="94">
        <f t="shared" si="17"/>
        <v>2889191106.5105586</v>
      </c>
      <c r="O123" s="56">
        <f t="shared" si="18"/>
        <v>3.3389932872722468E-2</v>
      </c>
      <c r="P123" s="57">
        <f t="shared" si="19"/>
        <v>3.5253732613278889E-2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9.4555797259599625</v>
      </c>
      <c r="K124" s="51">
        <f t="shared" si="11"/>
        <v>-1.4750476706475317</v>
      </c>
      <c r="L124" s="55">
        <f t="shared" si="12"/>
        <v>2.3461887948974452E-2</v>
      </c>
      <c r="M124" s="51">
        <f t="shared" si="21"/>
        <v>-1.4515857826985572</v>
      </c>
      <c r="N124" s="94">
        <f t="shared" si="17"/>
        <v>2854826542.7718415</v>
      </c>
      <c r="O124" s="56">
        <f t="shared" si="18"/>
        <v>3.3492867345227002E-2</v>
      </c>
      <c r="P124" s="57">
        <f t="shared" si="19"/>
        <v>3.5352018620253507E-2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9.4503202496358103</v>
      </c>
      <c r="K125" s="51">
        <f t="shared" si="11"/>
        <v>-1.4736946980763985</v>
      </c>
      <c r="L125" s="55">
        <f t="shared" si="12"/>
        <v>2.3332770356989132E-2</v>
      </c>
      <c r="M125" s="51">
        <f t="shared" si="21"/>
        <v>-1.4503619277194093</v>
      </c>
      <c r="N125" s="94">
        <f t="shared" si="17"/>
        <v>2820461979.0331235</v>
      </c>
      <c r="O125" s="56">
        <f t="shared" si="18"/>
        <v>3.3597371527705387E-2</v>
      </c>
      <c r="P125" s="57">
        <f t="shared" si="19"/>
        <v>3.5451782179793674E-2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9.444996297366183</v>
      </c>
      <c r="K126" s="51">
        <f t="shared" si="11"/>
        <v>-1.4723251394080288</v>
      </c>
      <c r="L126" s="55">
        <f t="shared" si="12"/>
        <v>2.3202175033859896E-2</v>
      </c>
      <c r="M126" s="51">
        <f t="shared" si="21"/>
        <v>-1.449122964374169</v>
      </c>
      <c r="N126" s="94">
        <f t="shared" si="17"/>
        <v>2786097415.2943945</v>
      </c>
      <c r="O126" s="56">
        <f t="shared" si="18"/>
        <v>3.3703488925320609E-2</v>
      </c>
      <c r="P126" s="57">
        <f t="shared" si="19"/>
        <v>3.5553064081652895E-2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9.4396062686888662</v>
      </c>
      <c r="K127" s="51">
        <f t="shared" si="11"/>
        <v>-1.470938582931951</v>
      </c>
      <c r="L127" s="55">
        <f t="shared" si="12"/>
        <v>2.3070068441074048E-2</v>
      </c>
      <c r="M127" s="51">
        <f t="shared" si="21"/>
        <v>-1.4478685144908769</v>
      </c>
      <c r="N127" s="94">
        <f t="shared" si="17"/>
        <v>2751732851.5556779</v>
      </c>
      <c r="O127" s="56">
        <f t="shared" si="18"/>
        <v>3.3811264804820482E-2</v>
      </c>
      <c r="P127" s="57">
        <f t="shared" si="19"/>
        <v>3.5655906768801107E-2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9.4341485028004382</v>
      </c>
      <c r="K128" s="51">
        <f t="shared" si="11"/>
        <v>-1.4695346014152362</v>
      </c>
      <c r="L128" s="55">
        <f t="shared" si="12"/>
        <v>2.2936415920313872E-2</v>
      </c>
      <c r="M128" s="51">
        <f t="shared" si="21"/>
        <v>-1.4465981854949224</v>
      </c>
      <c r="N128" s="94">
        <f t="shared" si="17"/>
        <v>2717368287.8169565</v>
      </c>
      <c r="O128" s="56">
        <f t="shared" si="18"/>
        <v>3.3920746288939534E-2</v>
      </c>
      <c r="P128" s="57">
        <f t="shared" si="19"/>
        <v>3.5760354426410706E-2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9.4286212754842769</v>
      </c>
      <c r="K129" s="51">
        <f t="shared" si="11"/>
        <v>-1.4681127513122432</v>
      </c>
      <c r="L129" s="55">
        <f t="shared" si="12"/>
        <v>2.2801181645408116E-2</v>
      </c>
      <c r="M129" s="51">
        <f t="shared" si="21"/>
        <v>-1.445311569666835</v>
      </c>
      <c r="N129" s="94">
        <f t="shared" si="17"/>
        <v>2683003724.0782328</v>
      </c>
      <c r="O129" s="56">
        <f t="shared" si="18"/>
        <v>3.4031982457128233E-2</v>
      </c>
      <c r="P129" s="57">
        <f t="shared" si="19"/>
        <v>3.5866453076850977E-2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9.4230227958405575</v>
      </c>
      <c r="K130" s="51">
        <f t="shared" ref="K130:K193" si="22">+$I$14+$I$13*J130</f>
        <v>-1.466672571923429</v>
      </c>
      <c r="L130" s="55">
        <f t="shared" ref="L130:L193" si="23">SQRT(2*$I$20*$I$17)*SQRT((1/$I$2)+((J130-$I$11)^2/$I$8))</f>
        <v>2.2664328571884378E-2</v>
      </c>
      <c r="M130" s="51">
        <f t="shared" si="21"/>
        <v>-1.4440082433515447</v>
      </c>
      <c r="N130" s="94">
        <f t="shared" si="17"/>
        <v>2648639160.3395114</v>
      </c>
      <c r="O130" s="56">
        <f t="shared" si="18"/>
        <v>3.4145024453119836E-2</v>
      </c>
      <c r="P130" s="57">
        <f t="shared" si="19"/>
        <v>3.5974250681180299E-2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9.417351202802708</v>
      </c>
      <c r="K131" s="51">
        <f t="shared" si="22"/>
        <v>-1.4652135844992245</v>
      </c>
      <c r="L131" s="55">
        <f t="shared" si="23"/>
        <v>2.2525818383999523E-2</v>
      </c>
      <c r="M131" s="51">
        <f t="shared" si="21"/>
        <v>-1.4426877661152249</v>
      </c>
      <c r="N131" s="94">
        <f t="shared" si="17"/>
        <v>2614274596.6007829</v>
      </c>
      <c r="O131" s="56">
        <f t="shared" si="18"/>
        <v>3.4259925599895741E-2</v>
      </c>
      <c r="P131" s="57">
        <f t="shared" si="19"/>
        <v>3.6083797247674951E-2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9.4116045614233776</v>
      </c>
      <c r="K132" s="51">
        <f t="shared" si="22"/>
        <v>-1.4637352912846189</v>
      </c>
      <c r="L132" s="55">
        <f t="shared" si="23"/>
        <v>2.2385611439121902E-2</v>
      </c>
      <c r="M132" s="51">
        <f t="shared" si="21"/>
        <v>-1.441349679845497</v>
      </c>
      <c r="N132" s="94">
        <f t="shared" si="17"/>
        <v>2579910032.8620672</v>
      </c>
      <c r="O132" s="56">
        <f t="shared" si="18"/>
        <v>3.437674152266202E-2</v>
      </c>
      <c r="P132" s="57">
        <f t="shared" si="19"/>
        <v>3.6195144947983482E-2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9.4057808589113652</v>
      </c>
      <c r="K133" s="51">
        <f t="shared" si="22"/>
        <v>-1.4622371744996818</v>
      </c>
      <c r="L133" s="55">
        <f t="shared" si="23"/>
        <v>2.2243666709334906E-2</v>
      </c>
      <c r="M133" s="51">
        <f t="shared" si="21"/>
        <v>-1.439993507790347</v>
      </c>
      <c r="N133" s="94">
        <f t="shared" si="17"/>
        <v>2545545469.1233487</v>
      </c>
      <c r="O133" s="56">
        <f t="shared" si="18"/>
        <v>3.4495530280511139E-2</v>
      </c>
      <c r="P133" s="57">
        <f t="shared" si="19"/>
        <v>3.6308348241555585E-2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9.3998780003992088</v>
      </c>
      <c r="K134" s="51">
        <f t="shared" si="22"/>
        <v>-1.4607186952507965</v>
      </c>
      <c r="L134" s="55">
        <f t="shared" si="23"/>
        <v>2.2099941720128979E-2</v>
      </c>
      <c r="M134" s="51">
        <f t="shared" si="21"/>
        <v>-1.4386187535306674</v>
      </c>
      <c r="N134" s="94">
        <f t="shared" si="17"/>
        <v>2511180905.3846216</v>
      </c>
      <c r="O134" s="56">
        <f t="shared" si="18"/>
        <v>3.4616352507508469E-2</v>
      </c>
      <c r="P134" s="57">
        <f t="shared" si="19"/>
        <v>3.6423464009058201E-2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9.393893804419152</v>
      </c>
      <c r="K135" s="51">
        <f t="shared" si="22"/>
        <v>-1.459179292366878</v>
      </c>
      <c r="L135" s="55">
        <f t="shared" si="23"/>
        <v>2.1954392486046477E-2</v>
      </c>
      <c r="M135" s="51">
        <f t="shared" si="21"/>
        <v>-1.4372248998808315</v>
      </c>
      <c r="N135" s="94">
        <f t="shared" si="17"/>
        <v>2476816341.6458983</v>
      </c>
      <c r="O135" s="56">
        <f t="shared" si="18"/>
        <v>3.4739271564017758E-2</v>
      </c>
      <c r="P135" s="57">
        <f t="shared" si="19"/>
        <v>3.6540551695564985E-2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9.3878259980630485</v>
      </c>
      <c r="K136" s="51">
        <f t="shared" si="22"/>
        <v>-1.4576183811542811</v>
      </c>
      <c r="L136" s="55">
        <f t="shared" si="23"/>
        <v>2.1806973443143508E-2</v>
      </c>
      <c r="M136" s="51">
        <f t="shared" si="21"/>
        <v>-1.4358114077111377</v>
      </c>
      <c r="N136" s="94">
        <f t="shared" si="17"/>
        <v>2442451777.9071727</v>
      </c>
      <c r="O136" s="56">
        <f t="shared" si="18"/>
        <v>3.4864353699162916E-2</v>
      </c>
      <c r="P136" s="57">
        <f t="shared" si="19"/>
        <v>3.6659673464386353E-2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9.3816722117993248</v>
      </c>
      <c r="K137" s="51">
        <f t="shared" si="22"/>
        <v>-1.4560353520634952</v>
      </c>
      <c r="L137" s="55">
        <f t="shared" si="23"/>
        <v>2.165763737813298E-2</v>
      </c>
      <c r="M137" s="51">
        <f t="shared" si="21"/>
        <v>-1.4343777146853622</v>
      </c>
      <c r="N137" s="94">
        <f t="shared" si="17"/>
        <v>2408087214.1684556</v>
      </c>
      <c r="O137" s="56">
        <f t="shared" si="18"/>
        <v>3.4991668225414177E-2</v>
      </c>
      <c r="P137" s="57">
        <f t="shared" si="19"/>
        <v>3.67808943624965E-2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9.3754299739174272</v>
      </c>
      <c r="K138" s="51">
        <f t="shared" si="22"/>
        <v>-1.4544295692600033</v>
      </c>
      <c r="L138" s="55">
        <f t="shared" si="23"/>
        <v>2.1506335354076336E-2</v>
      </c>
      <c r="M138" s="51">
        <f t="shared" si="21"/>
        <v>-1.432923233905927</v>
      </c>
      <c r="N138" s="94">
        <f t="shared" si="17"/>
        <v>2373722650.4297352</v>
      </c>
      <c r="O138" s="56">
        <f t="shared" si="18"/>
        <v>3.5121287706392688E-2</v>
      </c>
      <c r="P138" s="57">
        <f t="shared" si="19"/>
        <v>3.6904282498618331E-2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9.3690967045671503</v>
      </c>
      <c r="K139" s="51">
        <f t="shared" si="22"/>
        <v>-1.4528003690909341</v>
      </c>
      <c r="L139" s="55">
        <f t="shared" si="23"/>
        <v>2.1353016632496117E-2</v>
      </c>
      <c r="M139" s="51">
        <f t="shared" si="21"/>
        <v>-1.4314473524584379</v>
      </c>
      <c r="N139" s="94">
        <f t="shared" si="17"/>
        <v>2339358086.6910086</v>
      </c>
      <c r="O139" s="56">
        <f t="shared" si="18"/>
        <v>3.5253288159100657E-2</v>
      </c>
      <c r="P139" s="57">
        <f t="shared" si="19"/>
        <v>3.7029909235138478E-2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9.3626697093568882</v>
      </c>
      <c r="K140" s="51">
        <f t="shared" si="22"/>
        <v>-1.4511470584382451</v>
      </c>
      <c r="L140" s="55">
        <f t="shared" si="23"/>
        <v>2.1197628591790935E-2</v>
      </c>
      <c r="M140" s="51">
        <f t="shared" si="21"/>
        <v>-1.4299494298464541</v>
      </c>
      <c r="N140" s="94">
        <f t="shared" si="17"/>
        <v>2304993522.952291</v>
      </c>
      <c r="O140" s="56">
        <f t="shared" si="18"/>
        <v>3.5387749271916208E-2</v>
      </c>
      <c r="P140" s="57">
        <f t="shared" si="19"/>
        <v>3.7157849395155124E-2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9.3561461724710249</v>
      </c>
      <c r="K141" s="51">
        <f t="shared" si="22"/>
        <v>-1.449468912948205</v>
      </c>
      <c r="L141" s="55">
        <f t="shared" si="23"/>
        <v>2.104011664184581E-2</v>
      </c>
      <c r="M141" s="51">
        <f t="shared" si="21"/>
        <v>-1.4284287963063591</v>
      </c>
      <c r="N141" s="94">
        <f t="shared" si="17"/>
        <v>2270628959.2135673</v>
      </c>
      <c r="O141" s="56">
        <f t="shared" si="18"/>
        <v>3.5524754639837848E-2</v>
      </c>
      <c r="P141" s="57">
        <f t="shared" si="19"/>
        <v>3.7288181486106145E-2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9.3495231492624793</v>
      </c>
      <c r="K142" s="51">
        <f t="shared" si="22"/>
        <v>-1.4477651751258684</v>
      </c>
      <c r="L142" s="55">
        <f t="shared" si="23"/>
        <v>2.0880424134749956E-2</v>
      </c>
      <c r="M142" s="51">
        <f t="shared" si="21"/>
        <v>-1.4268847509911184</v>
      </c>
      <c r="N142" s="94">
        <f t="shared" si="17"/>
        <v>2236264395.4748464</v>
      </c>
      <c r="O142" s="56">
        <f t="shared" si="18"/>
        <v>3.5664392018627256E-2</v>
      </c>
      <c r="P142" s="57">
        <f t="shared" si="19"/>
        <v>3.7420987941586735E-2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9.3427975582716307</v>
      </c>
      <c r="K143" s="51">
        <f t="shared" si="22"/>
        <v>-1.4460350522819851</v>
      </c>
      <c r="L143" s="55">
        <f t="shared" si="23"/>
        <v>2.0718492271558048E-2</v>
      </c>
      <c r="M143" s="51">
        <f t="shared" si="21"/>
        <v>-1.4253165600104272</v>
      </c>
      <c r="N143" s="94">
        <f t="shared" si="17"/>
        <v>2201899831.7361245</v>
      </c>
      <c r="O143" s="56">
        <f t="shared" si="18"/>
        <v>3.5806753599685957E-2</v>
      </c>
      <c r="P143" s="57">
        <f t="shared" si="19"/>
        <v>3.7556355383153349E-2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9.3359661726174732</v>
      </c>
      <c r="K144" s="51">
        <f t="shared" si="22"/>
        <v>-1.4442777143184196</v>
      </c>
      <c r="L144" s="55">
        <f t="shared" si="23"/>
        <v>2.0554260005063569E-2</v>
      </c>
      <c r="M144" s="51">
        <f t="shared" si="21"/>
        <v>-1.4237234543133559</v>
      </c>
      <c r="N144" s="94">
        <f t="shared" si="17"/>
        <v>2167535267.9974012</v>
      </c>
      <c r="O144" s="56">
        <f t="shared" si="18"/>
        <v>3.5951936307710992E-2</v>
      </c>
      <c r="P144" s="57">
        <f t="shared" si="19"/>
        <v>3.769437490411838E-2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9.3290256107008052</v>
      </c>
      <c r="K145" s="51">
        <f t="shared" si="22"/>
        <v>-1.442492291336595</v>
      </c>
      <c r="L145" s="55">
        <f t="shared" si="23"/>
        <v>2.0387663938595979E-2</v>
      </c>
      <c r="M145" s="51">
        <f t="shared" si="21"/>
        <v>-1.4221046273979989</v>
      </c>
      <c r="N145" s="94">
        <f t="shared" si="17"/>
        <v>2133170704.2586782</v>
      </c>
      <c r="O145" s="56">
        <f t="shared" si="18"/>
        <v>3.6100042123411884E-2</v>
      </c>
      <c r="P145" s="57">
        <f t="shared" si="19"/>
        <v>3.7835142377578922E-2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9.3219723261523875</v>
      </c>
      <c r="K146" s="51">
        <f t="shared" si="22"/>
        <v>-1.4406778710517116</v>
      </c>
      <c r="L146" s="55">
        <f t="shared" si="23"/>
        <v>2.0218638220908729E-2</v>
      </c>
      <c r="M146" s="51">
        <f t="shared" si="21"/>
        <v>-1.420459232830803</v>
      </c>
      <c r="N146" s="94">
        <f t="shared" si="17"/>
        <v>2098806140.5199583</v>
      </c>
      <c r="O146" s="56">
        <f t="shared" si="18"/>
        <v>3.6251178433841826E-2</v>
      </c>
      <c r="P146" s="57">
        <f t="shared" si="19"/>
        <v>3.7978758791193834E-2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9.3148025969513135</v>
      </c>
      <c r="K147" s="51">
        <f t="shared" si="22"/>
        <v>-1.438833495993503</v>
      </c>
      <c r="L147" s="55">
        <f t="shared" si="23"/>
        <v>2.0047114437298098E-2</v>
      </c>
      <c r="M147" s="51">
        <f t="shared" si="21"/>
        <v>-1.418786381556205</v>
      </c>
      <c r="N147" s="94">
        <f t="shared" si="17"/>
        <v>2064441576.7812359</v>
      </c>
      <c r="O147" s="56">
        <f t="shared" si="18"/>
        <v>3.6405458413201398E-2</v>
      </c>
      <c r="P147" s="57">
        <f t="shared" si="19"/>
        <v>3.8125330611531706E-2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9.3075125136299501</v>
      </c>
      <c r="K148" s="51">
        <f t="shared" si="22"/>
        <v>-1.4369581604720203</v>
      </c>
      <c r="L148" s="55">
        <f t="shared" si="23"/>
        <v>1.9873021497182373E-2</v>
      </c>
      <c r="M148" s="51">
        <f t="shared" si="21"/>
        <v>-1.417085138974838</v>
      </c>
      <c r="N148" s="94">
        <f t="shared" si="17"/>
        <v>2030077013.0425115</v>
      </c>
      <c r="O148" s="56">
        <f t="shared" si="18"/>
        <v>3.6563001437323418E-2</v>
      </c>
      <c r="P148" s="57">
        <f t="shared" si="19"/>
        <v>3.8274970181165997E-2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9.3000979664719221</v>
      </c>
      <c r="K149" s="51">
        <f t="shared" si="22"/>
        <v>-1.4350508072843806</v>
      </c>
      <c r="L149" s="55">
        <f t="shared" si="23"/>
        <v>1.9696285518489808E-2</v>
      </c>
      <c r="M149" s="51">
        <f t="shared" si="21"/>
        <v>-1.4153545217658907</v>
      </c>
      <c r="N149" s="94">
        <f t="shared" si="17"/>
        <v>1995712449.3037841</v>
      </c>
      <c r="O149" s="56">
        <f t="shared" si="18"/>
        <v>3.6723933535444481E-2</v>
      </c>
      <c r="P149" s="57">
        <f t="shared" si="19"/>
        <v>3.8427796152097363E-2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9.2925546315981489</v>
      </c>
      <c r="K150" s="51">
        <f t="shared" si="22"/>
        <v>-1.433110324135475</v>
      </c>
      <c r="L150" s="55">
        <f t="shared" si="23"/>
        <v>1.9516829709349665E-2</v>
      </c>
      <c r="M150" s="51">
        <f t="shared" si="21"/>
        <v>-1.4135934944261253</v>
      </c>
      <c r="N150" s="94">
        <f t="shared" si="17"/>
        <v>1961347885.5650704</v>
      </c>
      <c r="O150" s="56">
        <f t="shared" si="18"/>
        <v>3.6888387883325602E-2</v>
      </c>
      <c r="P150" s="57">
        <f t="shared" si="19"/>
        <v>3.8583933959547394E-2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9.2848779558230028</v>
      </c>
      <c r="K151" s="51">
        <f t="shared" si="22"/>
        <v>-1.4311355397422911</v>
      </c>
      <c r="L151" s="55">
        <f t="shared" si="23"/>
        <v>1.9334574247768098E-2</v>
      </c>
      <c r="M151" s="51">
        <f t="shared" si="21"/>
        <v>-1.4118009654945229</v>
      </c>
      <c r="N151" s="94">
        <f t="shared" si="17"/>
        <v>1926983321.8263533</v>
      </c>
      <c r="O151" s="56">
        <f t="shared" si="18"/>
        <v>3.7056505342306791E-2</v>
      </c>
      <c r="P151" s="57">
        <f t="shared" si="19"/>
        <v>3.8743516340703256E-2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9.2770631401477814</v>
      </c>
      <c r="K152" s="51">
        <f t="shared" si="22"/>
        <v>-1.4291252195877004</v>
      </c>
      <c r="L152" s="55">
        <f t="shared" si="23"/>
        <v>1.9149436160205487E-2</v>
      </c>
      <c r="M152" s="51">
        <f t="shared" si="21"/>
        <v>-1.4099757834274949</v>
      </c>
      <c r="N152" s="94">
        <f t="shared" si="17"/>
        <v>1892618758.0876288</v>
      </c>
      <c r="O152" s="56">
        <f t="shared" si="18"/>
        <v>3.7228435049478321E-2</v>
      </c>
      <c r="P152" s="57">
        <f t="shared" si="19"/>
        <v>3.8906683903606402E-2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9.2691051217416494</v>
      </c>
      <c r="K153" s="51">
        <f t="shared" si="22"/>
        <v>-1.4270780612851475</v>
      </c>
      <c r="L153" s="55">
        <f t="shared" si="23"/>
        <v>1.8961329200267798E-2</v>
      </c>
      <c r="M153" s="51">
        <f t="shared" si="21"/>
        <v>-1.4081167320848798</v>
      </c>
      <c r="N153" s="94">
        <f t="shared" si="17"/>
        <v>1858254194.3488975</v>
      </c>
      <c r="O153" s="56">
        <f t="shared" si="18"/>
        <v>3.7404335064846306E-2</v>
      </c>
      <c r="P153" s="57">
        <f t="shared" si="19"/>
        <v>3.907358575209522E-2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9.2609985542406292</v>
      </c>
      <c r="K154" s="51">
        <f t="shared" si="22"/>
        <v>-1.4249926895106699</v>
      </c>
      <c r="L154" s="55">
        <f t="shared" si="23"/>
        <v>1.877016372909715E-2</v>
      </c>
      <c r="M154" s="51">
        <f t="shared" si="21"/>
        <v>-1.4062225257815728</v>
      </c>
      <c r="N154" s="94">
        <f t="shared" si="17"/>
        <v>1823889630.6101799</v>
      </c>
      <c r="O154" s="56">
        <f t="shared" si="18"/>
        <v>3.7584373082164516E-2</v>
      </c>
      <c r="P154" s="57">
        <f t="shared" si="19"/>
        <v>3.9244380173535515E-2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9.2527377861726308</v>
      </c>
      <c r="K155" s="51">
        <f t="shared" si="22"/>
        <v>-1.4228676504528512</v>
      </c>
      <c r="L155" s="55">
        <f t="shared" si="23"/>
        <v>1.8575846599514473E-2</v>
      </c>
      <c r="M155" s="51">
        <f t="shared" si="21"/>
        <v>-1.4042918038533367</v>
      </c>
      <c r="N155" s="94">
        <f t="shared" si="17"/>
        <v>1789525066.8714585</v>
      </c>
      <c r="O155" s="56">
        <f t="shared" si="18"/>
        <v>3.7768727211030785E-2</v>
      </c>
      <c r="P155" s="57">
        <f t="shared" si="19"/>
        <v>3.9419235397036512E-2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9.244316837290512</v>
      </c>
      <c r="K156" s="51">
        <f t="shared" si="22"/>
        <v>-1.4207014057246261</v>
      </c>
      <c r="L156" s="55">
        <f t="shared" si="23"/>
        <v>1.8378281046558219E-2</v>
      </c>
      <c r="M156" s="51">
        <f t="shared" si="21"/>
        <v>-1.4023231246780679</v>
      </c>
      <c r="N156" s="94">
        <f t="shared" si="17"/>
        <v>1755160503.132741</v>
      </c>
      <c r="O156" s="56">
        <f t="shared" si="18"/>
        <v>3.7957586838915647E-2</v>
      </c>
      <c r="P156" s="57">
        <f t="shared" si="19"/>
        <v>3.9598330430971433E-2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9.2357293725648706</v>
      </c>
      <c r="K157" s="51">
        <f t="shared" si="22"/>
        <v>-1.4184923256730602</v>
      </c>
      <c r="L157" s="55">
        <f t="shared" si="23"/>
        <v>1.8177366587802585E-2</v>
      </c>
      <c r="M157" s="51">
        <f t="shared" si="21"/>
        <v>-1.4003149590852575</v>
      </c>
      <c r="N157" s="94">
        <f t="shared" si="17"/>
        <v>1720795939.3940203</v>
      </c>
      <c r="O157" s="56">
        <f t="shared" si="18"/>
        <v>3.8151153583041525E-2</v>
      </c>
      <c r="P157" s="57">
        <f t="shared" si="19"/>
        <v>3.9781855989937304E-2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9.2269686735533263</v>
      </c>
      <c r="K158" s="51">
        <f t="shared" si="22"/>
        <v>-1.416238682014253</v>
      </c>
      <c r="L158" s="55">
        <f t="shared" si="23"/>
        <v>1.7972998937776843E-2</v>
      </c>
      <c r="M158" s="51">
        <f t="shared" si="21"/>
        <v>-1.3982656830764761</v>
      </c>
      <c r="N158" s="94">
        <f t="shared" si="17"/>
        <v>1686431375.6552958</v>
      </c>
      <c r="O158" s="56">
        <f t="shared" si="18"/>
        <v>3.834964234348235E-2</v>
      </c>
      <c r="P158" s="57">
        <f t="shared" si="19"/>
        <v>3.997001552282712E-2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9.2180276068221101</v>
      </c>
      <c r="K159" s="51">
        <f t="shared" si="22"/>
        <v>-1.4139386397099543</v>
      </c>
      <c r="L159" s="55">
        <f t="shared" si="23"/>
        <v>1.7765069941985265E-2</v>
      </c>
      <c r="M159" s="51">
        <f t="shared" si="21"/>
        <v>-1.3961735697679689</v>
      </c>
      <c r="N159" s="94">
        <f t="shared" si="17"/>
        <v>1652066811.9165699</v>
      </c>
      <c r="O159" s="56">
        <f t="shared" si="18"/>
        <v>3.8553282470561612E-2</v>
      </c>
      <c r="P159" s="57">
        <f t="shared" si="19"/>
        <v>4.0163026355508696E-2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9.2088985890481379</v>
      </c>
      <c r="K160" s="51">
        <f t="shared" si="22"/>
        <v>-1.4115902479902593</v>
      </c>
      <c r="L160" s="55">
        <f t="shared" si="23"/>
        <v>1.7553467537521114E-2</v>
      </c>
      <c r="M160" s="51">
        <f t="shared" si="21"/>
        <v>-1.3940367804527383</v>
      </c>
      <c r="N160" s="94">
        <f t="shared" si="17"/>
        <v>1617702248.177851</v>
      </c>
      <c r="O160" s="56">
        <f t="shared" si="18"/>
        <v>3.8762319061624188E-2</v>
      </c>
      <c r="P160" s="57">
        <f t="shared" si="19"/>
        <v>4.0361120963746909E-2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9.1995735483738184</v>
      </c>
      <c r="K161" s="51">
        <f t="shared" si="22"/>
        <v>-1.4091914304123345</v>
      </c>
      <c r="L161" s="55">
        <f t="shared" si="23"/>
        <v>1.7338075749157956E-2</v>
      </c>
      <c r="M161" s="51">
        <f t="shared" si="21"/>
        <v>-1.3918533546631766</v>
      </c>
      <c r="N161" s="94">
        <f t="shared" si="17"/>
        <v>1583337684.4391291</v>
      </c>
      <c r="O161" s="56">
        <f t="shared" si="18"/>
        <v>3.8977014404615144E-2</v>
      </c>
      <c r="P161" s="57">
        <f t="shared" si="19"/>
        <v>4.0564548394556262E-2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9.1900438815211327</v>
      </c>
      <c r="K162" s="51">
        <f t="shared" si="22"/>
        <v>-1.4067399738282425</v>
      </c>
      <c r="L162" s="55">
        <f t="shared" si="23"/>
        <v>1.7118774732202007E-2</v>
      </c>
      <c r="M162" s="51">
        <f t="shared" si="21"/>
        <v>-1.3896211990960405</v>
      </c>
      <c r="N162" s="94">
        <f t="shared" si="17"/>
        <v>1548973120.7004077</v>
      </c>
      <c r="O162" s="56">
        <f t="shared" si="18"/>
        <v>3.9197649588682548E-2</v>
      </c>
      <c r="P162" s="57">
        <f t="shared" si="19"/>
        <v>4.0773575857200414E-2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9.1803004060939966</v>
      </c>
      <c r="K163" s="51">
        <f t="shared" si="22"/>
        <v>-1.4042335161149735</v>
      </c>
      <c r="L163" s="55">
        <f t="shared" si="23"/>
        <v>1.6895440876444099E-2</v>
      </c>
      <c r="M163" s="51">
        <f t="shared" si="21"/>
        <v>-1.3873380752385294</v>
      </c>
      <c r="N163" s="94">
        <f t="shared" si="17"/>
        <v>1514608556.9616828</v>
      </c>
      <c r="O163" s="56">
        <f t="shared" si="18"/>
        <v>3.9424526305323719E-2</v>
      </c>
      <c r="P163" s="57">
        <f t="shared" si="19"/>
        <v>4.0988490508682682E-2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9.1703333074061799</v>
      </c>
      <c r="K164" s="51">
        <f t="shared" si="22"/>
        <v>-1.4016695324962116</v>
      </c>
      <c r="L164" s="55">
        <f t="shared" si="23"/>
        <v>1.6667946989449723E-2</v>
      </c>
      <c r="M164" s="51">
        <f t="shared" si="21"/>
        <v>-1.3850015855067619</v>
      </c>
      <c r="N164" s="94">
        <f t="shared" si="17"/>
        <v>1480243993.2229588</v>
      </c>
      <c r="O164" s="56">
        <f t="shared" si="18"/>
        <v>3.965796886752302E-2</v>
      </c>
      <c r="P164" s="57">
        <f t="shared" si="19"/>
        <v>4.1209601462919243E-2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9.1601320790630272</v>
      </c>
      <c r="K165" s="51">
        <f t="shared" si="22"/>
        <v>-1.399045320257291</v>
      </c>
      <c r="L165" s="55">
        <f t="shared" si="23"/>
        <v>1.6436162582417417E-2</v>
      </c>
      <c r="M165" s="51">
        <f t="shared" si="21"/>
        <v>-1.3826091576748736</v>
      </c>
      <c r="N165" s="94">
        <f t="shared" si="17"/>
        <v>1445879429.4842374</v>
      </c>
      <c r="O165" s="56">
        <f t="shared" si="18"/>
        <v>3.9898326479025248E-2</v>
      </c>
      <c r="P165" s="57">
        <f t="shared" si="19"/>
        <v>4.1437242058035534E-2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9.1496854563952645</v>
      </c>
      <c r="K166" s="51">
        <f t="shared" si="22"/>
        <v>-1.396357981621398</v>
      </c>
      <c r="L166" s="55">
        <f t="shared" si="23"/>
        <v>1.6199954288248296E-2</v>
      </c>
      <c r="M166" s="51">
        <f t="shared" si="21"/>
        <v>-1.3801580273331497</v>
      </c>
      <c r="N166" s="94">
        <f t="shared" si="17"/>
        <v>1411514865.7455156</v>
      </c>
      <c r="O166" s="56">
        <f t="shared" si="18"/>
        <v>4.0145975791516339E-2</v>
      </c>
      <c r="P166" s="57">
        <f t="shared" si="19"/>
        <v>4.1671772422572952E-2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9.1389813416875487</v>
      </c>
      <c r="K167" s="51">
        <f t="shared" si="22"/>
        <v>-1.3936044045150044</v>
      </c>
      <c r="L167" s="55">
        <f t="shared" si="23"/>
        <v>1.5959186449733816E-2</v>
      </c>
      <c r="M167" s="51">
        <f t="shared" si="21"/>
        <v>-1.3776452180652707</v>
      </c>
      <c r="N167" s="94">
        <f t="shared" si="17"/>
        <v>1377150302.0068021</v>
      </c>
      <c r="O167" s="56">
        <f t="shared" si="18"/>
        <v>4.0401323794264782E-2</v>
      </c>
      <c r="P167" s="57">
        <f t="shared" si="19"/>
        <v>4.1913582389123231E-2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9.1280067199572894</v>
      </c>
      <c r="K168" s="51">
        <f t="shared" si="22"/>
        <v>-1.3907812409024189</v>
      </c>
      <c r="L168" s="55">
        <f t="shared" si="23"/>
        <v>1.5713721926458629E-2</v>
      </c>
      <c r="M168" s="51">
        <f t="shared" si="21"/>
        <v>-1.3750675189759602</v>
      </c>
      <c r="N168" s="94">
        <f t="shared" ref="N168:N204" si="24">10^$J168</f>
        <v>1342785738.2680745</v>
      </c>
      <c r="O168" s="56">
        <f t="shared" ref="O168:O204" si="25">10^K168</f>
        <v>4.0664811088974302E-2</v>
      </c>
      <c r="P168" s="57">
        <f t="shared" ref="P168:P204" si="26">10^M168</f>
        <v>4.2163094813351558E-2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9.1167475638134174</v>
      </c>
      <c r="K169" s="51">
        <f t="shared" si="22"/>
        <v>-1.3878848823112011</v>
      </c>
      <c r="L169" s="55">
        <f t="shared" si="23"/>
        <v>1.546342318289943E-2</v>
      </c>
      <c r="M169" s="51">
        <f t="shared" ref="M169:M204" si="28">+$I$14+$I$13*J169+L169</f>
        <v>-1.3724214591283017</v>
      </c>
      <c r="N169" s="94">
        <f t="shared" si="24"/>
        <v>1308421174.5293522</v>
      </c>
      <c r="O169" s="56">
        <f t="shared" si="25"/>
        <v>4.0936915612561124E-2</v>
      </c>
      <c r="P169" s="57">
        <f t="shared" si="26"/>
        <v>4.2420769367981288E-2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9.1051887256506365</v>
      </c>
      <c r="K170" s="51">
        <f t="shared" si="22"/>
        <v>-1.3849114320997051</v>
      </c>
      <c r="L170" s="55">
        <f t="shared" si="23"/>
        <v>1.5208153738299231E-2</v>
      </c>
      <c r="M170" s="51">
        <f t="shared" si="28"/>
        <v>-1.3697032783614058</v>
      </c>
      <c r="N170" s="94">
        <f t="shared" si="24"/>
        <v>1274056610.7906289</v>
      </c>
      <c r="O170" s="56">
        <f t="shared" si="25"/>
        <v>4.1218156882725246E-2</v>
      </c>
      <c r="P170" s="57">
        <f t="shared" si="26"/>
        <v>4.2687106895656808E-2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9.0933138151007977</v>
      </c>
      <c r="K171" s="51">
        <f t="shared" si="22"/>
        <v>-1.3818566739320879</v>
      </c>
      <c r="L171" s="55">
        <f t="shared" si="23"/>
        <v>1.494778008259883E-2</v>
      </c>
      <c r="M171" s="51">
        <f t="shared" si="28"/>
        <v>-1.3669088938494891</v>
      </c>
      <c r="N171" s="94">
        <f t="shared" si="24"/>
        <v>1239692047.0519085</v>
      </c>
      <c r="O171" s="56">
        <f t="shared" si="25"/>
        <v>4.1509100856100385E-2</v>
      </c>
      <c r="P171" s="57">
        <f t="shared" si="26"/>
        <v>4.296265442242643E-2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9.0811050592537672</v>
      </c>
      <c r="K172" s="51">
        <f t="shared" si="22"/>
        <v>-1.3787160358208674</v>
      </c>
      <c r="L172" s="55">
        <f t="shared" si="23"/>
        <v>1.4682174193870072E-2</v>
      </c>
      <c r="M172" s="51">
        <f t="shared" si="28"/>
        <v>-1.3640338616269974</v>
      </c>
      <c r="N172" s="94">
        <f t="shared" si="24"/>
        <v>1205327483.3131876</v>
      </c>
      <c r="O172" s="56">
        <f t="shared" si="25"/>
        <v>4.1810365507155049E-2</v>
      </c>
      <c r="P172" s="57">
        <f t="shared" si="26"/>
        <v>4.3248010955870955E-2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9.068543142656333</v>
      </c>
      <c r="K173" s="51">
        <f t="shared" si="22"/>
        <v>-1.3754845489674818</v>
      </c>
      <c r="L173" s="55">
        <f t="shared" si="23"/>
        <v>1.4411216833860046E-2</v>
      </c>
      <c r="M173" s="51">
        <f t="shared" si="28"/>
        <v>-1.3610733321336217</v>
      </c>
      <c r="N173" s="94">
        <f t="shared" si="24"/>
        <v>1170962919.5744667</v>
      </c>
      <c r="O173" s="56">
        <f t="shared" si="25"/>
        <v>4.2122627258817789E-2</v>
      </c>
      <c r="P173" s="57">
        <f t="shared" si="26"/>
        <v>4.3543834219930876E-2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9.055607023473641</v>
      </c>
      <c r="K174" s="51">
        <f t="shared" si="22"/>
        <v>-1.3721568004707887</v>
      </c>
      <c r="L174" s="55">
        <f t="shared" si="23"/>
        <v>1.4134801852866658E-2</v>
      </c>
      <c r="M174" s="51">
        <f t="shared" si="28"/>
        <v>-1.3580219986179221</v>
      </c>
      <c r="N174" s="94">
        <f t="shared" si="24"/>
        <v>1136598355.8357441</v>
      </c>
      <c r="O174" s="56">
        <f t="shared" si="25"/>
        <v>4.2446628424228992E-2</v>
      </c>
      <c r="P174" s="57">
        <f t="shared" si="26"/>
        <v>4.3850848513967998E-2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9.0422737214202655</v>
      </c>
      <c r="K175" s="51">
        <f t="shared" si="22"/>
        <v>-1.3687268787734497</v>
      </c>
      <c r="L175" s="55">
        <f t="shared" si="23"/>
        <v>1.3852841807941167E-2</v>
      </c>
      <c r="M175" s="51">
        <f t="shared" si="28"/>
        <v>-1.3548740369655086</v>
      </c>
      <c r="N175" s="94">
        <f t="shared" si="24"/>
        <v>1102233792.0970244</v>
      </c>
      <c r="O175" s="56">
        <f t="shared" si="25"/>
        <v>4.2783185854692138E-2</v>
      </c>
      <c r="P175" s="57">
        <f t="shared" si="26"/>
        <v>4.4169853928826171E-2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9.0285180720935596</v>
      </c>
      <c r="K176" s="51">
        <f t="shared" si="22"/>
        <v>-1.3651883104654803</v>
      </c>
      <c r="L176" s="55">
        <f t="shared" si="23"/>
        <v>1.3565275295813578E-2</v>
      </c>
      <c r="M176" s="51">
        <f t="shared" si="28"/>
        <v>-1.3516230351696668</v>
      </c>
      <c r="N176" s="94">
        <f t="shared" si="24"/>
        <v>1067869228.3582994</v>
      </c>
      <c r="O176" s="56">
        <f t="shared" si="25"/>
        <v>4.3133201033936898E-2</v>
      </c>
      <c r="P176" s="57">
        <f t="shared" si="26"/>
        <v>4.45017372107082E-2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9.0143124411122866</v>
      </c>
      <c r="K177" s="51">
        <f t="shared" si="22"/>
        <v>-1.361533986747919</v>
      </c>
      <c r="L177" s="55">
        <f t="shared" si="23"/>
        <v>1.3272076532824436E-2</v>
      </c>
      <c r="M177" s="51">
        <f t="shared" si="28"/>
        <v>-1.3482619102150946</v>
      </c>
      <c r="N177" s="94">
        <f t="shared" si="24"/>
        <v>1033504664.6195766</v>
      </c>
      <c r="O177" s="56">
        <f t="shared" si="25"/>
        <v>4.3497671916069743E-2</v>
      </c>
      <c r="P177" s="57">
        <f t="shared" si="26"/>
        <v>4.4847484638750594E-2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8.9996263899010334</v>
      </c>
      <c r="K178" s="51">
        <f t="shared" si="22"/>
        <v>-1.3577560774576276</v>
      </c>
      <c r="L178" s="55">
        <f t="shared" si="23"/>
        <v>1.2973267890680809E-2</v>
      </c>
      <c r="M178" s="51">
        <f t="shared" si="28"/>
        <v>-1.3447828095669467</v>
      </c>
      <c r="N178" s="94">
        <f t="shared" si="24"/>
        <v>999140100.88085806</v>
      </c>
      <c r="O178" s="56">
        <f t="shared" si="25"/>
        <v>4.3877706877916867E-2</v>
      </c>
      <c r="P178" s="57">
        <f t="shared" si="26"/>
        <v>4.520819737996451E-2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8.9844262829605928</v>
      </c>
      <c r="K179" s="51">
        <f t="shared" si="22"/>
        <v>-1.3538459300396672</v>
      </c>
      <c r="L179" s="55">
        <f t="shared" si="23"/>
        <v>1.2668936335669337E-2</v>
      </c>
      <c r="M179" s="51">
        <f t="shared" si="28"/>
        <v>-1.3411769937039979</v>
      </c>
      <c r="N179" s="94">
        <f t="shared" si="24"/>
        <v>964775537.14213336</v>
      </c>
      <c r="O179" s="56">
        <f t="shared" si="25"/>
        <v>4.4274541251092439E-2</v>
      </c>
      <c r="P179" s="57">
        <f t="shared" si="26"/>
        <v>4.5585109913584818E-2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8.9686748238833811</v>
      </c>
      <c r="K180" s="51">
        <f t="shared" si="22"/>
        <v>-1.3497939501897096</v>
      </c>
      <c r="L180" s="55">
        <f t="shared" si="23"/>
        <v>1.2359255042674346E-2</v>
      </c>
      <c r="M180" s="51">
        <f t="shared" si="28"/>
        <v>-1.3374346951470353</v>
      </c>
      <c r="N180" s="94">
        <f t="shared" si="24"/>
        <v>930410973.40341306</v>
      </c>
      <c r="O180" s="56">
        <f t="shared" si="25"/>
        <v>4.4689557022241554E-2</v>
      </c>
      <c r="P180" s="57">
        <f t="shared" si="26"/>
        <v>4.5979612286710776E-2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8.9523305040140322</v>
      </c>
      <c r="K181" s="51">
        <f t="shared" si="22"/>
        <v>-1.3455894600248794</v>
      </c>
      <c r="L181" s="55">
        <f t="shared" si="23"/>
        <v>1.2044511894364783E-2</v>
      </c>
      <c r="M181" s="51">
        <f t="shared" si="28"/>
        <v>-1.3335449481305146</v>
      </c>
      <c r="N181" s="94">
        <f t="shared" si="24"/>
        <v>896046409.66469169</v>
      </c>
      <c r="O181" s="56">
        <f t="shared" si="25"/>
        <v>4.5124306451493394E-2</v>
      </c>
      <c r="P181" s="57">
        <f t="shared" si="26"/>
        <v>4.6393277189579668E-2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8.9353469432447152</v>
      </c>
      <c r="K182" s="51">
        <f t="shared" si="22"/>
        <v>-1.3412205285068231</v>
      </c>
      <c r="L182" s="55">
        <f t="shared" si="23"/>
        <v>1.1725147170270228E-2</v>
      </c>
      <c r="M182" s="51">
        <f t="shared" si="28"/>
        <v>-1.3294953813365529</v>
      </c>
      <c r="N182" s="94">
        <f t="shared" si="24"/>
        <v>861681845.92596829</v>
      </c>
      <c r="O182" s="56">
        <f t="shared" si="25"/>
        <v>4.5580540573217365E-2</v>
      </c>
      <c r="P182" s="57">
        <f t="shared" si="26"/>
        <v>4.6827893143061933E-2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8.9176720965867275</v>
      </c>
      <c r="K183" s="51">
        <f t="shared" si="22"/>
        <v>-1.3366737673364328</v>
      </c>
      <c r="L183" s="55">
        <f t="shared" si="23"/>
        <v>1.1401803531036678E-2</v>
      </c>
      <c r="M183" s="51">
        <f t="shared" si="28"/>
        <v>-1.3252719638053962</v>
      </c>
      <c r="N183" s="94">
        <f t="shared" si="24"/>
        <v>827317282.18724895</v>
      </c>
      <c r="O183" s="56">
        <f t="shared" si="25"/>
        <v>4.6060243829597516E-2</v>
      </c>
      <c r="P183" s="57">
        <f t="shared" si="26"/>
        <v>4.7285505502682991E-2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8.899247292325061</v>
      </c>
      <c r="K184" s="51">
        <f t="shared" si="22"/>
        <v>-1.331934083524176</v>
      </c>
      <c r="L184" s="55">
        <f t="shared" si="23"/>
        <v>1.1075392470483064E-2</v>
      </c>
      <c r="M184" s="51">
        <f t="shared" si="28"/>
        <v>-1.3208586910536928</v>
      </c>
      <c r="N184" s="94">
        <f t="shared" si="24"/>
        <v>792952718.4485234</v>
      </c>
      <c r="O184" s="56">
        <f t="shared" si="25"/>
        <v>4.6565676474927375E-2</v>
      </c>
      <c r="P184" s="57">
        <f t="shared" si="26"/>
        <v>4.7768467544274565E-2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8.8800060569479307</v>
      </c>
      <c r="K185" s="51">
        <f t="shared" si="22"/>
        <v>-1.3269843771094085</v>
      </c>
      <c r="L185" s="55">
        <f t="shared" si="23"/>
        <v>1.0747182805029957E-2</v>
      </c>
      <c r="M185" s="51">
        <f t="shared" si="28"/>
        <v>-1.3162371943043785</v>
      </c>
      <c r="N185" s="94">
        <f t="shared" si="24"/>
        <v>758588154.70980608</v>
      </c>
      <c r="O185" s="56">
        <f t="shared" si="25"/>
        <v>4.7099426918553254E-2</v>
      </c>
      <c r="P185" s="57">
        <f t="shared" si="26"/>
        <v>4.8279504664381273E-2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8.8598726674869202</v>
      </c>
      <c r="K186" s="51">
        <f t="shared" si="22"/>
        <v>-1.3218051687575048</v>
      </c>
      <c r="L186" s="55">
        <f t="shared" si="23"/>
        <v>1.0418918540313909E-2</v>
      </c>
      <c r="M186" s="51">
        <f t="shared" si="28"/>
        <v>-1.3113862502171909</v>
      </c>
      <c r="N186" s="94">
        <f t="shared" si="24"/>
        <v>724223590.97108138</v>
      </c>
      <c r="O186" s="56">
        <f t="shared" si="25"/>
        <v>4.7664476908718056E-2</v>
      </c>
      <c r="P186" s="57">
        <f t="shared" si="26"/>
        <v>4.8821795784450402E-2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8.838760351679003</v>
      </c>
      <c r="K187" s="51">
        <f t="shared" si="22"/>
        <v>-1.3163741367610222</v>
      </c>
      <c r="L187" s="55">
        <f t="shared" si="23"/>
        <v>1.0092975571779189E-2</v>
      </c>
      <c r="M187" s="51">
        <f t="shared" si="28"/>
        <v>-1.3062811611892431</v>
      </c>
      <c r="N187" s="94">
        <f t="shared" si="24"/>
        <v>689859027.23235881</v>
      </c>
      <c r="O187" s="56">
        <f t="shared" si="25"/>
        <v>4.8264283490770943E-2</v>
      </c>
      <c r="P187" s="57">
        <f t="shared" si="26"/>
        <v>4.9399077501896357E-2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8.8165690278578079</v>
      </c>
      <c r="K188" s="51">
        <f t="shared" si="22"/>
        <v>-1.3106655356386376</v>
      </c>
      <c r="L188" s="55">
        <f t="shared" si="23"/>
        <v>9.7725689346045141E-3</v>
      </c>
      <c r="M188" s="51">
        <f t="shared" si="28"/>
        <v>-1.3008929667040332</v>
      </c>
      <c r="N188" s="94">
        <f t="shared" si="24"/>
        <v>655494463.4936378</v>
      </c>
      <c r="O188" s="56">
        <f t="shared" si="25"/>
        <v>4.8902883142865457E-2</v>
      </c>
      <c r="P188" s="57">
        <f t="shared" si="26"/>
        <v>5.0015778531121012E-2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8.7931824356793342</v>
      </c>
      <c r="K189" s="51">
        <f t="shared" si="22"/>
        <v>-1.3046494580294561</v>
      </c>
      <c r="L189" s="55">
        <f t="shared" si="23"/>
        <v>9.4620241258107432E-3</v>
      </c>
      <c r="M189" s="51">
        <f t="shared" si="28"/>
        <v>-1.2951874339036453</v>
      </c>
      <c r="N189" s="94">
        <f t="shared" si="24"/>
        <v>621129899.75491393</v>
      </c>
      <c r="O189" s="56">
        <f t="shared" si="25"/>
        <v>4.9585025620708101E-2</v>
      </c>
      <c r="P189" s="57">
        <f t="shared" si="26"/>
        <v>5.0677194716116661E-2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8.7684644493744504</v>
      </c>
      <c r="K190" s="51">
        <f t="shared" si="22"/>
        <v>-1.2982908862966434</v>
      </c>
      <c r="L190" s="55">
        <f t="shared" si="23"/>
        <v>9.1671260383359016E-3</v>
      </c>
      <c r="M190" s="51">
        <f t="shared" si="28"/>
        <v>-1.2891237602583074</v>
      </c>
      <c r="N190" s="94">
        <f t="shared" si="24"/>
        <v>586765336.01619339</v>
      </c>
      <c r="O190" s="56">
        <f t="shared" si="25"/>
        <v>5.0316348180318521E-2</v>
      </c>
      <c r="P190" s="57">
        <f t="shared" si="26"/>
        <v>5.1389718619079913E-2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8.7422542770673637</v>
      </c>
      <c r="K191" s="51">
        <f t="shared" si="22"/>
        <v>-1.2915484575773966</v>
      </c>
      <c r="L191" s="55">
        <f t="shared" si="23"/>
        <v>8.8955546786339545E-3</v>
      </c>
      <c r="M191" s="51">
        <f t="shared" si="28"/>
        <v>-1.2826529028987625</v>
      </c>
      <c r="N191" s="94">
        <f t="shared" si="24"/>
        <v>552400772.2774713</v>
      </c>
      <c r="O191" s="56">
        <f t="shared" si="25"/>
        <v>5.110360556308486E-2</v>
      </c>
      <c r="P191" s="57">
        <f t="shared" si="26"/>
        <v>5.2161142716245723E-2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8.714360116152573</v>
      </c>
      <c r="K192" s="51">
        <f t="shared" si="22"/>
        <v>-1.2843728316620977</v>
      </c>
      <c r="L192" s="55">
        <f t="shared" si="23"/>
        <v>8.657403816216552E-3</v>
      </c>
      <c r="M192" s="51">
        <f t="shared" si="28"/>
        <v>-1.2757154278458811</v>
      </c>
      <c r="N192" s="94">
        <f t="shared" si="24"/>
        <v>518036208.53875023</v>
      </c>
      <c r="O192" s="56">
        <f t="shared" si="25"/>
        <v>5.1954978368323572E-2</v>
      </c>
      <c r="P192" s="57">
        <f t="shared" si="26"/>
        <v>5.3001062044227887E-2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8.6845506276658124</v>
      </c>
      <c r="K193" s="51">
        <f t="shared" si="22"/>
        <v>-1.2767044978211621</v>
      </c>
      <c r="L193" s="55">
        <f t="shared" si="23"/>
        <v>8.4657516672244706E-3</v>
      </c>
      <c r="M193" s="51">
        <f t="shared" si="28"/>
        <v>-1.2682387461539377</v>
      </c>
      <c r="N193" s="94">
        <f t="shared" si="24"/>
        <v>483671644.80002958</v>
      </c>
      <c r="O193" s="56">
        <f t="shared" si="25"/>
        <v>5.2880493827328345E-2</v>
      </c>
      <c r="P193" s="57">
        <f t="shared" si="26"/>
        <v>5.39214117048245E-2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8.6525432631103136</v>
      </c>
      <c r="K194" s="51">
        <f t="shared" ref="K194:K204" si="29">+$I$14+$I$13*J194</f>
        <v>-1.2684707719426012</v>
      </c>
      <c r="L194" s="55">
        <f t="shared" ref="L194:L204" si="30">SQRT(2*$I$20*$I$17)*SQRT((1/$I$2)+((J194-$I$11)^2/$I$8))</f>
        <v>8.3372089606712687E-3</v>
      </c>
      <c r="M194" s="51">
        <f t="shared" si="28"/>
        <v>-1.2601335629819299</v>
      </c>
      <c r="N194" s="94">
        <f t="shared" si="24"/>
        <v>449307081.06130582</v>
      </c>
      <c r="O194" s="56">
        <f t="shared" si="25"/>
        <v>5.3892611392840857E-2</v>
      </c>
      <c r="P194" s="57">
        <f t="shared" si="26"/>
        <v>5.4937189397057641E-2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8.617987937341713</v>
      </c>
      <c r="K195" s="51">
        <f t="shared" si="29"/>
        <v>-1.2595815964676982</v>
      </c>
      <c r="L195" s="55">
        <f t="shared" si="30"/>
        <v>8.2923195822160456E-3</v>
      </c>
      <c r="M195" s="51">
        <f t="shared" si="28"/>
        <v>-1.2512892768854822</v>
      </c>
      <c r="N195" s="94">
        <f t="shared" si="24"/>
        <v>414942517.32258517</v>
      </c>
      <c r="O195" s="56">
        <f t="shared" si="25"/>
        <v>5.5007056199839886E-2</v>
      </c>
      <c r="P195" s="57">
        <f t="shared" si="26"/>
        <v>5.6067439502304153E-2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8.5804436265306308</v>
      </c>
      <c r="K196" s="51">
        <f t="shared" si="29"/>
        <v>-1.2499235203401891</v>
      </c>
      <c r="L196" s="55">
        <f t="shared" si="30"/>
        <v>8.3556726867541169E-3</v>
      </c>
      <c r="M196" s="51">
        <f t="shared" si="28"/>
        <v>-1.2415678476534349</v>
      </c>
      <c r="N196" s="94">
        <f t="shared" si="24"/>
        <v>380577953.58386189</v>
      </c>
      <c r="O196" s="56">
        <f t="shared" si="25"/>
        <v>5.6244036273770046E-2</v>
      </c>
      <c r="P196" s="57">
        <f t="shared" si="26"/>
        <v>5.7336628540344353E-2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8.5393438602563183</v>
      </c>
      <c r="K197" s="51">
        <f t="shared" si="29"/>
        <v>-1.2393508220291856</v>
      </c>
      <c r="L197" s="55">
        <f t="shared" si="30"/>
        <v>8.5556817361039147E-3</v>
      </c>
      <c r="M197" s="51">
        <f t="shared" si="28"/>
        <v>-1.2307951402930817</v>
      </c>
      <c r="N197" s="94">
        <f t="shared" si="24"/>
        <v>346213389.84514058</v>
      </c>
      <c r="O197" s="56">
        <f t="shared" si="25"/>
        <v>5.7630074097200182E-2</v>
      </c>
      <c r="P197" s="57">
        <f t="shared" si="26"/>
        <v>5.8776654068597743E-2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8.4939441135740523</v>
      </c>
      <c r="K198" s="51">
        <f t="shared" si="29"/>
        <v>-1.2276719764157105</v>
      </c>
      <c r="L198" s="55">
        <f t="shared" si="30"/>
        <v>8.9242775473646375E-3</v>
      </c>
      <c r="M198" s="51">
        <f t="shared" si="28"/>
        <v>-1.2187476988683459</v>
      </c>
      <c r="N198" s="94">
        <f t="shared" si="24"/>
        <v>311848826.10641807</v>
      </c>
      <c r="O198" s="56">
        <f t="shared" si="25"/>
        <v>5.9200861076822993E-2</v>
      </c>
      <c r="P198" s="57">
        <f t="shared" si="26"/>
        <v>6.0429959214212625E-2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8.4432383569697489</v>
      </c>
      <c r="K199" s="51">
        <f t="shared" si="29"/>
        <v>-1.2146281877082417</v>
      </c>
      <c r="L199" s="55">
        <f t="shared" si="30"/>
        <v>9.4972411674376801E-3</v>
      </c>
      <c r="M199" s="51">
        <f t="shared" si="28"/>
        <v>-1.205130946540804</v>
      </c>
      <c r="N199" s="94">
        <f t="shared" si="24"/>
        <v>277484262.36769646</v>
      </c>
      <c r="O199" s="56">
        <f t="shared" si="25"/>
        <v>6.1005896316902133E-2</v>
      </c>
      <c r="P199" s="57">
        <f t="shared" si="26"/>
        <v>6.235467980782021E-2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8.385820148721054</v>
      </c>
      <c r="K200" s="51">
        <f t="shared" si="29"/>
        <v>-1.1998576561845318</v>
      </c>
      <c r="L200" s="55">
        <f t="shared" si="30"/>
        <v>1.0316432910494182E-2</v>
      </c>
      <c r="M200" s="51">
        <f t="shared" si="28"/>
        <v>-1.1895412232740377</v>
      </c>
      <c r="N200" s="94">
        <f t="shared" si="24"/>
        <v>243119698.62897554</v>
      </c>
      <c r="O200" s="56">
        <f t="shared" si="25"/>
        <v>6.3116418016344503E-2</v>
      </c>
      <c r="P200" s="57">
        <f t="shared" si="26"/>
        <v>6.4633664075158026E-2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8.319637166920069</v>
      </c>
      <c r="K201" s="51">
        <f t="shared" si="29"/>
        <v>-1.1828324328478774</v>
      </c>
      <c r="L201" s="55">
        <f t="shared" si="30"/>
        <v>1.14357309303313E-2</v>
      </c>
      <c r="M201" s="51">
        <f t="shared" si="28"/>
        <v>-1.1713967019175462</v>
      </c>
      <c r="N201" s="94">
        <f t="shared" si="24"/>
        <v>208755134.89025301</v>
      </c>
      <c r="O201" s="56">
        <f t="shared" si="25"/>
        <v>6.5639848068180545E-2</v>
      </c>
      <c r="P201" s="57">
        <f t="shared" si="26"/>
        <v>6.7391216818726715E-2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8.2415230000486179</v>
      </c>
      <c r="K202" s="51">
        <f t="shared" si="29"/>
        <v>-1.1627379750196964</v>
      </c>
      <c r="L202" s="55">
        <f t="shared" si="30"/>
        <v>1.2933728017671961E-2</v>
      </c>
      <c r="M202" s="51">
        <f t="shared" si="28"/>
        <v>-1.1498042470020244</v>
      </c>
      <c r="N202" s="94">
        <f t="shared" si="24"/>
        <v>174390571.15153131</v>
      </c>
      <c r="O202" s="56">
        <f t="shared" si="25"/>
        <v>6.8748309739948485E-2</v>
      </c>
      <c r="P202" s="57">
        <f t="shared" si="26"/>
        <v>7.0826495433071415E-2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8.1462087058703254</v>
      </c>
      <c r="K203" s="51">
        <f t="shared" si="29"/>
        <v>-1.1382188750728144</v>
      </c>
      <c r="L203" s="55">
        <f t="shared" si="30"/>
        <v>1.4940495340061951E-2</v>
      </c>
      <c r="M203" s="51">
        <f t="shared" si="28"/>
        <v>-1.1232783797327524</v>
      </c>
      <c r="N203" s="94">
        <f t="shared" si="24"/>
        <v>140026007.41280854</v>
      </c>
      <c r="O203" s="56">
        <f t="shared" si="25"/>
        <v>7.2741311158767752E-2</v>
      </c>
      <c r="P203" s="57">
        <f t="shared" si="26"/>
        <v>7.5287282280696741E-2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8.0239165402464945</v>
      </c>
      <c r="K204" s="51">
        <f t="shared" si="29"/>
        <v>-1.1067598598484829</v>
      </c>
      <c r="L204" s="55">
        <f t="shared" si="30"/>
        <v>1.7701132462222442E-2</v>
      </c>
      <c r="M204" s="51">
        <f t="shared" si="28"/>
        <v>-1.0890587273862604</v>
      </c>
      <c r="N204" s="97">
        <f t="shared" si="24"/>
        <v>105661443.67408726</v>
      </c>
      <c r="O204" s="91">
        <f t="shared" si="25"/>
        <v>7.8206011982738285E-2</v>
      </c>
      <c r="P204" s="92">
        <f t="shared" si="26"/>
        <v>8.1459412324199204E-2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zoomScaleNormal="100" workbookViewId="0">
      <selection activeCell="A3" sqref="A3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60L'!W7</f>
        <v>124384811.61346856</v>
      </c>
      <c r="B2" s="48">
        <f>'New Vestas G27 60L'!T7</f>
        <v>99.747593372498528</v>
      </c>
      <c r="C2" s="50">
        <f t="shared" ref="C2:D44" si="0">IF(ISNA(A2),"",LOG10(A2))</f>
        <v>8.0947673527408952</v>
      </c>
      <c r="D2" s="50">
        <f t="shared" si="0"/>
        <v>1.9989024261868313</v>
      </c>
      <c r="E2" s="51">
        <f>IF(C2="","",C2^2)</f>
        <v>65.525258494999846</v>
      </c>
      <c r="F2" s="51">
        <f>IF(D2="","",D2^2)</f>
        <v>3.9956109094156007</v>
      </c>
      <c r="G2" s="52">
        <f>IF(OR(C2="",D2=""),"",C2*D2)</f>
        <v>16.180650100811729</v>
      </c>
      <c r="H2" s="53" t="s">
        <v>57</v>
      </c>
      <c r="I2" s="54">
        <f>COUNT(C:C)</f>
        <v>43</v>
      </c>
      <c r="J2" s="51">
        <f t="shared" ref="J2:J65" si="1">LOG($I$24+($I$25-$I$24)*(ROW()-2)/100)</f>
        <v>8.0947673527408952</v>
      </c>
      <c r="K2" s="51">
        <f t="shared" ref="K2:K65" si="2">+$I$14+$I$13*J2</f>
        <v>1.9727428578703861</v>
      </c>
      <c r="L2" s="55">
        <f t="shared" ref="L2:L65" si="3">SQRT(2*$I$20*$I$17)*SQRT((1/$I$2)+((J2-$I$11)^2/$I$8))</f>
        <v>1.8223699239037706E-2</v>
      </c>
      <c r="M2" s="51">
        <f t="shared" ref="M2:M65" si="4">+$I$14+$I$13*J2-L2</f>
        <v>1.9545191586313484</v>
      </c>
      <c r="N2" s="94">
        <f>10^$J2</f>
        <v>124384811.61346863</v>
      </c>
      <c r="O2" s="56">
        <f>10^K2</f>
        <v>93.916707294184562</v>
      </c>
      <c r="P2" s="57">
        <f t="shared" ref="P2:P65" si="5">10^M2</f>
        <v>90.057349011457845</v>
      </c>
      <c r="R2" s="47"/>
      <c r="S2" s="47"/>
      <c r="T2" s="47"/>
    </row>
    <row r="3" spans="1:20" ht="12.75" customHeight="1" x14ac:dyDescent="0.35">
      <c r="A3" s="49">
        <f>'New Vestas G27 60L'!W8</f>
        <v>99553900.25718385</v>
      </c>
      <c r="B3" s="48">
        <f>'New Vestas G27 60L'!T8</f>
        <v>95.996428134623116</v>
      </c>
      <c r="C3" s="50">
        <f t="shared" si="0"/>
        <v>7.998058279200114</v>
      </c>
      <c r="D3" s="50">
        <f t="shared" si="0"/>
        <v>1.982255073974126</v>
      </c>
      <c r="E3" s="51">
        <f t="shared" ref="E3:F44" si="6">IF(C3="","",C3^2)</f>
        <v>63.968936237481486</v>
      </c>
      <c r="F3" s="51">
        <f t="shared" si="6"/>
        <v>3.9293351782961681</v>
      </c>
      <c r="G3" s="52">
        <f t="shared" ref="G3:G44" si="7">IF(OR(C3="",D3=""),"",C3*D3)</f>
        <v>15.854191605885193</v>
      </c>
      <c r="H3" s="53" t="s">
        <v>58</v>
      </c>
      <c r="I3" s="58">
        <f>SUM(C:C)</f>
        <v>316.46278363938939</v>
      </c>
      <c r="J3" s="51">
        <f t="shared" si="1"/>
        <v>8.0906873469481422</v>
      </c>
      <c r="K3" s="51">
        <f t="shared" si="2"/>
        <v>1.973427753727377</v>
      </c>
      <c r="L3" s="55">
        <f t="shared" si="3"/>
        <v>1.813200025775168E-2</v>
      </c>
      <c r="M3" s="51">
        <f t="shared" si="4"/>
        <v>1.9552957534696254</v>
      </c>
      <c r="N3" s="94">
        <f t="shared" ref="N3:N66" si="8">10^$J3</f>
        <v>123221742.78765815</v>
      </c>
      <c r="O3" s="56">
        <f t="shared" ref="O3:O66" si="9">10^K3</f>
        <v>94.064933700216685</v>
      </c>
      <c r="P3" s="57">
        <f t="shared" si="5"/>
        <v>90.218531442682504</v>
      </c>
      <c r="R3" s="47"/>
      <c r="S3" s="47"/>
      <c r="T3" s="47"/>
    </row>
    <row r="4" spans="1:20" ht="12.75" customHeight="1" x14ac:dyDescent="0.35">
      <c r="A4" s="49">
        <f>'New Vestas G27 60L'!W9</f>
        <v>8077929.0323742339</v>
      </c>
      <c r="B4" s="48">
        <f>'New Vestas G27 60L'!T9</f>
        <v>147.17769522532859</v>
      </c>
      <c r="C4" s="50">
        <f t="shared" si="0"/>
        <v>6.9073000334113832</v>
      </c>
      <c r="D4" s="50">
        <f t="shared" si="0"/>
        <v>2.1678419976744219</v>
      </c>
      <c r="E4" s="51">
        <f t="shared" si="6"/>
        <v>47.710793751564893</v>
      </c>
      <c r="F4" s="51">
        <f t="shared" si="6"/>
        <v>4.6995389268810284</v>
      </c>
      <c r="G4" s="52">
        <f t="shared" si="7"/>
        <v>14.973935102967134</v>
      </c>
      <c r="H4" s="59" t="s">
        <v>59</v>
      </c>
      <c r="I4" s="58">
        <f>SUM(D:D)</f>
        <v>90.134570989181711</v>
      </c>
      <c r="J4" s="51">
        <f t="shared" si="1"/>
        <v>8.0865686474968559</v>
      </c>
      <c r="K4" s="51">
        <f t="shared" si="2"/>
        <v>1.9741191449492688</v>
      </c>
      <c r="L4" s="55">
        <f t="shared" si="3"/>
        <v>1.8039480425207602E-2</v>
      </c>
      <c r="M4" s="51">
        <f t="shared" si="4"/>
        <v>1.9560796645240612</v>
      </c>
      <c r="N4" s="94">
        <f t="shared" si="8"/>
        <v>122058673.96184678</v>
      </c>
      <c r="O4" s="56">
        <f t="shared" si="9"/>
        <v>94.214803126646558</v>
      </c>
      <c r="P4" s="57">
        <f t="shared" si="5"/>
        <v>90.381524927611522</v>
      </c>
      <c r="R4" s="47"/>
      <c r="S4" s="47"/>
      <c r="T4" s="47"/>
    </row>
    <row r="5" spans="1:20" ht="12.75" customHeight="1" x14ac:dyDescent="0.35">
      <c r="A5" s="49">
        <f>'New Vestas G27 60L'!W10</f>
        <v>10494720.143733464</v>
      </c>
      <c r="B5" s="48">
        <f>'New Vestas G27 60L'!T10</f>
        <v>145.28074012362984</v>
      </c>
      <c r="C5" s="50">
        <f t="shared" si="0"/>
        <v>7.0209708620081965</v>
      </c>
      <c r="D5" s="50">
        <f t="shared" si="0"/>
        <v>2.1622080436686786</v>
      </c>
      <c r="E5" s="51">
        <f t="shared" si="6"/>
        <v>49.294031845168121</v>
      </c>
      <c r="F5" s="51">
        <f t="shared" si="6"/>
        <v>4.6751436241055346</v>
      </c>
      <c r="G5" s="52">
        <f t="shared" si="7"/>
        <v>15.180799672197539</v>
      </c>
      <c r="H5" s="59" t="s">
        <v>60</v>
      </c>
      <c r="I5" s="58">
        <f>SUM(E:E)</f>
        <v>2331.4247563974905</v>
      </c>
      <c r="J5" s="51">
        <f t="shared" si="1"/>
        <v>8.0824105134343007</v>
      </c>
      <c r="K5" s="51">
        <f t="shared" si="2"/>
        <v>1.9748171559171248</v>
      </c>
      <c r="L5" s="55">
        <f t="shared" si="3"/>
        <v>1.7946125261439117E-2</v>
      </c>
      <c r="M5" s="51">
        <f t="shared" si="4"/>
        <v>1.9568710306556858</v>
      </c>
      <c r="N5" s="94">
        <f t="shared" si="8"/>
        <v>120895605.1360361</v>
      </c>
      <c r="O5" s="56">
        <f t="shared" si="9"/>
        <v>94.366349704091135</v>
      </c>
      <c r="P5" s="57">
        <f t="shared" si="5"/>
        <v>90.54636718607172</v>
      </c>
      <c r="R5" s="47"/>
      <c r="S5" s="47"/>
      <c r="T5" s="47"/>
    </row>
    <row r="6" spans="1:20" ht="12.75" customHeight="1" x14ac:dyDescent="0.35">
      <c r="A6" s="49">
        <f>'New Vestas G27 60L'!W11</f>
        <v>11609689.303569306</v>
      </c>
      <c r="B6" s="48">
        <f>'New Vestas G27 60L'!T11</f>
        <v>136.67148235438162</v>
      </c>
      <c r="C6" s="50">
        <f t="shared" si="0"/>
        <v>7.0648205973827674</v>
      </c>
      <c r="D6" s="50">
        <f t="shared" si="0"/>
        <v>2.1356779048519354</v>
      </c>
      <c r="E6" s="51">
        <f t="shared" si="6"/>
        <v>49.9116900732038</v>
      </c>
      <c r="F6" s="51">
        <f t="shared" si="6"/>
        <v>4.5611201132727528</v>
      </c>
      <c r="G6" s="52">
        <f t="shared" si="7"/>
        <v>15.088181251573227</v>
      </c>
      <c r="H6" s="59" t="s">
        <v>61</v>
      </c>
      <c r="I6" s="58">
        <f>SUM(F:F)</f>
        <v>189.01150037978979</v>
      </c>
      <c r="J6" s="51">
        <f t="shared" si="1"/>
        <v>8.0782121823188398</v>
      </c>
      <c r="K6" s="51">
        <f t="shared" si="2"/>
        <v>1.9755219146192724</v>
      </c>
      <c r="L6" s="55">
        <f t="shared" si="3"/>
        <v>1.7851919914159329E-2</v>
      </c>
      <c r="M6" s="51">
        <f t="shared" si="4"/>
        <v>1.957669994705113</v>
      </c>
      <c r="N6" s="94">
        <f t="shared" si="8"/>
        <v>119732536.31022543</v>
      </c>
      <c r="O6" s="56">
        <f t="shared" si="9"/>
        <v>94.519608609245509</v>
      </c>
      <c r="P6" s="57">
        <f t="shared" si="5"/>
        <v>90.713097090278836</v>
      </c>
      <c r="R6" s="47"/>
      <c r="S6" s="47"/>
      <c r="T6" s="47"/>
    </row>
    <row r="7" spans="1:20" ht="12.75" customHeight="1" x14ac:dyDescent="0.35">
      <c r="A7" s="49">
        <f>'New Vestas G27 60L'!W12</f>
        <v>13724164.597168224</v>
      </c>
      <c r="B7" s="48">
        <f>'New Vestas G27 60L'!T12</f>
        <v>135.65004499192844</v>
      </c>
      <c r="C7" s="50">
        <f t="shared" si="0"/>
        <v>7.1374859180123229</v>
      </c>
      <c r="D7" s="50">
        <f t="shared" si="0"/>
        <v>2.1324199421429006</v>
      </c>
      <c r="E7" s="51">
        <f t="shared" si="6"/>
        <v>50.943705229824211</v>
      </c>
      <c r="F7" s="51">
        <f t="shared" si="6"/>
        <v>4.5472148096487315</v>
      </c>
      <c r="G7" s="52">
        <f t="shared" si="7"/>
        <v>15.220117308333606</v>
      </c>
      <c r="H7" s="59" t="s">
        <v>62</v>
      </c>
      <c r="I7" s="58">
        <f>SUM(G:G)</f>
        <v>662.95393017180811</v>
      </c>
      <c r="J7" s="51">
        <f t="shared" si="1"/>
        <v>8.0739728693808708</v>
      </c>
      <c r="K7" s="51">
        <f t="shared" si="2"/>
        <v>1.9762335527921544</v>
      </c>
      <c r="L7" s="55">
        <f t="shared" si="3"/>
        <v>1.7756849146662448E-2</v>
      </c>
      <c r="M7" s="51">
        <f t="shared" si="4"/>
        <v>1.958476703645492</v>
      </c>
      <c r="N7" s="94">
        <f t="shared" si="8"/>
        <v>118569467.48441432</v>
      </c>
      <c r="O7" s="56">
        <f t="shared" si="9"/>
        <v>94.674616107477561</v>
      </c>
      <c r="P7" s="57">
        <f t="shared" si="5"/>
        <v>90.881754711383806</v>
      </c>
      <c r="R7" s="47"/>
      <c r="S7" s="47"/>
      <c r="T7" s="47"/>
    </row>
    <row r="8" spans="1:20" ht="12.75" customHeight="1" x14ac:dyDescent="0.35">
      <c r="A8" s="49">
        <f>'New Vestas G27 60L'!W13</f>
        <v>15634845.797376247</v>
      </c>
      <c r="B8" s="48">
        <f>'New Vestas G27 60L'!T13</f>
        <v>134.0449291366449</v>
      </c>
      <c r="C8" s="50">
        <f t="shared" si="0"/>
        <v>7.1940936022608302</v>
      </c>
      <c r="D8" s="50">
        <f t="shared" si="0"/>
        <v>2.1272503894518477</v>
      </c>
      <c r="E8" s="51">
        <f t="shared" si="6"/>
        <v>51.754982758090208</v>
      </c>
      <c r="F8" s="51">
        <f t="shared" si="6"/>
        <v>4.5251942194230379</v>
      </c>
      <c r="G8" s="52">
        <f t="shared" si="7"/>
        <v>15.303638417162396</v>
      </c>
      <c r="H8" s="53" t="s">
        <v>63</v>
      </c>
      <c r="I8" s="58">
        <f>+I5-I3^2/$I$2</f>
        <v>2.3853743325839787</v>
      </c>
      <c r="J8" s="51">
        <f t="shared" si="1"/>
        <v>8.0696917666423982</v>
      </c>
      <c r="K8" s="51">
        <f t="shared" si="2"/>
        <v>1.9769522060681231</v>
      </c>
      <c r="L8" s="55">
        <f t="shared" si="3"/>
        <v>1.7660897325284947E-2</v>
      </c>
      <c r="M8" s="51">
        <f t="shared" si="4"/>
        <v>1.9592913087428381</v>
      </c>
      <c r="N8" s="94">
        <f t="shared" si="8"/>
        <v>117406398.65860324</v>
      </c>
      <c r="O8" s="56">
        <f t="shared" si="9"/>
        <v>94.831409597594572</v>
      </c>
      <c r="P8" s="57">
        <f t="shared" si="5"/>
        <v>91.052381368359477</v>
      </c>
      <c r="R8" s="47"/>
      <c r="S8" s="47"/>
      <c r="T8" s="47"/>
    </row>
    <row r="9" spans="1:20" ht="12.75" customHeight="1" x14ac:dyDescent="0.35">
      <c r="A9" s="49">
        <f>'New Vestas G27 60L'!W14</f>
        <v>17304930.485877611</v>
      </c>
      <c r="B9" s="48">
        <f>'New Vestas G27 60L'!T14</f>
        <v>131.914502637814</v>
      </c>
      <c r="C9" s="50">
        <f t="shared" si="0"/>
        <v>7.2381698590672805</v>
      </c>
      <c r="D9" s="50">
        <f t="shared" si="0"/>
        <v>2.1202925443662295</v>
      </c>
      <c r="E9" s="51">
        <f t="shared" si="6"/>
        <v>52.391102908710053</v>
      </c>
      <c r="F9" s="51">
        <f t="shared" si="6"/>
        <v>4.4956404736950191</v>
      </c>
      <c r="G9" s="52">
        <f t="shared" si="7"/>
        <v>15.347037587036716</v>
      </c>
      <c r="H9" s="59" t="s">
        <v>64</v>
      </c>
      <c r="I9" s="58">
        <f>+I6-I4^2/$I$2</f>
        <v>7.5665789002869133E-2</v>
      </c>
      <c r="J9" s="51">
        <f t="shared" si="1"/>
        <v>8.0653680419927749</v>
      </c>
      <c r="K9" s="51">
        <f t="shared" si="2"/>
        <v>1.9776780141305912</v>
      </c>
      <c r="L9" s="55">
        <f t="shared" si="3"/>
        <v>1.7564048406411993E-2</v>
      </c>
      <c r="M9" s="51">
        <f t="shared" si="4"/>
        <v>1.9601139657241793</v>
      </c>
      <c r="N9" s="94">
        <f t="shared" si="8"/>
        <v>116243329.83279209</v>
      </c>
      <c r="O9" s="56">
        <f t="shared" si="9"/>
        <v>94.990027658914499</v>
      </c>
      <c r="P9" s="57">
        <f t="shared" si="5"/>
        <v>91.225019679371684</v>
      </c>
      <c r="R9" s="47"/>
      <c r="S9" s="47"/>
      <c r="T9" s="47"/>
    </row>
    <row r="10" spans="1:20" ht="12.75" customHeight="1" x14ac:dyDescent="0.35">
      <c r="A10" s="49">
        <f>'New Vestas G27 60L'!W15</f>
        <v>18414565.117305208</v>
      </c>
      <c r="B10" s="48">
        <f>'New Vestas G27 60L'!T15</f>
        <v>128.29569598226558</v>
      </c>
      <c r="C10" s="50">
        <f t="shared" si="0"/>
        <v>7.2651614669115521</v>
      </c>
      <c r="D10" s="50">
        <f t="shared" si="0"/>
        <v>2.108212087064675</v>
      </c>
      <c r="E10" s="51">
        <f t="shared" si="6"/>
        <v>52.782571140296412</v>
      </c>
      <c r="F10" s="51">
        <f t="shared" si="6"/>
        <v>4.4445582040455927</v>
      </c>
      <c r="G10" s="52">
        <f t="shared" si="7"/>
        <v>15.316501219019459</v>
      </c>
      <c r="H10" s="59" t="s">
        <v>65</v>
      </c>
      <c r="I10" s="58">
        <f>+I7-I3*I4/$I$2</f>
        <v>-0.40042418583357176</v>
      </c>
      <c r="J10" s="51">
        <f t="shared" si="1"/>
        <v>8.0610008382179679</v>
      </c>
      <c r="K10" s="51">
        <f t="shared" si="2"/>
        <v>1.9784111208769868</v>
      </c>
      <c r="L10" s="55">
        <f t="shared" si="3"/>
        <v>1.746628592301477E-2</v>
      </c>
      <c r="M10" s="51">
        <f t="shared" si="4"/>
        <v>1.960944834953972</v>
      </c>
      <c r="N10" s="94">
        <f t="shared" si="8"/>
        <v>115080261.0069814</v>
      </c>
      <c r="O10" s="56">
        <f t="shared" si="9"/>
        <v>95.150510100786875</v>
      </c>
      <c r="P10" s="57">
        <f t="shared" si="5"/>
        <v>91.399713615784975</v>
      </c>
      <c r="R10" s="47"/>
      <c r="S10" s="47"/>
      <c r="T10" s="47"/>
    </row>
    <row r="11" spans="1:20" ht="12.75" customHeight="1" x14ac:dyDescent="0.35">
      <c r="A11" s="49">
        <f>'New Vestas G27 60L'!W16</f>
        <v>17529950.539411567</v>
      </c>
      <c r="B11" s="48">
        <f>'New Vestas G27 60L'!T16</f>
        <v>118.75255262448876</v>
      </c>
      <c r="C11" s="50">
        <f t="shared" si="0"/>
        <v>7.2437806907377809</v>
      </c>
      <c r="D11" s="50">
        <f t="shared" si="0"/>
        <v>2.0746429536974516</v>
      </c>
      <c r="E11" s="51">
        <f t="shared" si="6"/>
        <v>52.47235869550552</v>
      </c>
      <c r="F11" s="51">
        <f t="shared" si="6"/>
        <v>4.3041433853264861</v>
      </c>
      <c r="G11" s="52">
        <f t="shared" si="7"/>
        <v>15.028258568168795</v>
      </c>
      <c r="H11" s="59" t="s">
        <v>66</v>
      </c>
      <c r="I11" s="58">
        <f>+I3/$I$2</f>
        <v>7.359599619520683</v>
      </c>
      <c r="J11" s="51">
        <f t="shared" si="1"/>
        <v>8.0565892719805277</v>
      </c>
      <c r="K11" s="51">
        <f t="shared" si="2"/>
        <v>1.9791516745899818</v>
      </c>
      <c r="L11" s="55">
        <f t="shared" si="3"/>
        <v>1.7367592970704972E-2</v>
      </c>
      <c r="M11" s="51">
        <f t="shared" si="4"/>
        <v>1.9617840816192769</v>
      </c>
      <c r="N11" s="94">
        <f t="shared" si="8"/>
        <v>113917192.18117039</v>
      </c>
      <c r="O11" s="56">
        <f t="shared" si="9"/>
        <v>95.312898014714207</v>
      </c>
      <c r="P11" s="57">
        <f t="shared" si="5"/>
        <v>91.576508558964889</v>
      </c>
      <c r="R11" s="47"/>
      <c r="S11" s="47"/>
      <c r="T11" s="47"/>
    </row>
    <row r="12" spans="1:20" ht="12.75" customHeight="1" x14ac:dyDescent="0.35">
      <c r="A12" s="49">
        <f>'New Vestas G27 60L'!W17</f>
        <v>19018482.329735789</v>
      </c>
      <c r="B12" s="48">
        <f>'New Vestas G27 60L'!T17</f>
        <v>117.93540273452622</v>
      </c>
      <c r="C12" s="50">
        <f t="shared" si="0"/>
        <v>7.2791758573900891</v>
      </c>
      <c r="D12" s="50">
        <f t="shared" si="0"/>
        <v>2.0716441944444934</v>
      </c>
      <c r="E12" s="51">
        <f t="shared" si="6"/>
        <v>52.986401162810736</v>
      </c>
      <c r="F12" s="51">
        <f t="shared" si="6"/>
        <v>4.2917096683755744</v>
      </c>
      <c r="G12" s="52">
        <f t="shared" si="7"/>
        <v>15.079862405302697</v>
      </c>
      <c r="H12" s="59" t="s">
        <v>67</v>
      </c>
      <c r="I12" s="58">
        <f>+I4/$I$2</f>
        <v>2.0961528137019001</v>
      </c>
      <c r="J12" s="51">
        <f t="shared" si="1"/>
        <v>8.0521324327472108</v>
      </c>
      <c r="K12" s="51">
        <f t="shared" si="2"/>
        <v>1.9798998281175075</v>
      </c>
      <c r="L12" s="55">
        <f t="shared" si="3"/>
        <v>1.7267952193292264E-2</v>
      </c>
      <c r="M12" s="51">
        <f t="shared" si="4"/>
        <v>1.9626318759242152</v>
      </c>
      <c r="N12" s="94">
        <f t="shared" si="8"/>
        <v>112754123.35535954</v>
      </c>
      <c r="O12" s="56">
        <f t="shared" si="9"/>
        <v>95.477233829240689</v>
      </c>
      <c r="P12" s="57">
        <f t="shared" si="5"/>
        <v>91.75545136004898</v>
      </c>
      <c r="R12" s="47"/>
      <c r="S12" s="47"/>
      <c r="T12" s="47"/>
    </row>
    <row r="13" spans="1:20" ht="12.75" customHeight="1" x14ac:dyDescent="0.35">
      <c r="A13" s="49">
        <f>'New Vestas G27 60L'!W18</f>
        <v>9814497.8823463861</v>
      </c>
      <c r="B13" s="48">
        <f>'New Vestas G27 60L'!T18</f>
        <v>140.49363704278807</v>
      </c>
      <c r="C13" s="50">
        <f t="shared" si="0"/>
        <v>6.991868085647245</v>
      </c>
      <c r="D13" s="50">
        <f t="shared" si="0"/>
        <v>2.1476566554882024</v>
      </c>
      <c r="E13" s="51">
        <f t="shared" si="6"/>
        <v>48.886219327092469</v>
      </c>
      <c r="F13" s="51">
        <f t="shared" si="6"/>
        <v>4.612429109862771</v>
      </c>
      <c r="G13" s="52">
        <f t="shared" si="7"/>
        <v>15.016132028435862</v>
      </c>
      <c r="H13" s="59" t="s">
        <v>68</v>
      </c>
      <c r="I13" s="60">
        <f>+I10/I8</f>
        <v>-0.16786639328000505</v>
      </c>
      <c r="J13" s="51">
        <f t="shared" si="1"/>
        <v>8.0476293816610003</v>
      </c>
      <c r="K13" s="51">
        <f t="shared" si="2"/>
        <v>1.9806557390621053</v>
      </c>
      <c r="L13" s="55">
        <f t="shared" si="3"/>
        <v>1.7167345767831459E-2</v>
      </c>
      <c r="M13" s="51">
        <f t="shared" si="4"/>
        <v>1.9634883932942739</v>
      </c>
      <c r="N13" s="94">
        <f t="shared" si="8"/>
        <v>111591054.52954823</v>
      </c>
      <c r="O13" s="56">
        <f t="shared" si="9"/>
        <v>95.643561367785125</v>
      </c>
      <c r="P13" s="57">
        <f t="shared" si="5"/>
        <v>91.936590402875979</v>
      </c>
      <c r="R13" s="47"/>
      <c r="S13" s="47"/>
      <c r="T13" s="47"/>
    </row>
    <row r="14" spans="1:20" ht="12.75" customHeight="1" x14ac:dyDescent="0.35">
      <c r="A14" s="49">
        <f>'New Vestas G27 60L'!W19</f>
        <v>12110267.858035419</v>
      </c>
      <c r="B14" s="48">
        <f>'New Vestas G27 60L'!T19</f>
        <v>139.58684160747444</v>
      </c>
      <c r="C14" s="50">
        <f t="shared" si="0"/>
        <v>7.0831537490869172</v>
      </c>
      <c r="D14" s="50">
        <f t="shared" si="0"/>
        <v>2.1448444807040103</v>
      </c>
      <c r="E14" s="51">
        <f t="shared" si="6"/>
        <v>50.171067033204054</v>
      </c>
      <c r="F14" s="51">
        <f t="shared" si="6"/>
        <v>4.6003578464064558</v>
      </c>
      <c r="G14" s="52">
        <f t="shared" si="7"/>
        <v>15.192263224706993</v>
      </c>
      <c r="H14" s="59" t="s">
        <v>69</v>
      </c>
      <c r="I14" s="60">
        <f>+I12-I13*I11</f>
        <v>3.3315822578157346</v>
      </c>
      <c r="J14" s="51">
        <f t="shared" si="1"/>
        <v>8.043079150354048</v>
      </c>
      <c r="K14" s="51">
        <f t="shared" si="2"/>
        <v>1.9814195699801931</v>
      </c>
      <c r="L14" s="55">
        <f t="shared" si="3"/>
        <v>1.7065755389147182E-2</v>
      </c>
      <c r="M14" s="51">
        <f t="shared" si="4"/>
        <v>1.964353814591046</v>
      </c>
      <c r="N14" s="94">
        <f t="shared" si="8"/>
        <v>110427985.70373745</v>
      </c>
      <c r="O14" s="56">
        <f t="shared" si="9"/>
        <v>95.811925909606998</v>
      </c>
      <c r="P14" s="57">
        <f t="shared" si="5"/>
        <v>92.11997567026809</v>
      </c>
      <c r="R14" s="47"/>
      <c r="S14" s="47"/>
      <c r="T14" s="47"/>
    </row>
    <row r="15" spans="1:20" ht="12.75" customHeight="1" thickBot="1" x14ac:dyDescent="0.4">
      <c r="A15" s="49">
        <f>'New Vestas G27 60L'!W20</f>
        <v>14332022.872563673</v>
      </c>
      <c r="B15" s="48">
        <f>'New Vestas G27 60L'!T20</f>
        <v>138.62154323923824</v>
      </c>
      <c r="C15" s="50">
        <f t="shared" si="0"/>
        <v>7.1563074925878674</v>
      </c>
      <c r="D15" s="50">
        <f t="shared" si="0"/>
        <v>2.1418307294306733</v>
      </c>
      <c r="E15" s="51">
        <f t="shared" si="6"/>
        <v>51.212736928469248</v>
      </c>
      <c r="F15" s="51">
        <f t="shared" si="6"/>
        <v>4.5874388735335305</v>
      </c>
      <c r="G15" s="52">
        <f t="shared" si="7"/>
        <v>15.327599296879665</v>
      </c>
      <c r="H15" s="61" t="s">
        <v>70</v>
      </c>
      <c r="I15" s="62">
        <f>+I10^2/(I8*I9)</f>
        <v>0.88835079556780139</v>
      </c>
      <c r="J15" s="51">
        <f t="shared" si="1"/>
        <v>8.0384807396977411</v>
      </c>
      <c r="K15" s="51">
        <f t="shared" si="2"/>
        <v>1.9821914885918877</v>
      </c>
      <c r="L15" s="55">
        <f t="shared" si="3"/>
        <v>1.6963162253823359E-2</v>
      </c>
      <c r="M15" s="51">
        <f t="shared" si="4"/>
        <v>1.9652283263380643</v>
      </c>
      <c r="N15" s="94">
        <f t="shared" si="8"/>
        <v>109264916.87792651</v>
      </c>
      <c r="O15" s="56">
        <f t="shared" si="9"/>
        <v>95.982374254113054</v>
      </c>
      <c r="P15" s="57">
        <f t="shared" si="5"/>
        <v>92.305658813885898</v>
      </c>
      <c r="R15" s="47"/>
      <c r="S15" s="47"/>
      <c r="T15" s="47"/>
    </row>
    <row r="16" spans="1:20" ht="12.75" customHeight="1" x14ac:dyDescent="0.35">
      <c r="A16" s="49">
        <f>'New Vestas G27 60L'!W21</f>
        <v>16600944.751284983</v>
      </c>
      <c r="B16" s="48">
        <f>'New Vestas G27 60L'!T21</f>
        <v>138.1242683093964</v>
      </c>
      <c r="C16" s="50">
        <f t="shared" si="0"/>
        <v>7.2201328042204542</v>
      </c>
      <c r="D16" s="50">
        <f t="shared" si="0"/>
        <v>2.1402699904316598</v>
      </c>
      <c r="E16" s="51">
        <f t="shared" si="6"/>
        <v>52.130317710580321</v>
      </c>
      <c r="F16" s="51">
        <f t="shared" si="6"/>
        <v>4.5807556319423366</v>
      </c>
      <c r="G16" s="52">
        <f t="shared" si="7"/>
        <v>15.453033567804225</v>
      </c>
      <c r="H16" s="63" t="s">
        <v>71</v>
      </c>
      <c r="I16" s="64"/>
      <c r="J16" s="51">
        <f t="shared" si="1"/>
        <v>8.0338331184859246</v>
      </c>
      <c r="K16" s="51">
        <f t="shared" si="2"/>
        <v>1.982971668002047</v>
      </c>
      <c r="L16" s="55">
        <f t="shared" si="3"/>
        <v>1.6859547043648438E-2</v>
      </c>
      <c r="M16" s="51">
        <f t="shared" si="4"/>
        <v>1.9661121209583987</v>
      </c>
      <c r="N16" s="94">
        <f t="shared" si="8"/>
        <v>108101848.05211574</v>
      </c>
      <c r="O16" s="56">
        <f t="shared" si="9"/>
        <v>96.154954788722037</v>
      </c>
      <c r="P16" s="57">
        <f t="shared" si="5"/>
        <v>92.493693227880357</v>
      </c>
      <c r="R16" s="47"/>
      <c r="S16" s="47"/>
      <c r="T16" s="47"/>
    </row>
    <row r="17" spans="1:20" ht="12.75" customHeight="1" x14ac:dyDescent="0.35">
      <c r="A17" s="49">
        <f>'New Vestas G27 60L'!W22</f>
        <v>18138124.13923401</v>
      </c>
      <c r="B17" s="48">
        <f>'New Vestas G27 60L'!T22</f>
        <v>135.05286440592008</v>
      </c>
      <c r="C17" s="50">
        <f t="shared" si="0"/>
        <v>7.2585923699288566</v>
      </c>
      <c r="D17" s="50">
        <f t="shared" si="0"/>
        <v>2.1305037997970175</v>
      </c>
      <c r="E17" s="51">
        <f t="shared" si="6"/>
        <v>52.687163192789413</v>
      </c>
      <c r="F17" s="51">
        <f t="shared" si="6"/>
        <v>4.5390464409495301</v>
      </c>
      <c r="G17" s="52">
        <f t="shared" si="7"/>
        <v>15.464458625311067</v>
      </c>
      <c r="H17" s="53" t="s">
        <v>72</v>
      </c>
      <c r="I17" s="65">
        <f>(+I9-(+I10^2/I8))/($I$2-2)</f>
        <v>2.0604939377816945E-4</v>
      </c>
      <c r="J17" s="51">
        <f t="shared" si="1"/>
        <v>8.0291352220468557</v>
      </c>
      <c r="K17" s="51">
        <f t="shared" si="2"/>
        <v>1.9837602869332764</v>
      </c>
      <c r="L17" s="55">
        <f t="shared" si="3"/>
        <v>1.6754889908505568E-2</v>
      </c>
      <c r="M17" s="51">
        <f t="shared" si="4"/>
        <v>1.967005397024771</v>
      </c>
      <c r="N17" s="94">
        <f t="shared" si="8"/>
        <v>106938779.22630459</v>
      </c>
      <c r="O17" s="56">
        <f t="shared" si="9"/>
        <v>96.32971756052855</v>
      </c>
      <c r="P17" s="57">
        <f t="shared" si="5"/>
        <v>92.684134126595566</v>
      </c>
      <c r="R17" s="47"/>
      <c r="S17" s="47"/>
      <c r="T17" s="47"/>
    </row>
    <row r="18" spans="1:20" ht="12.75" customHeight="1" x14ac:dyDescent="0.35">
      <c r="A18" s="49">
        <f>'New Vestas G27 60L'!W23</f>
        <v>20141071.679637287</v>
      </c>
      <c r="B18" s="48">
        <f>'New Vestas G27 60L'!T23</f>
        <v>134.17532043706771</v>
      </c>
      <c r="C18" s="50">
        <f t="shared" si="0"/>
        <v>7.3040825750641885</v>
      </c>
      <c r="D18" s="50">
        <f t="shared" si="0"/>
        <v>2.1276726411409932</v>
      </c>
      <c r="E18" s="51">
        <f t="shared" si="6"/>
        <v>53.349622263356309</v>
      </c>
      <c r="F18" s="51">
        <f t="shared" si="6"/>
        <v>4.5269908678598894</v>
      </c>
      <c r="G18" s="52">
        <f t="shared" si="7"/>
        <v>15.540696663598728</v>
      </c>
      <c r="H18" s="66" t="s">
        <v>53</v>
      </c>
      <c r="I18" s="67">
        <v>0.95</v>
      </c>
      <c r="J18" s="51">
        <f t="shared" si="1"/>
        <v>8.0243859507793029</v>
      </c>
      <c r="K18" s="51">
        <f t="shared" si="2"/>
        <v>1.9845575299716689</v>
      </c>
      <c r="L18" s="55">
        <f t="shared" si="3"/>
        <v>1.6649170448702431E-2</v>
      </c>
      <c r="M18" s="51">
        <f t="shared" si="4"/>
        <v>1.9679083595229665</v>
      </c>
      <c r="N18" s="94">
        <f t="shared" si="8"/>
        <v>105775710.40049389</v>
      </c>
      <c r="O18" s="56">
        <f t="shared" si="9"/>
        <v>96.50671435201906</v>
      </c>
      <c r="P18" s="57">
        <f t="shared" si="5"/>
        <v>92.877038626583072</v>
      </c>
      <c r="R18" s="47"/>
      <c r="S18" s="47"/>
      <c r="T18" s="47"/>
    </row>
    <row r="19" spans="1:20" ht="12.75" customHeight="1" x14ac:dyDescent="0.35">
      <c r="A19" s="49">
        <f>'New Vestas G27 60L'!W24</f>
        <v>21986345.086432938</v>
      </c>
      <c r="B19" s="48">
        <f>'New Vestas G27 60L'!T24</f>
        <v>126.80395105123425</v>
      </c>
      <c r="C19" s="50">
        <f t="shared" si="0"/>
        <v>7.3421530401511346</v>
      </c>
      <c r="D19" s="50">
        <f t="shared" si="0"/>
        <v>2.1031327858250162</v>
      </c>
      <c r="E19" s="51">
        <f t="shared" si="6"/>
        <v>53.907211265000548</v>
      </c>
      <c r="F19" s="51">
        <f t="shared" si="6"/>
        <v>4.4231675148120937</v>
      </c>
      <c r="G19" s="52">
        <f t="shared" si="7"/>
        <v>15.441522777286668</v>
      </c>
      <c r="H19" s="53" t="s">
        <v>73</v>
      </c>
      <c r="I19" s="68">
        <f>_xlfn.T.INV(1-(1-I18)/2,I2-2)</f>
        <v>2.0195409704413745</v>
      </c>
      <c r="J19" s="51">
        <f t="shared" si="1"/>
        <v>8.0195841686076719</v>
      </c>
      <c r="K19" s="51">
        <f t="shared" si="2"/>
        <v>1.9853635878261369</v>
      </c>
      <c r="L19" s="55">
        <f t="shared" si="3"/>
        <v>1.6542367696734273E-2</v>
      </c>
      <c r="M19" s="51">
        <f t="shared" si="4"/>
        <v>1.9688212201294026</v>
      </c>
      <c r="N19" s="94">
        <f t="shared" si="8"/>
        <v>104612641.57468264</v>
      </c>
      <c r="O19" s="56">
        <f t="shared" si="9"/>
        <v>96.685998761119933</v>
      </c>
      <c r="P19" s="57">
        <f t="shared" si="5"/>
        <v>93.07246583321816</v>
      </c>
      <c r="R19" s="47"/>
      <c r="S19" s="47"/>
      <c r="T19" s="47"/>
    </row>
    <row r="20" spans="1:20" ht="12.75" customHeight="1" x14ac:dyDescent="0.35">
      <c r="A20" s="49">
        <f>'New Vestas G27 60L'!W25</f>
        <v>23021189.281967986</v>
      </c>
      <c r="B20" s="48">
        <f>'New Vestas G27 60L'!T25</f>
        <v>124.2298220526136</v>
      </c>
      <c r="C20" s="50">
        <f t="shared" si="0"/>
        <v>7.3621277556645222</v>
      </c>
      <c r="D20" s="50">
        <f t="shared" si="0"/>
        <v>2.0942258631370101</v>
      </c>
      <c r="E20" s="51">
        <f t="shared" si="6"/>
        <v>54.200925090725931</v>
      </c>
      <c r="F20" s="51">
        <f t="shared" si="6"/>
        <v>4.3857819658319546</v>
      </c>
      <c r="G20" s="52">
        <f t="shared" si="7"/>
        <v>15.417958353631473</v>
      </c>
      <c r="H20" s="53" t="s">
        <v>74</v>
      </c>
      <c r="I20" s="68">
        <f>_xlfn.F.INV(I18,2,I2-2)</f>
        <v>3.2256838422954499</v>
      </c>
      <c r="J20" s="51">
        <f t="shared" si="1"/>
        <v>8.0147287013508048</v>
      </c>
      <c r="K20" s="51">
        <f t="shared" si="2"/>
        <v>1.9861786576022362</v>
      </c>
      <c r="L20" s="55">
        <f t="shared" si="3"/>
        <v>1.6434460098479917E-2</v>
      </c>
      <c r="M20" s="51">
        <f t="shared" si="4"/>
        <v>1.9697441975037564</v>
      </c>
      <c r="N20" s="94">
        <f t="shared" si="8"/>
        <v>103449572.74887174</v>
      </c>
      <c r="O20" s="56">
        <f t="shared" si="9"/>
        <v>96.867626285873513</v>
      </c>
      <c r="P20" s="57">
        <f t="shared" si="5"/>
        <v>93.270476932224966</v>
      </c>
      <c r="R20" s="47"/>
      <c r="S20" s="47"/>
      <c r="T20" s="47"/>
    </row>
    <row r="21" spans="1:20" ht="12.75" customHeight="1" x14ac:dyDescent="0.35">
      <c r="A21" s="49">
        <f>'New Vestas G27 60L'!W26</f>
        <v>12977294.165116822</v>
      </c>
      <c r="B21" s="48">
        <f>'New Vestas G27 60L'!T26</f>
        <v>144.49728289345654</v>
      </c>
      <c r="C21" s="50">
        <f t="shared" si="0"/>
        <v>7.1131841491931231</v>
      </c>
      <c r="D21" s="50">
        <f t="shared" si="0"/>
        <v>2.1598596807571133</v>
      </c>
      <c r="E21" s="51">
        <f t="shared" si="6"/>
        <v>50.597388740332292</v>
      </c>
      <c r="F21" s="51">
        <f t="shared" si="6"/>
        <v>4.6649938405602196</v>
      </c>
      <c r="G21" s="52">
        <f t="shared" si="7"/>
        <v>15.363479645642817</v>
      </c>
      <c r="H21" s="53" t="s">
        <v>75</v>
      </c>
      <c r="I21" s="68">
        <f>I19*SQRT(I17)*(($I$8)^(-1/2))</f>
        <v>1.8769818270220822E-2</v>
      </c>
      <c r="J21" s="51">
        <f t="shared" si="1"/>
        <v>8.0098183349985295</v>
      </c>
      <c r="K21" s="51">
        <f t="shared" si="2"/>
        <v>1.9870029430914762</v>
      </c>
      <c r="L21" s="55">
        <f t="shared" si="3"/>
        <v>1.6325425493831165E-2</v>
      </c>
      <c r="M21" s="51">
        <f t="shared" si="4"/>
        <v>1.970677517597645</v>
      </c>
      <c r="N21" s="94">
        <f t="shared" si="8"/>
        <v>102286503.92306098</v>
      </c>
      <c r="O21" s="56">
        <f t="shared" si="9"/>
        <v>97.051654414068295</v>
      </c>
      <c r="P21" s="57">
        <f t="shared" si="5"/>
        <v>93.471135286444209</v>
      </c>
      <c r="R21" s="47"/>
      <c r="S21" s="47"/>
      <c r="T21" s="47"/>
    </row>
    <row r="22" spans="1:20" ht="12.75" customHeight="1" thickBot="1" x14ac:dyDescent="0.4">
      <c r="A22" s="49">
        <f>'New Vestas G27 60L'!W27</f>
        <v>14549383.251407405</v>
      </c>
      <c r="B22" s="48">
        <f>'New Vestas G27 60L'!T27</f>
        <v>139.66875925554606</v>
      </c>
      <c r="C22" s="50">
        <f t="shared" si="0"/>
        <v>7.1628445839619603</v>
      </c>
      <c r="D22" s="50">
        <f t="shared" si="0"/>
        <v>2.1450992751177198</v>
      </c>
      <c r="E22" s="51">
        <f t="shared" si="6"/>
        <v>51.306342533993188</v>
      </c>
      <c r="F22" s="51">
        <f t="shared" si="6"/>
        <v>4.6014509001105672</v>
      </c>
      <c r="G22" s="52">
        <f t="shared" si="7"/>
        <v>15.365012724837687</v>
      </c>
      <c r="H22" s="61" t="s">
        <v>76</v>
      </c>
      <c r="I22" s="69">
        <f>I19*SQRT(I17)*(1/I2+I11^2/I8)^(1/2)</f>
        <v>0.13820906911973993</v>
      </c>
      <c r="J22" s="51">
        <f t="shared" si="1"/>
        <v>8.0048518138896707</v>
      </c>
      <c r="K22" s="51">
        <f t="shared" si="2"/>
        <v>1.9878366550771693</v>
      </c>
      <c r="L22" s="55">
        <f t="shared" si="3"/>
        <v>1.6215241096762485E-2</v>
      </c>
      <c r="M22" s="51">
        <f t="shared" si="4"/>
        <v>1.9716214139804069</v>
      </c>
      <c r="N22" s="94">
        <f t="shared" si="8"/>
        <v>101123435.0972501</v>
      </c>
      <c r="O22" s="56">
        <f t="shared" si="9"/>
        <v>97.238142718170565</v>
      </c>
      <c r="P22" s="57">
        <f t="shared" si="5"/>
        <v>93.674506538202834</v>
      </c>
      <c r="R22" s="47"/>
      <c r="S22" s="47"/>
      <c r="T22" s="47"/>
    </row>
    <row r="23" spans="1:20" ht="12.75" customHeight="1" x14ac:dyDescent="0.35">
      <c r="A23" s="49">
        <f>'New Vestas G27 60L'!W28</f>
        <v>15636055.232893724</v>
      </c>
      <c r="B23" s="48">
        <f>'New Vestas G27 60L'!T28</f>
        <v>134.05011356779568</v>
      </c>
      <c r="C23" s="50">
        <f t="shared" si="0"/>
        <v>7.1941271958673081</v>
      </c>
      <c r="D23" s="50">
        <f t="shared" si="0"/>
        <v>2.1272671862550872</v>
      </c>
      <c r="E23" s="51">
        <f t="shared" si="6"/>
        <v>51.75546611031762</v>
      </c>
      <c r="F23" s="51">
        <f t="shared" si="6"/>
        <v>4.5252656817176353</v>
      </c>
      <c r="G23" s="52">
        <f t="shared" si="7"/>
        <v>15.303830717513849</v>
      </c>
      <c r="H23" s="63" t="s">
        <v>77</v>
      </c>
      <c r="I23" s="70"/>
      <c r="J23" s="51">
        <f t="shared" si="1"/>
        <v>7.999827838784678</v>
      </c>
      <c r="K23" s="51">
        <f t="shared" si="2"/>
        <v>1.988680011657973</v>
      </c>
      <c r="L23" s="55">
        <f t="shared" si="3"/>
        <v>1.6103883474852268E-2</v>
      </c>
      <c r="M23" s="51">
        <f t="shared" si="4"/>
        <v>1.9725761281831207</v>
      </c>
      <c r="N23" s="94">
        <f t="shared" si="8"/>
        <v>99960366.27143915</v>
      </c>
      <c r="O23" s="56">
        <f t="shared" si="9"/>
        <v>97.42715295593662</v>
      </c>
      <c r="P23" s="57">
        <f t="shared" si="5"/>
        <v>93.880658717671892</v>
      </c>
      <c r="R23" s="47"/>
      <c r="S23" s="47"/>
      <c r="T23" s="47"/>
    </row>
    <row r="24" spans="1:20" ht="12.75" customHeight="1" x14ac:dyDescent="0.35">
      <c r="A24" s="49">
        <f>'New Vestas G27 60L'!W29</f>
        <v>17659741.12372699</v>
      </c>
      <c r="B24" s="48">
        <f>'New Vestas G27 60L'!T29</f>
        <v>133.2599915179558</v>
      </c>
      <c r="C24" s="50">
        <f t="shared" si="0"/>
        <v>7.2469843329130725</v>
      </c>
      <c r="D24" s="50">
        <f t="shared" si="0"/>
        <v>2.1246997812891255</v>
      </c>
      <c r="E24" s="51">
        <f t="shared" si="6"/>
        <v>52.51878192148753</v>
      </c>
      <c r="F24" s="51">
        <f t="shared" si="6"/>
        <v>4.5143491606100579</v>
      </c>
      <c r="G24" s="52">
        <f t="shared" si="7"/>
        <v>15.397666027146125</v>
      </c>
      <c r="H24" s="66" t="s">
        <v>78</v>
      </c>
      <c r="I24" s="71">
        <f>10^(MAX(C:C))</f>
        <v>124384811.61346863</v>
      </c>
      <c r="J24" s="51">
        <f t="shared" si="1"/>
        <v>7.9947450648254437</v>
      </c>
      <c r="K24" s="51">
        <f t="shared" si="2"/>
        <v>1.9895332385903672</v>
      </c>
      <c r="L24" s="55">
        <f t="shared" si="3"/>
        <v>1.5991328528272605E-2</v>
      </c>
      <c r="M24" s="51">
        <f t="shared" si="4"/>
        <v>1.9735419100620946</v>
      </c>
      <c r="N24" s="94">
        <f t="shared" si="8"/>
        <v>98797297.445628032</v>
      </c>
      <c r="O24" s="56">
        <f t="shared" si="9"/>
        <v>97.618749177117905</v>
      </c>
      <c r="P24" s="57">
        <f t="shared" si="5"/>
        <v>94.089662357634083</v>
      </c>
      <c r="R24" s="47"/>
      <c r="S24" s="47"/>
      <c r="T24" s="47"/>
    </row>
    <row r="25" spans="1:20" ht="12.75" customHeight="1" thickBot="1" x14ac:dyDescent="0.4">
      <c r="A25" s="49">
        <f>'New Vestas G27 60L'!W30</f>
        <v>19304089.761817481</v>
      </c>
      <c r="B25" s="48">
        <f>'New Vestas G27 60L'!T30</f>
        <v>131.35784584241532</v>
      </c>
      <c r="C25" s="50">
        <f t="shared" si="0"/>
        <v>7.285649328325273</v>
      </c>
      <c r="D25" s="50">
        <f t="shared" si="0"/>
        <v>2.118456017771535</v>
      </c>
      <c r="E25" s="51">
        <f t="shared" si="6"/>
        <v>53.080686135326502</v>
      </c>
      <c r="F25" s="51">
        <f t="shared" si="6"/>
        <v>4.4878558992324304</v>
      </c>
      <c r="G25" s="52">
        <f t="shared" si="7"/>
        <v>15.434327662963817</v>
      </c>
      <c r="H25" s="72" t="s">
        <v>79</v>
      </c>
      <c r="I25" s="73">
        <f>10^(MIN(C:C))</f>
        <v>8077929.0323742395</v>
      </c>
      <c r="J25" s="51">
        <f t="shared" si="1"/>
        <v>7.9896020993743315</v>
      </c>
      <c r="K25" s="51">
        <f t="shared" si="2"/>
        <v>1.990396569651409</v>
      </c>
      <c r="L25" s="55">
        <f t="shared" si="3"/>
        <v>1.5877551468273573E-2</v>
      </c>
      <c r="M25" s="51">
        <f t="shared" si="4"/>
        <v>1.9745190181831354</v>
      </c>
      <c r="N25" s="94">
        <f t="shared" si="8"/>
        <v>97634228.619817078</v>
      </c>
      <c r="O25" s="56">
        <f t="shared" si="9"/>
        <v>97.812997836701797</v>
      </c>
      <c r="P25" s="57">
        <f t="shared" si="5"/>
        <v>94.301590615111067</v>
      </c>
      <c r="R25" s="47"/>
      <c r="S25" s="47"/>
      <c r="T25" s="47"/>
    </row>
    <row r="26" spans="1:20" ht="12.75" customHeight="1" x14ac:dyDescent="0.35">
      <c r="A26" s="49">
        <f>'New Vestas G27 60L'!W31</f>
        <v>20224598.756835319</v>
      </c>
      <c r="B26" s="48">
        <f>'New Vestas G27 60L'!T31</f>
        <v>127.55355449133431</v>
      </c>
      <c r="C26" s="50">
        <f t="shared" si="0"/>
        <v>7.3058799142437216</v>
      </c>
      <c r="D26" s="50">
        <f t="shared" si="0"/>
        <v>2.1056925654504224</v>
      </c>
      <c r="E26" s="51">
        <f t="shared" si="6"/>
        <v>53.375881321349851</v>
      </c>
      <c r="F26" s="51">
        <f t="shared" si="6"/>
        <v>4.4339411801931812</v>
      </c>
      <c r="G26" s="52">
        <f t="shared" si="7"/>
        <v>15.383937019496575</v>
      </c>
      <c r="H26" s="63" t="s">
        <v>80</v>
      </c>
      <c r="I26" s="70"/>
      <c r="J26" s="51">
        <f t="shared" si="1"/>
        <v>7.9843974997236975</v>
      </c>
      <c r="K26" s="51">
        <f t="shared" si="2"/>
        <v>1.9912702470232273</v>
      </c>
      <c r="L26" s="55">
        <f t="shared" si="3"/>
        <v>1.5762526795195398E-2</v>
      </c>
      <c r="M26" s="51">
        <f t="shared" si="4"/>
        <v>1.975507720228032</v>
      </c>
      <c r="N26" s="94">
        <f t="shared" si="8"/>
        <v>96471159.794006065</v>
      </c>
      <c r="O26" s="56">
        <f t="shared" si="9"/>
        <v>98.009967915173931</v>
      </c>
      <c r="P26" s="57">
        <f t="shared" si="5"/>
        <v>94.51651940034337</v>
      </c>
      <c r="R26" s="47" t="s">
        <v>81</v>
      </c>
      <c r="S26" s="47"/>
      <c r="T26" s="47"/>
    </row>
    <row r="27" spans="1:20" ht="12.75" customHeight="1" x14ac:dyDescent="0.35">
      <c r="A27" s="49">
        <f>'New Vestas G27 60L'!W32</f>
        <v>29853302.245149177</v>
      </c>
      <c r="B27" s="48">
        <f>'New Vestas G27 60L'!T32</f>
        <v>121.45685861059646</v>
      </c>
      <c r="C27" s="50">
        <f t="shared" si="0"/>
        <v>7.4749923779284915</v>
      </c>
      <c r="D27" s="50">
        <f t="shared" si="0"/>
        <v>2.0844220442348695</v>
      </c>
      <c r="E27" s="51">
        <f t="shared" si="6"/>
        <v>55.875511050089045</v>
      </c>
      <c r="F27" s="51">
        <f t="shared" si="6"/>
        <v>4.3448152584922726</v>
      </c>
      <c r="G27" s="52">
        <f t="shared" si="7"/>
        <v>15.581038893041775</v>
      </c>
      <c r="H27" s="53" t="str">
        <f>"m lower " &amp; TEXT(I18,"##%") &amp; " conf"</f>
        <v>m lower 95% conf</v>
      </c>
      <c r="I27" s="74">
        <f>-I13-I21</f>
        <v>0.14909657500978424</v>
      </c>
      <c r="J27" s="51">
        <f t="shared" si="1"/>
        <v>7.9791297706665043</v>
      </c>
      <c r="K27" s="51">
        <f t="shared" si="2"/>
        <v>1.9921545217008347</v>
      </c>
      <c r="L27" s="55">
        <f t="shared" si="3"/>
        <v>1.5646228276054046E-2</v>
      </c>
      <c r="M27" s="51">
        <f t="shared" si="4"/>
        <v>1.9765082934247806</v>
      </c>
      <c r="N27" s="94">
        <f t="shared" si="8"/>
        <v>95308090.968195349</v>
      </c>
      <c r="O27" s="56">
        <f t="shared" si="9"/>
        <v>98.209731046326098</v>
      </c>
      <c r="P27" s="57">
        <f t="shared" si="5"/>
        <v>94.734527513650804</v>
      </c>
      <c r="R27" s="47"/>
      <c r="S27" s="47"/>
      <c r="T27" s="47"/>
    </row>
    <row r="28" spans="1:20" ht="12.75" customHeight="1" x14ac:dyDescent="0.35">
      <c r="A28" s="49">
        <f>'New Vestas G27 60L'!W33</f>
        <v>32793154.281533718</v>
      </c>
      <c r="B28" s="48">
        <f>'New Vestas G27 60L'!T33</f>
        <v>118.50686190062923</v>
      </c>
      <c r="C28" s="50">
        <f t="shared" si="0"/>
        <v>7.515783192246662</v>
      </c>
      <c r="D28" s="50">
        <f t="shared" si="0"/>
        <v>2.0737434980195326</v>
      </c>
      <c r="E28" s="51">
        <f t="shared" si="6"/>
        <v>56.486996992857428</v>
      </c>
      <c r="F28" s="51">
        <f t="shared" si="6"/>
        <v>4.3004120955782872</v>
      </c>
      <c r="G28" s="52">
        <f t="shared" si="7"/>
        <v>15.585806527446003</v>
      </c>
      <c r="H28" s="75" t="s">
        <v>82</v>
      </c>
      <c r="I28" s="76">
        <f>-I13</f>
        <v>0.16786639328000505</v>
      </c>
      <c r="J28" s="51">
        <f t="shared" si="1"/>
        <v>7.9737973619177751</v>
      </c>
      <c r="K28" s="51">
        <f t="shared" si="2"/>
        <v>1.9930496539249787</v>
      </c>
      <c r="L28" s="55">
        <f t="shared" si="3"/>
        <v>1.5528628921757437E-2</v>
      </c>
      <c r="M28" s="51">
        <f t="shared" si="4"/>
        <v>1.9775210250032211</v>
      </c>
      <c r="N28" s="94">
        <f t="shared" si="8"/>
        <v>94145022.142384231</v>
      </c>
      <c r="O28" s="56">
        <f t="shared" si="9"/>
        <v>98.412361653183751</v>
      </c>
      <c r="P28" s="57">
        <f t="shared" si="5"/>
        <v>94.955696790751475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60L'!W34</f>
        <v>32631014.326100044</v>
      </c>
      <c r="B29" s="48">
        <f>'New Vestas G27 60L'!T34</f>
        <v>114.45975897621136</v>
      </c>
      <c r="C29" s="50">
        <f t="shared" si="0"/>
        <v>7.5136305739221489</v>
      </c>
      <c r="D29" s="50">
        <f t="shared" si="0"/>
        <v>2.0586528270571542</v>
      </c>
      <c r="E29" s="51">
        <f t="shared" si="6"/>
        <v>56.454644401377685</v>
      </c>
      <c r="F29" s="51">
        <f t="shared" si="6"/>
        <v>4.2380514623504135</v>
      </c>
      <c r="G29" s="52">
        <f t="shared" si="7"/>
        <v>15.467956822467901</v>
      </c>
      <c r="H29" s="77" t="str">
        <f>"m upper " &amp; TEXT(I18,"##%") &amp; " conf"</f>
        <v>m upper 95% conf</v>
      </c>
      <c r="I29" s="74">
        <f>-I13+I21</f>
        <v>0.18663621155022586</v>
      </c>
      <c r="J29" s="51">
        <f t="shared" si="1"/>
        <v>7.9683986653757692</v>
      </c>
      <c r="K29" s="51">
        <f t="shared" si="2"/>
        <v>1.9939559136418983</v>
      </c>
      <c r="L29" s="55">
        <f t="shared" si="3"/>
        <v>1.5409700964025443E-2</v>
      </c>
      <c r="M29" s="51">
        <f t="shared" si="4"/>
        <v>1.9785462126778728</v>
      </c>
      <c r="N29" s="94">
        <f t="shared" si="8"/>
        <v>92981953.316573441</v>
      </c>
      <c r="O29" s="56">
        <f t="shared" si="9"/>
        <v>98.617937092674211</v>
      </c>
      <c r="P29" s="57">
        <f t="shared" si="5"/>
        <v>95.180112257160175</v>
      </c>
      <c r="R29" s="47"/>
      <c r="S29" s="47"/>
      <c r="T29" s="47"/>
    </row>
    <row r="30" spans="1:20" ht="12.75" customHeight="1" x14ac:dyDescent="0.35">
      <c r="A30" s="49">
        <f>'New Vestas G27 60L'!W35</f>
        <v>45263189.123875178</v>
      </c>
      <c r="B30" s="48">
        <f>'New Vestas G27 60L'!T35</f>
        <v>112.43620751400243</v>
      </c>
      <c r="C30" s="50">
        <f t="shared" si="0"/>
        <v>7.6557451499304108</v>
      </c>
      <c r="D30" s="50">
        <f t="shared" si="0"/>
        <v>2.0509061883804511</v>
      </c>
      <c r="E30" s="51">
        <f t="shared" si="6"/>
        <v>58.610433800683005</v>
      </c>
      <c r="F30" s="51">
        <f t="shared" si="6"/>
        <v>4.2062161935372302</v>
      </c>
      <c r="G30" s="52">
        <f t="shared" si="7"/>
        <v>15.701215104655905</v>
      </c>
      <c r="H30" s="77" t="str">
        <f>"C lower " &amp; TEXT(I18,"##%") &amp; " conf"</f>
        <v>C lower 95% conf</v>
      </c>
      <c r="I30" s="78">
        <f>10^(I14-I22)</f>
        <v>1560.8932002566069</v>
      </c>
      <c r="J30" s="51">
        <f t="shared" si="1"/>
        <v>7.9629320122107758</v>
      </c>
      <c r="K30" s="51">
        <f t="shared" si="2"/>
        <v>1.9948735809920186</v>
      </c>
      <c r="L30" s="55">
        <f t="shared" si="3"/>
        <v>1.5289415832104717E-2</v>
      </c>
      <c r="M30" s="51">
        <f t="shared" si="4"/>
        <v>1.979584165159914</v>
      </c>
      <c r="N30" s="94">
        <f t="shared" si="8"/>
        <v>91818884.490762159</v>
      </c>
      <c r="O30" s="56">
        <f t="shared" si="9"/>
        <v>98.826537809716967</v>
      </c>
      <c r="P30" s="57">
        <f t="shared" si="5"/>
        <v>95.407862292345385</v>
      </c>
      <c r="R30" s="47"/>
      <c r="S30" s="47"/>
      <c r="T30" s="47"/>
    </row>
    <row r="31" spans="1:20" ht="12.75" customHeight="1" x14ac:dyDescent="0.35">
      <c r="A31" s="49">
        <f>'New Vestas G27 60L'!W36</f>
        <v>25851155.384653624</v>
      </c>
      <c r="B31" s="48">
        <f>'New Vestas G27 60L'!T36</f>
        <v>122.86867301238763</v>
      </c>
      <c r="C31" s="50">
        <f t="shared" si="0"/>
        <v>7.4124799581056378</v>
      </c>
      <c r="D31" s="50">
        <f t="shared" si="0"/>
        <v>2.0894411678977485</v>
      </c>
      <c r="E31" s="51">
        <f t="shared" si="6"/>
        <v>54.944859129317756</v>
      </c>
      <c r="F31" s="51">
        <f t="shared" si="6"/>
        <v>4.3657643941059074</v>
      </c>
      <c r="G31" s="52">
        <f t="shared" si="7"/>
        <v>15.487940780682898</v>
      </c>
      <c r="H31" s="75" t="s">
        <v>83</v>
      </c>
      <c r="I31" s="79">
        <f>10^I14</f>
        <v>2145.7654973740518</v>
      </c>
      <c r="J31" s="51">
        <f t="shared" si="1"/>
        <v>7.9573956697683359</v>
      </c>
      <c r="K31" s="51">
        <f t="shared" si="2"/>
        <v>1.995802946829794</v>
      </c>
      <c r="L31" s="55">
        <f t="shared" si="3"/>
        <v>1.5167744129390821E-2</v>
      </c>
      <c r="M31" s="51">
        <f t="shared" si="4"/>
        <v>1.9806352027004031</v>
      </c>
      <c r="N31" s="94">
        <f t="shared" si="8"/>
        <v>90655815.66495128</v>
      </c>
      <c r="O31" s="56">
        <f t="shared" si="9"/>
        <v>99.038247501475851</v>
      </c>
      <c r="P31" s="57">
        <f t="shared" si="5"/>
        <v>95.639038804377762</v>
      </c>
      <c r="R31" s="47"/>
      <c r="S31" s="47"/>
      <c r="T31" s="47"/>
    </row>
    <row r="32" spans="1:20" ht="12.75" customHeight="1" thickBot="1" x14ac:dyDescent="0.4">
      <c r="A32" s="49">
        <f>'New Vestas G27 60L'!W37</f>
        <v>27125671.706013426</v>
      </c>
      <c r="B32" s="48">
        <f>'New Vestas G27 60L'!T37</f>
        <v>120.50280576371755</v>
      </c>
      <c r="C32" s="50">
        <f t="shared" si="0"/>
        <v>7.4333805013120031</v>
      </c>
      <c r="D32" s="50">
        <f t="shared" si="0"/>
        <v>2.0809971590562313</v>
      </c>
      <c r="E32" s="51">
        <f t="shared" si="6"/>
        <v>55.255145677285483</v>
      </c>
      <c r="F32" s="51">
        <f t="shared" si="6"/>
        <v>4.3305491760001056</v>
      </c>
      <c r="G32" s="52">
        <f t="shared" si="7"/>
        <v>15.468843705414264</v>
      </c>
      <c r="H32" s="61" t="str">
        <f>"C upper " &amp; TEXT(I18,"##%") &amp; " conf"</f>
        <v>C upper 95% conf</v>
      </c>
      <c r="I32" s="80">
        <f>10^(I14+I22)</f>
        <v>2949.7915481750956</v>
      </c>
      <c r="J32" s="51">
        <f t="shared" si="1"/>
        <v>7.9517878382725113</v>
      </c>
      <c r="K32" s="51">
        <f t="shared" si="2"/>
        <v>1.9967443132771201</v>
      </c>
      <c r="L32" s="55">
        <f t="shared" si="3"/>
        <v>1.5044655610095659E-2</v>
      </c>
      <c r="M32" s="51">
        <f t="shared" si="4"/>
        <v>1.9816996576670245</v>
      </c>
      <c r="N32" s="94">
        <f t="shared" si="8"/>
        <v>89492746.839140564</v>
      </c>
      <c r="O32" s="56">
        <f t="shared" si="9"/>
        <v>99.253153292585012</v>
      </c>
      <c r="P32" s="57">
        <f t="shared" si="5"/>
        <v>95.873737415872711</v>
      </c>
      <c r="R32" s="47"/>
      <c r="S32" s="47"/>
      <c r="T32" s="47"/>
    </row>
    <row r="33" spans="1:20" ht="12.75" customHeight="1" x14ac:dyDescent="0.35">
      <c r="A33" s="49">
        <f>'New Vestas G27 60L'!W38</f>
        <v>28994893.593562044</v>
      </c>
      <c r="B33" s="48">
        <f>'New Vestas G27 60L'!T38</f>
        <v>119.69792309148957</v>
      </c>
      <c r="C33" s="50">
        <f t="shared" si="0"/>
        <v>7.4623215192986283</v>
      </c>
      <c r="D33" s="50">
        <f t="shared" si="0"/>
        <v>2.078086614919938</v>
      </c>
      <c r="E33" s="51">
        <f t="shared" si="6"/>
        <v>55.686242457387387</v>
      </c>
      <c r="F33" s="51">
        <f t="shared" si="6"/>
        <v>4.3184439791094062</v>
      </c>
      <c r="G33" s="52">
        <f t="shared" si="7"/>
        <v>15.507350465483494</v>
      </c>
      <c r="H33" s="63" t="s">
        <v>84</v>
      </c>
      <c r="I33" s="81"/>
      <c r="J33" s="51">
        <f t="shared" si="1"/>
        <v>7.9461066473135142</v>
      </c>
      <c r="K33" s="51">
        <f t="shared" si="2"/>
        <v>1.9976979943129418</v>
      </c>
      <c r="L33" s="55">
        <f t="shared" si="3"/>
        <v>1.492011915612872E-2</v>
      </c>
      <c r="M33" s="51">
        <f t="shared" si="4"/>
        <v>1.982777875156813</v>
      </c>
      <c r="N33" s="94">
        <f t="shared" si="8"/>
        <v>88329678.013329536</v>
      </c>
      <c r="O33" s="56">
        <f t="shared" si="9"/>
        <v>99.47134592223415</v>
      </c>
      <c r="P33" s="57">
        <f t="shared" si="5"/>
        <v>96.112057662092724</v>
      </c>
      <c r="R33" s="47"/>
      <c r="S33" s="47"/>
      <c r="T33" s="47"/>
    </row>
    <row r="34" spans="1:20" ht="12.75" customHeight="1" thickBot="1" x14ac:dyDescent="0.4">
      <c r="A34" s="49">
        <f>'New Vestas G27 60L'!W39</f>
        <v>29469138.504333045</v>
      </c>
      <c r="B34" s="48">
        <f>'New Vestas G27 60L'!T39</f>
        <v>116.28326933052243</v>
      </c>
      <c r="C34" s="50">
        <f t="shared" si="0"/>
        <v>7.4693674399461889</v>
      </c>
      <c r="D34" s="50">
        <f t="shared" si="0"/>
        <v>2.0655172335580176</v>
      </c>
      <c r="E34" s="51">
        <f t="shared" si="6"/>
        <v>55.791449952928282</v>
      </c>
      <c r="F34" s="51">
        <f t="shared" si="6"/>
        <v>4.2663614421251665</v>
      </c>
      <c r="G34" s="52">
        <f t="shared" si="7"/>
        <v>15.428107170985985</v>
      </c>
      <c r="H34" s="82" t="str">
        <f>"G27 Fit: S = " &amp; TEXT(I31,"0,00 E+00 ") &amp; " * N ^ -" &amp; TEXT(I28,"0,00")</f>
        <v>G27 Fit: S = 2,146 E+00  * N ^ -000</v>
      </c>
      <c r="I34" s="62"/>
      <c r="J34" s="51">
        <f t="shared" si="1"/>
        <v>7.940350152102539</v>
      </c>
      <c r="K34" s="51">
        <f t="shared" si="2"/>
        <v>1.9986643164019418</v>
      </c>
      <c r="L34" s="55">
        <f t="shared" si="3"/>
        <v>1.4794102754396335E-2</v>
      </c>
      <c r="M34" s="51">
        <f t="shared" si="4"/>
        <v>1.9838702136475455</v>
      </c>
      <c r="N34" s="94">
        <f t="shared" si="8"/>
        <v>87166609.187518507</v>
      </c>
      <c r="O34" s="56">
        <f t="shared" si="9"/>
        <v>99.692919944083854</v>
      </c>
      <c r="P34" s="57">
        <f t="shared" si="5"/>
        <v>96.354103202159706</v>
      </c>
      <c r="R34" s="47"/>
      <c r="S34" s="47"/>
      <c r="T34" s="47"/>
    </row>
    <row r="35" spans="1:20" ht="12.75" customHeight="1" thickBot="1" x14ac:dyDescent="0.4">
      <c r="A35" s="49">
        <f>'New Vestas G27 60L'!W40</f>
        <v>29554427.344967149</v>
      </c>
      <c r="B35" s="48">
        <f>'New Vestas G27 60L'!T40</f>
        <v>112.50275980945165</v>
      </c>
      <c r="C35" s="50">
        <f t="shared" si="0"/>
        <v>7.4706225487523996</v>
      </c>
      <c r="D35" s="50">
        <f t="shared" si="0"/>
        <v>2.0511631762724014</v>
      </c>
      <c r="E35" s="51">
        <f t="shared" si="6"/>
        <v>55.810201265927802</v>
      </c>
      <c r="F35" s="51">
        <f t="shared" si="6"/>
        <v>4.2072703756958862</v>
      </c>
      <c r="G35" s="52">
        <f t="shared" si="7"/>
        <v>15.323465875831195</v>
      </c>
      <c r="H35" s="82" t="str">
        <f>"G27 Fit: N = " &amp; TEXT((1/I31)^(-1/I28),"0,00 E+00 ") &amp; " * S ^ -" &amp; TEXT(1/I28,"0,00")</f>
        <v>G27 Fit: N = 7,025 E+16  * S ^ -006</v>
      </c>
      <c r="I35" s="84"/>
      <c r="J35" s="51">
        <f t="shared" si="1"/>
        <v>7.9345163294750334</v>
      </c>
      <c r="K35" s="51">
        <f t="shared" si="2"/>
        <v>1.9996436191654565</v>
      </c>
      <c r="L35" s="55">
        <f t="shared" si="3"/>
        <v>1.466657347476588E-2</v>
      </c>
      <c r="M35" s="51">
        <f t="shared" si="4"/>
        <v>1.9849770456906906</v>
      </c>
      <c r="N35" s="94">
        <f t="shared" si="8"/>
        <v>86003540.361707702</v>
      </c>
      <c r="O35" s="56">
        <f t="shared" si="9"/>
        <v>99.917973940075527</v>
      </c>
      <c r="P35" s="57">
        <f t="shared" si="5"/>
        <v>96.599982044406445</v>
      </c>
      <c r="R35" s="47"/>
      <c r="S35" s="47"/>
      <c r="T35" s="47"/>
    </row>
    <row r="36" spans="1:20" ht="12.75" customHeight="1" x14ac:dyDescent="0.35">
      <c r="A36" s="49">
        <f>'New Vestas G27 60L'!W41</f>
        <v>38202116.018411316</v>
      </c>
      <c r="B36" s="48">
        <f>'New Vestas G27 60L'!T41</f>
        <v>110.77104254496116</v>
      </c>
      <c r="C36" s="50">
        <f t="shared" si="0"/>
        <v>7.5820874191857435</v>
      </c>
      <c r="D36" s="50">
        <f t="shared" si="0"/>
        <v>2.0444262431849234</v>
      </c>
      <c r="E36" s="51">
        <f t="shared" si="6"/>
        <v>57.488049632174729</v>
      </c>
      <c r="F36" s="51">
        <f t="shared" si="6"/>
        <v>4.1796786638232195</v>
      </c>
      <c r="G36" s="52">
        <f t="shared" si="7"/>
        <v>15.50101849790558</v>
      </c>
      <c r="H36" s="83"/>
      <c r="I36" s="83"/>
      <c r="J36" s="51">
        <f t="shared" si="1"/>
        <v>7.928603073621856</v>
      </c>
      <c r="K36" s="51">
        <f t="shared" si="2"/>
        <v>2.0006362560980713</v>
      </c>
      <c r="L36" s="55">
        <f t="shared" si="3"/>
        <v>1.4537497448992661E-2</v>
      </c>
      <c r="M36" s="51">
        <f t="shared" si="4"/>
        <v>1.9860987586490786</v>
      </c>
      <c r="N36" s="94">
        <f t="shared" si="8"/>
        <v>84840471.535896778</v>
      </c>
      <c r="O36" s="56">
        <f t="shared" si="9"/>
        <v>100.14661074930382</v>
      </c>
      <c r="P36" s="57">
        <f t="shared" si="5"/>
        <v>96.849806786994023</v>
      </c>
      <c r="R36" s="47"/>
      <c r="S36" s="47"/>
      <c r="T36" s="47"/>
    </row>
    <row r="37" spans="1:20" ht="12.75" customHeight="1" x14ac:dyDescent="0.35">
      <c r="A37" s="49">
        <f>'New Vestas G27 60L'!W42</f>
        <v>41622663.307938986</v>
      </c>
      <c r="B37" s="48">
        <f>'New Vestas G27 60L'!T42</f>
        <v>107.81980608012526</v>
      </c>
      <c r="C37" s="50">
        <f t="shared" si="0"/>
        <v>7.6193298659509363</v>
      </c>
      <c r="D37" s="50">
        <f t="shared" si="0"/>
        <v>2.0326985463907135</v>
      </c>
      <c r="E37" s="51">
        <f t="shared" si="6"/>
        <v>58.054187606171915</v>
      </c>
      <c r="F37" s="51">
        <f t="shared" si="6"/>
        <v>4.1318633804989195</v>
      </c>
      <c r="G37" s="52">
        <f t="shared" si="7"/>
        <v>15.487800742989817</v>
      </c>
      <c r="H37" s="95">
        <f>1/I28</f>
        <v>5.9571185182490742</v>
      </c>
      <c r="I37" s="85">
        <f>I31-I30</f>
        <v>584.87229711744499</v>
      </c>
      <c r="J37" s="51">
        <f t="shared" si="1"/>
        <v>7.9226081915257858</v>
      </c>
      <c r="K37" s="51">
        <f t="shared" si="2"/>
        <v>2.0016425953336774</v>
      </c>
      <c r="L37" s="55">
        <f t="shared" si="3"/>
        <v>1.4406839850967372E-2</v>
      </c>
      <c r="M37" s="51">
        <f t="shared" si="4"/>
        <v>1.98723575548271</v>
      </c>
      <c r="N37" s="94">
        <f t="shared" si="8"/>
        <v>83677402.710085675</v>
      </c>
      <c r="O37" s="56">
        <f t="shared" si="9"/>
        <v>100.37893771323641</v>
      </c>
      <c r="P37" s="57">
        <f t="shared" si="5"/>
        <v>97.103694875022668</v>
      </c>
      <c r="R37" s="47"/>
      <c r="S37" s="47"/>
      <c r="T37" s="47"/>
    </row>
    <row r="38" spans="1:20" ht="12.75" customHeight="1" x14ac:dyDescent="0.35">
      <c r="A38" s="49">
        <f>'New Vestas G27 60L'!W43</f>
        <v>23734886.174415272</v>
      </c>
      <c r="B38" s="48">
        <f>'New Vestas G27 60L'!T43</f>
        <v>123.47843261256035</v>
      </c>
      <c r="C38" s="50">
        <f t="shared" si="0"/>
        <v>7.3753871533098296</v>
      </c>
      <c r="D38" s="50">
        <f t="shared" si="0"/>
        <v>2.0915911080789567</v>
      </c>
      <c r="E38" s="51">
        <f t="shared" si="6"/>
        <v>54.396335661207672</v>
      </c>
      <c r="F38" s="51">
        <f t="shared" si="6"/>
        <v>4.3747533633949578</v>
      </c>
      <c r="G38" s="52">
        <f t="shared" si="7"/>
        <v>15.426294188502608</v>
      </c>
      <c r="H38" s="95">
        <f>((1/I27)-(1/I29))/2</f>
        <v>0.67452257669383586</v>
      </c>
      <c r="I38" s="85">
        <f>I32-I31</f>
        <v>804.02605080104377</v>
      </c>
      <c r="J38" s="51">
        <f t="shared" si="1"/>
        <v>7.9165293980786275</v>
      </c>
      <c r="K38" s="51">
        <f t="shared" si="2"/>
        <v>2.0026630204651461</v>
      </c>
      <c r="L38" s="55">
        <f t="shared" si="3"/>
        <v>1.4274564878713501E-2</v>
      </c>
      <c r="M38" s="51">
        <f t="shared" si="4"/>
        <v>1.9883884555864326</v>
      </c>
      <c r="N38" s="94">
        <f t="shared" si="8"/>
        <v>82514333.884274632</v>
      </c>
      <c r="O38" s="56">
        <f t="shared" si="9"/>
        <v>100.61506693869316</v>
      </c>
      <c r="P38" s="57">
        <f t="shared" si="5"/>
        <v>97.361768875477026</v>
      </c>
      <c r="R38" s="47"/>
      <c r="S38" s="47"/>
      <c r="T38" s="47"/>
    </row>
    <row r="39" spans="1:20" ht="12.75" customHeight="1" x14ac:dyDescent="0.35">
      <c r="A39" s="49">
        <f>'New Vestas G27 60L'!W44</f>
        <v>25310061.436563414</v>
      </c>
      <c r="B39" s="48">
        <f>'New Vestas G27 60L'!T44</f>
        <v>121.5759826600215</v>
      </c>
      <c r="C39" s="50">
        <f t="shared" si="0"/>
        <v>7.4032931993474325</v>
      </c>
      <c r="D39" s="50">
        <f t="shared" si="0"/>
        <v>2.0848477885186458</v>
      </c>
      <c r="E39" s="51">
        <f t="shared" si="6"/>
        <v>54.80875019550394</v>
      </c>
      <c r="F39" s="51">
        <f t="shared" si="6"/>
        <v>4.346590301291088</v>
      </c>
      <c r="G39" s="52">
        <f t="shared" si="7"/>
        <v>15.434739454414625</v>
      </c>
      <c r="H39" s="86"/>
      <c r="I39" s="86"/>
      <c r="J39" s="51">
        <f t="shared" si="1"/>
        <v>7.9103643108517128</v>
      </c>
      <c r="K39" s="51">
        <f t="shared" si="2"/>
        <v>2.0036979314221846</v>
      </c>
      <c r="L39" s="55">
        <f t="shared" si="3"/>
        <v>1.4140635738649356E-2</v>
      </c>
      <c r="M39" s="51">
        <f t="shared" si="4"/>
        <v>1.9895572956835352</v>
      </c>
      <c r="N39" s="94">
        <f t="shared" si="8"/>
        <v>81351265.058463827</v>
      </c>
      <c r="O39" s="56">
        <f t="shared" si="9"/>
        <v>100.8551155801415</v>
      </c>
      <c r="P39" s="57">
        <f t="shared" si="5"/>
        <v>97.624156771473068</v>
      </c>
      <c r="R39" s="47"/>
      <c r="S39" s="47"/>
      <c r="T39" s="47"/>
    </row>
    <row r="40" spans="1:20" ht="12.75" customHeight="1" x14ac:dyDescent="0.35">
      <c r="A40" s="49">
        <f>'New Vestas G27 60L'!W45</f>
        <v>27103714.652555063</v>
      </c>
      <c r="B40" s="48">
        <f>'New Vestas G27 60L'!T45</f>
        <v>120.45402499570373</v>
      </c>
      <c r="C40" s="50">
        <f t="shared" si="0"/>
        <v>7.4330288164297933</v>
      </c>
      <c r="D40" s="50">
        <f t="shared" si="0"/>
        <v>2.0808213166151264</v>
      </c>
      <c r="E40" s="51">
        <f t="shared" si="6"/>
        <v>55.24991738587569</v>
      </c>
      <c r="F40" s="51">
        <f t="shared" si="6"/>
        <v>4.3298173516799077</v>
      </c>
      <c r="G40" s="52">
        <f t="shared" si="7"/>
        <v>15.466804808241617</v>
      </c>
      <c r="H40" s="86" t="b">
        <f>H37=H38</f>
        <v>0</v>
      </c>
      <c r="I40" s="86"/>
      <c r="J40" s="51">
        <f t="shared" si="1"/>
        <v>7.9041104444898416</v>
      </c>
      <c r="K40" s="51">
        <f t="shared" si="2"/>
        <v>2.0047477454124074</v>
      </c>
      <c r="L40" s="55">
        <f t="shared" si="3"/>
        <v>1.4005014632730812E-2</v>
      </c>
      <c r="M40" s="51">
        <f t="shared" si="4"/>
        <v>1.9907427307796766</v>
      </c>
      <c r="N40" s="94">
        <f t="shared" si="8"/>
        <v>80188196.232652992</v>
      </c>
      <c r="O40" s="56">
        <f t="shared" si="9"/>
        <v>101.09920614302838</v>
      </c>
      <c r="P40" s="57">
        <f t="shared" si="5"/>
        <v>97.89099227741039</v>
      </c>
      <c r="R40" s="47"/>
      <c r="S40" s="47"/>
      <c r="T40" s="47"/>
    </row>
    <row r="41" spans="1:20" ht="12.75" customHeight="1" x14ac:dyDescent="0.35">
      <c r="A41" s="49">
        <f>'New Vestas G27 60L'!W46</f>
        <v>28759048.043847542</v>
      </c>
      <c r="B41" s="48">
        <f>'New Vestas G27 60L'!T46</f>
        <v>119.21011541135141</v>
      </c>
      <c r="C41" s="50">
        <f t="shared" si="0"/>
        <v>7.4587745063232775</v>
      </c>
      <c r="D41" s="50">
        <f t="shared" si="0"/>
        <v>2.0763131084322626</v>
      </c>
      <c r="E41" s="51">
        <f t="shared" si="6"/>
        <v>55.63331713617805</v>
      </c>
      <c r="F41" s="51">
        <f t="shared" si="6"/>
        <v>4.311076124247645</v>
      </c>
      <c r="G41" s="52">
        <f t="shared" si="7"/>
        <v>15.4867512803194</v>
      </c>
      <c r="H41" s="86"/>
      <c r="I41" s="86"/>
      <c r="J41" s="51">
        <f t="shared" si="1"/>
        <v>7.8977652046956575</v>
      </c>
      <c r="K41" s="51">
        <f t="shared" si="2"/>
        <v>2.005812897931154</v>
      </c>
      <c r="L41" s="55">
        <f t="shared" si="3"/>
        <v>1.3867662749211897E-2</v>
      </c>
      <c r="M41" s="51">
        <f t="shared" si="4"/>
        <v>1.9919452351819422</v>
      </c>
      <c r="N41" s="94">
        <f t="shared" si="8"/>
        <v>79025127.406841904</v>
      </c>
      <c r="O41" s="56">
        <f t="shared" si="9"/>
        <v>101.34746681004198</v>
      </c>
      <c r="P41" s="57">
        <f t="shared" si="5"/>
        <v>98.162415176786382</v>
      </c>
      <c r="R41" s="47"/>
      <c r="S41" s="47"/>
      <c r="T41" s="47"/>
    </row>
    <row r="42" spans="1:20" ht="12.75" customHeight="1" x14ac:dyDescent="0.35">
      <c r="A42" s="49">
        <f>'New Vestas G27 60L'!W47</f>
        <v>30768839.276789855</v>
      </c>
      <c r="B42" s="48">
        <f>'New Vestas G27 60L'!T47</f>
        <v>118.81986926724086</v>
      </c>
      <c r="C42" s="50">
        <f t="shared" si="0"/>
        <v>7.4881111132382507</v>
      </c>
      <c r="D42" s="50">
        <f t="shared" si="0"/>
        <v>2.0748890702040486</v>
      </c>
      <c r="E42" s="51">
        <f t="shared" si="6"/>
        <v>56.071808044202193</v>
      </c>
      <c r="F42" s="51">
        <f t="shared" si="6"/>
        <v>4.3051646536522208</v>
      </c>
      <c r="G42" s="52">
        <f t="shared" si="7"/>
        <v>15.536999905331516</v>
      </c>
      <c r="H42" s="86"/>
      <c r="I42" s="86"/>
      <c r="J42" s="51">
        <f t="shared" si="1"/>
        <v>7.8913258817680099</v>
      </c>
      <c r="K42" s="51">
        <f t="shared" si="2"/>
        <v>2.006893843846183</v>
      </c>
      <c r="L42" s="55">
        <f t="shared" si="3"/>
        <v>1.3728540257904648E-2</v>
      </c>
      <c r="M42" s="51">
        <f t="shared" si="4"/>
        <v>1.9931653035882784</v>
      </c>
      <c r="N42" s="94">
        <f t="shared" si="8"/>
        <v>77862058.581030846</v>
      </c>
      <c r="O42" s="56">
        <f t="shared" si="9"/>
        <v>101.6000317924087</v>
      </c>
      <c r="P42" s="57">
        <f t="shared" si="5"/>
        <v>98.438571684596624</v>
      </c>
      <c r="R42" s="47"/>
      <c r="S42" s="47"/>
      <c r="T42" s="47"/>
    </row>
    <row r="43" spans="1:20" ht="12.75" customHeight="1" thickBot="1" x14ac:dyDescent="0.4">
      <c r="A43" s="49">
        <f>'New Vestas G27 60L'!W48</f>
        <v>35829002.114322841</v>
      </c>
      <c r="B43" s="48">
        <f>'New Vestas G27 60L'!T48</f>
        <v>116.35644048254314</v>
      </c>
      <c r="C43" s="50">
        <f t="shared" si="0"/>
        <v>7.5542347126517884</v>
      </c>
      <c r="D43" s="50">
        <f t="shared" si="0"/>
        <v>2.0657904270607994</v>
      </c>
      <c r="E43" s="51">
        <f t="shared" si="6"/>
        <v>57.066462093833245</v>
      </c>
      <c r="F43" s="51">
        <f t="shared" si="6"/>
        <v>4.2674900885360403</v>
      </c>
      <c r="G43" s="52">
        <f t="shared" si="7"/>
        <v>15.605465753166452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7.8847896436540292</v>
      </c>
      <c r="K43" s="51">
        <f t="shared" si="2"/>
        <v>2.0079910585639964</v>
      </c>
      <c r="L43" s="55">
        <f t="shared" si="3"/>
        <v>1.358760631099239E-2</v>
      </c>
      <c r="M43" s="51">
        <f t="shared" si="4"/>
        <v>1.9944034522530041</v>
      </c>
      <c r="N43" s="94">
        <f t="shared" si="8"/>
        <v>76698989.755219966</v>
      </c>
      <c r="O43" s="56">
        <f t="shared" si="9"/>
        <v>101.85704170854915</v>
      </c>
      <c r="P43" s="57">
        <f t="shared" si="5"/>
        <v>98.719614836433365</v>
      </c>
      <c r="R43" s="47"/>
      <c r="S43" s="47"/>
      <c r="T43" s="47"/>
    </row>
    <row r="44" spans="1:20" ht="12.75" customHeight="1" x14ac:dyDescent="0.35">
      <c r="A44" s="49">
        <f>'New Vestas G27 60L'!W49</f>
        <v>46702668.447361588</v>
      </c>
      <c r="B44" s="48">
        <f>'New Vestas G27 60L'!T49</f>
        <v>114.21008668993522</v>
      </c>
      <c r="C44" s="50">
        <f t="shared" si="0"/>
        <v>7.6693416955309086</v>
      </c>
      <c r="D44" s="50">
        <f t="shared" si="0"/>
        <v>2.0577044611807001</v>
      </c>
      <c r="E44" s="51">
        <f t="shared" si="6"/>
        <v>58.818802042808912</v>
      </c>
      <c r="F44" s="51">
        <f t="shared" si="6"/>
        <v>4.2341476495629555</v>
      </c>
      <c r="G44" s="52">
        <f t="shared" si="7"/>
        <v>15.781238621213104</v>
      </c>
      <c r="H44" s="86" t="s">
        <v>83</v>
      </c>
      <c r="I44" s="86">
        <f>(1/$I$31)^(-1/$I$28)</f>
        <v>7.0247417526803374E+19</v>
      </c>
      <c r="J44" s="51">
        <f t="shared" si="1"/>
        <v>7.8781535284703175</v>
      </c>
      <c r="K44" s="51">
        <f t="shared" si="2"/>
        <v>2.0091050392852767</v>
      </c>
      <c r="L44" s="55">
        <f t="shared" si="3"/>
        <v>1.3444819050657045E-2</v>
      </c>
      <c r="M44" s="51">
        <f t="shared" si="4"/>
        <v>1.9956602202346196</v>
      </c>
      <c r="N44" s="94">
        <f t="shared" si="8"/>
        <v>75535920.929409087</v>
      </c>
      <c r="O44" s="56">
        <f t="shared" si="9"/>
        <v>102.11864399267394</v>
      </c>
      <c r="P44" s="57">
        <f t="shared" si="5"/>
        <v>99.005704906594303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5.9571185182490742</v>
      </c>
      <c r="J45" s="51">
        <f t="shared" si="1"/>
        <v>7.8714144364438337</v>
      </c>
      <c r="K45" s="51">
        <f t="shared" si="2"/>
        <v>2.0102363063577444</v>
      </c>
      <c r="L45" s="55">
        <f t="shared" si="3"/>
        <v>1.3300135625029248E-2</v>
      </c>
      <c r="M45" s="51">
        <f t="shared" si="4"/>
        <v>1.9969361707327151</v>
      </c>
      <c r="N45" s="94">
        <f t="shared" si="8"/>
        <v>74372852.103598073</v>
      </c>
      <c r="O45" s="56">
        <f t="shared" si="9"/>
        <v>102.38499333619373</v>
      </c>
      <c r="P45" s="57">
        <f t="shared" si="5"/>
        <v>99.297009857747312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7.8645691212175812</v>
      </c>
      <c r="K46" s="51">
        <f t="shared" si="2"/>
        <v>2.0113854047356403</v>
      </c>
      <c r="L46" s="55">
        <f t="shared" si="3"/>
        <v>1.3153512214267167E-2</v>
      </c>
      <c r="M46" s="51">
        <f t="shared" si="4"/>
        <v>1.9982318925213731</v>
      </c>
      <c r="N46" s="94">
        <f t="shared" si="8"/>
        <v>73209783.277787253</v>
      </c>
      <c r="O46" s="56">
        <f t="shared" si="9"/>
        <v>102.65625216513295</v>
      </c>
      <c r="P46" s="57">
        <f t="shared" si="5"/>
        <v>99.593705824941452</v>
      </c>
      <c r="R46" s="47"/>
      <c r="S46" s="47"/>
      <c r="T46" s="47"/>
    </row>
    <row r="47" spans="1:20" ht="12.75" customHeight="1" x14ac:dyDescent="0.35">
      <c r="A47" s="49"/>
      <c r="B47" s="48">
        <f>MIN(B2:B44)</f>
        <v>95.996428134623116</v>
      </c>
      <c r="C47" s="50"/>
      <c r="D47" s="50"/>
      <c r="E47" s="51"/>
      <c r="F47" s="51"/>
      <c r="G47" s="52"/>
      <c r="H47" s="86"/>
      <c r="I47" s="86"/>
      <c r="J47" s="51">
        <f t="shared" si="1"/>
        <v>7.8576141804600477</v>
      </c>
      <c r="K47" s="51">
        <f t="shared" si="2"/>
        <v>2.0125529055560838</v>
      </c>
      <c r="L47" s="55">
        <f t="shared" si="3"/>
        <v>1.3004904068927877E-2</v>
      </c>
      <c r="M47" s="51">
        <f t="shared" si="4"/>
        <v>1.9995480014871558</v>
      </c>
      <c r="N47" s="94">
        <f t="shared" si="8"/>
        <v>72046714.451976418</v>
      </c>
      <c r="O47" s="56">
        <f t="shared" si="9"/>
        <v>102.93259115711125</v>
      </c>
      <c r="P47" s="57">
        <f t="shared" si="5"/>
        <v>99.895977637035912</v>
      </c>
      <c r="R47" s="47"/>
      <c r="S47" s="47"/>
      <c r="T47" s="47"/>
    </row>
    <row r="48" spans="1:20" ht="12.75" customHeight="1" x14ac:dyDescent="0.35">
      <c r="A48" s="49"/>
      <c r="B48" s="48">
        <f>MAX(B2:B44)</f>
        <v>147.17769522532859</v>
      </c>
      <c r="C48" s="50"/>
      <c r="D48" s="50"/>
      <c r="E48" s="51"/>
      <c r="F48" s="51"/>
      <c r="G48" s="52"/>
      <c r="H48" s="86"/>
      <c r="I48" s="86"/>
      <c r="J48" s="51">
        <f t="shared" si="1"/>
        <v>7.8505460457104155</v>
      </c>
      <c r="K48" s="51">
        <f t="shared" si="2"/>
        <v>2.0137394078437216</v>
      </c>
      <c r="L48" s="55">
        <f t="shared" si="3"/>
        <v>1.2854265563226995E-2</v>
      </c>
      <c r="M48" s="51">
        <f t="shared" si="4"/>
        <v>2.0008851422804947</v>
      </c>
      <c r="N48" s="94">
        <f t="shared" si="8"/>
        <v>70883645.62616539</v>
      </c>
      <c r="O48" s="56">
        <f t="shared" si="9"/>
        <v>103.21418980187073</v>
      </c>
      <c r="P48" s="57">
        <f t="shared" si="5"/>
        <v>100.20401937892245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7.8433609713836647</v>
      </c>
      <c r="K49" s="51">
        <f t="shared" si="2"/>
        <v>2.0149455403564018</v>
      </c>
      <c r="L49" s="55">
        <f t="shared" si="3"/>
        <v>1.2701550266302998E-2</v>
      </c>
      <c r="M49" s="51">
        <f t="shared" si="4"/>
        <v>2.0022439900900988</v>
      </c>
      <c r="N49" s="94">
        <f t="shared" si="8"/>
        <v>69720576.80035454</v>
      </c>
      <c r="O49" s="56">
        <f t="shared" si="9"/>
        <v>103.50123700979738</v>
      </c>
      <c r="P49" s="57">
        <f t="shared" si="5"/>
        <v>100.51803499825571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7.8360550228507551</v>
      </c>
      <c r="K50" s="51">
        <f t="shared" si="2"/>
        <v>2.0161719635861108</v>
      </c>
      <c r="L50" s="55">
        <f t="shared" si="3"/>
        <v>1.2546711035233004E-2</v>
      </c>
      <c r="M50" s="51">
        <f t="shared" si="4"/>
        <v>2.003625252550878</v>
      </c>
      <c r="N50" s="94">
        <f t="shared" si="8"/>
        <v>68557507.974543437</v>
      </c>
      <c r="O50" s="56">
        <f t="shared" si="9"/>
        <v>103.79393177342565</v>
      </c>
      <c r="P50" s="57">
        <f t="shared" si="5"/>
        <v>100.8382389607799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7.8286240634989301</v>
      </c>
      <c r="K51" s="51">
        <f t="shared" si="2"/>
        <v>2.017419371931112</v>
      </c>
      <c r="L51" s="55">
        <f t="shared" si="3"/>
        <v>1.2389700134312035E-2</v>
      </c>
      <c r="M51" s="51">
        <f t="shared" si="4"/>
        <v>2.0050296717967999</v>
      </c>
      <c r="N51" s="94">
        <f t="shared" si="8"/>
        <v>67394439.148732513</v>
      </c>
      <c r="O51" s="56">
        <f t="shared" si="9"/>
        <v>104.09248388752545</v>
      </c>
      <c r="P51" s="57">
        <f t="shared" si="5"/>
        <v>101.16485695874957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7.8210637406655898</v>
      </c>
      <c r="K52" s="51">
        <f t="shared" si="2"/>
        <v>2.0186884960571772</v>
      </c>
      <c r="L52" s="55">
        <f t="shared" si="3"/>
        <v>1.2230469386036606E-2</v>
      </c>
      <c r="M52" s="51">
        <f t="shared" si="4"/>
        <v>2.0064580266711407</v>
      </c>
      <c r="N52" s="94">
        <f t="shared" si="8"/>
        <v>66231370.32292141</v>
      </c>
      <c r="O52" s="56">
        <f t="shared" si="9"/>
        <v>104.3971147340727</v>
      </c>
      <c r="P52" s="57">
        <f t="shared" si="5"/>
        <v>101.49812667739924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7.8133694703259886</v>
      </c>
      <c r="K53" s="51">
        <f t="shared" si="2"/>
        <v>2.0199801054680071</v>
      </c>
      <c r="L53" s="55">
        <f t="shared" si="3"/>
        <v>1.206897036036658E-2</v>
      </c>
      <c r="M53" s="51">
        <f t="shared" si="4"/>
        <v>2.0079111351076406</v>
      </c>
      <c r="N53" s="94">
        <f t="shared" si="8"/>
        <v>65068301.49711071</v>
      </c>
      <c r="O53" s="56">
        <f t="shared" si="9"/>
        <v>104.70805813920377</v>
      </c>
      <c r="P53" s="57">
        <f t="shared" si="5"/>
        <v>101.83829862490953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7.8055364203998634</v>
      </c>
      <c r="K54" s="51">
        <f t="shared" si="2"/>
        <v>2.0212950113074886</v>
      </c>
      <c r="L54" s="55">
        <f t="shared" si="3"/>
        <v>1.1905154610221449E-2</v>
      </c>
      <c r="M54" s="51">
        <f t="shared" si="4"/>
        <v>2.009389856697267</v>
      </c>
      <c r="N54" s="94">
        <f t="shared" si="8"/>
        <v>63905232.671299726</v>
      </c>
      <c r="O54" s="56">
        <f t="shared" si="9"/>
        <v>105.02556131017606</v>
      </c>
      <c r="P54" s="57">
        <f t="shared" si="5"/>
        <v>102.18563703186628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7.7975594925247842</v>
      </c>
      <c r="K55" s="51">
        <f t="shared" si="2"/>
        <v>2.0226340694193325</v>
      </c>
      <c r="L55" s="55">
        <f t="shared" si="3"/>
        <v>1.1738973962861079E-2</v>
      </c>
      <c r="M55" s="51">
        <f t="shared" si="4"/>
        <v>2.0108950954564713</v>
      </c>
      <c r="N55" s="94">
        <f t="shared" si="8"/>
        <v>62742163.845488742</v>
      </c>
      <c r="O55" s="56">
        <f t="shared" si="9"/>
        <v>105.349885861411</v>
      </c>
      <c r="P55" s="57">
        <f t="shared" si="5"/>
        <v>102.54042082680313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7.7894333021240447</v>
      </c>
      <c r="K56" s="51">
        <f t="shared" si="2"/>
        <v>2.0239981836930112</v>
      </c>
      <c r="L56" s="55">
        <f t="shared" si="3"/>
        <v>1.1570380878878451E-2</v>
      </c>
      <c r="M56" s="51">
        <f t="shared" si="4"/>
        <v>2.0124278028141327</v>
      </c>
      <c r="N56" s="94">
        <f t="shared" si="8"/>
        <v>61579095.019677706</v>
      </c>
      <c r="O56" s="56">
        <f t="shared" si="9"/>
        <v>105.6813089399238</v>
      </c>
      <c r="P56" s="57">
        <f t="shared" si="5"/>
        <v>102.90294469506644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7.7811521565739534</v>
      </c>
      <c r="K57" s="51">
        <f t="shared" si="2"/>
        <v>2.025388309728732</v>
      </c>
      <c r="L57" s="55">
        <f t="shared" si="3"/>
        <v>1.139932889308987E-2</v>
      </c>
      <c r="M57" s="51">
        <f t="shared" si="4"/>
        <v>2.0139889808356419</v>
      </c>
      <c r="N57" s="94">
        <f t="shared" si="8"/>
        <v>60416026.193866849</v>
      </c>
      <c r="O57" s="56">
        <f t="shared" si="9"/>
        <v>106.02012446184126</v>
      </c>
      <c r="P57" s="57">
        <f t="shared" si="5"/>
        <v>103.27352022893851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7.7727100312488089</v>
      </c>
      <c r="K58" s="51">
        <f t="shared" si="2"/>
        <v>2.0268054588586817</v>
      </c>
      <c r="L58" s="55">
        <f t="shared" si="3"/>
        <v>1.1225773154763157E-2</v>
      </c>
      <c r="M58" s="51">
        <f t="shared" si="4"/>
        <v>2.0155796857039183</v>
      </c>
      <c r="N58" s="94">
        <f t="shared" si="8"/>
        <v>59252957.368055798</v>
      </c>
      <c r="O58" s="56">
        <f t="shared" si="9"/>
        <v>106.36664447335643</v>
      </c>
      <c r="P58" s="57">
        <f t="shared" si="5"/>
        <v>103.652477177709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7.764100543191077</v>
      </c>
      <c r="K59" s="51">
        <f t="shared" si="2"/>
        <v>2.0282507025669205</v>
      </c>
      <c r="L59" s="55">
        <f t="shared" si="3"/>
        <v>1.1049671088528194E-2</v>
      </c>
      <c r="M59" s="51">
        <f t="shared" si="4"/>
        <v>2.0172010314783924</v>
      </c>
      <c r="N59" s="94">
        <f t="shared" si="8"/>
        <v>58089888.542244896</v>
      </c>
      <c r="O59" s="56">
        <f t="shared" si="9"/>
        <v>106.72120065136053</v>
      </c>
      <c r="P59" s="57">
        <f t="shared" si="5"/>
        <v>104.04016480718003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7.7553169221185287</v>
      </c>
      <c r="K60" s="51">
        <f t="shared" si="2"/>
        <v>2.0297251773563074</v>
      </c>
      <c r="L60" s="55">
        <f t="shared" si="3"/>
        <v>1.0870983202156051E-2</v>
      </c>
      <c r="M60" s="51">
        <f t="shared" si="4"/>
        <v>2.0188541941541516</v>
      </c>
      <c r="N60" s="94">
        <f t="shared" si="8"/>
        <v>56926819.716433898</v>
      </c>
      <c r="O60" s="56">
        <f t="shared" si="9"/>
        <v>107.08414596120863</v>
      </c>
      <c r="P60" s="57">
        <f t="shared" si="5"/>
        <v>104.43695337892299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7.7463519784384527</v>
      </c>
      <c r="K61" s="51">
        <f t="shared" si="2"/>
        <v>2.0312300901178402</v>
      </c>
      <c r="L61" s="55">
        <f t="shared" si="3"/>
        <v>1.068967407341552E-2</v>
      </c>
      <c r="M61" s="51">
        <f t="shared" si="4"/>
        <v>2.0205404160444247</v>
      </c>
      <c r="N61" s="94">
        <f t="shared" si="8"/>
        <v>55763750.890623085</v>
      </c>
      <c r="O61" s="56">
        <f t="shared" si="9"/>
        <v>107.45585649166385</v>
      </c>
      <c r="P61" s="57">
        <f t="shared" si="5"/>
        <v>104.84323576047238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7.7371980678903416</v>
      </c>
      <c r="K62" s="51">
        <f t="shared" si="2"/>
        <v>2.0327667240659593</v>
      </c>
      <c r="L62" s="55">
        <f t="shared" si="3"/>
        <v>1.0505713555723967E-2</v>
      </c>
      <c r="M62" s="51">
        <f t="shared" si="4"/>
        <v>2.0222610105102352</v>
      </c>
      <c r="N62" s="94">
        <f t="shared" si="8"/>
        <v>54600682.064812109</v>
      </c>
      <c r="O62" s="56">
        <f t="shared" si="9"/>
        <v>107.83673349009929</v>
      </c>
      <c r="P62" s="57">
        <f t="shared" si="5"/>
        <v>105.2594291784951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7.7278470523814162</v>
      </c>
      <c r="K63" s="51">
        <f t="shared" si="2"/>
        <v>2.034336445312948</v>
      </c>
      <c r="L63" s="55">
        <f t="shared" si="3"/>
        <v>1.0319078251696106E-2</v>
      </c>
      <c r="M63" s="51">
        <f t="shared" si="4"/>
        <v>2.0240173670612518</v>
      </c>
      <c r="N63" s="94">
        <f t="shared" si="8"/>
        <v>53437613.239001215</v>
      </c>
      <c r="O63" s="56">
        <f t="shared" si="9"/>
        <v>108.2272056246035</v>
      </c>
      <c r="P63" s="57">
        <f t="shared" si="5"/>
        <v>105.6859771278135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7.7182902565121916</v>
      </c>
      <c r="K64" s="51">
        <f t="shared" si="2"/>
        <v>2.0359407101668276</v>
      </c>
      <c r="L64" s="55">
        <f t="shared" si="3"/>
        <v>1.0129753315452534E-2</v>
      </c>
      <c r="M64" s="51">
        <f t="shared" si="4"/>
        <v>2.0258109568513749</v>
      </c>
      <c r="N64" s="94">
        <f t="shared" si="8"/>
        <v>52274544.413190156</v>
      </c>
      <c r="O64" s="56">
        <f t="shared" si="9"/>
        <v>108.62773150385168</v>
      </c>
      <c r="P64" s="57">
        <f t="shared" si="5"/>
        <v>106.12335144991195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7.708518419210094</v>
      </c>
      <c r="K65" s="51">
        <f t="shared" si="2"/>
        <v>2.03758107325045</v>
      </c>
      <c r="L65" s="55">
        <f t="shared" si="3"/>
        <v>9.9377346593125231E-3</v>
      </c>
      <c r="M65" s="51">
        <f t="shared" si="4"/>
        <v>2.0276433385911377</v>
      </c>
      <c r="N65" s="94">
        <f t="shared" si="8"/>
        <v>51111475.587379344</v>
      </c>
      <c r="O65" s="56">
        <f t="shared" si="9"/>
        <v>109.03880249058855</v>
      </c>
      <c r="P65" s="57">
        <f t="shared" si="5"/>
        <v>106.57205459517272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7.6985216397953398</v>
      </c>
      <c r="K66" s="51">
        <f t="shared" ref="K66:K129" si="11">+$I$14+$I$13*J66</f>
        <v>2.0392591965552205</v>
      </c>
      <c r="L66" s="55">
        <f t="shared" ref="L66:L129" si="12">SQRT(2*$I$20*$I$17)*SQRT((1/$I$2)+((J66-$I$11)^2/$I$8))</f>
        <v>9.7430316590608086E-3</v>
      </c>
      <c r="M66" s="51">
        <f t="shared" ref="M66:M102" si="13">+$I$14+$I$13*J66-L66</f>
        <v>2.0295161648961595</v>
      </c>
      <c r="N66" s="94">
        <f t="shared" si="8"/>
        <v>49948406.761568233</v>
      </c>
      <c r="O66" s="56">
        <f t="shared" si="9"/>
        <v>109.46094585049622</v>
      </c>
      <c r="P66" s="57">
        <f t="shared" ref="P66:P102" si="14">10^M66</f>
        <v>107.03262208346095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7.6882893176917859</v>
      </c>
      <c r="K67" s="51">
        <f t="shared" si="11"/>
        <v>2.0409768595616233</v>
      </c>
      <c r="L67" s="55">
        <f t="shared" si="12"/>
        <v>9.5456704753540435E-3</v>
      </c>
      <c r="M67" s="51">
        <f t="shared" si="13"/>
        <v>2.0314311890862693</v>
      </c>
      <c r="N67" s="94">
        <f t="shared" ref="N67:N101" si="15">10^$J67</f>
        <v>48785337.935757428</v>
      </c>
      <c r="O67" s="56">
        <f t="shared" ref="O67:O102" si="16">10^K67</f>
        <v>109.8947282852956</v>
      </c>
      <c r="P67" s="57">
        <f t="shared" si="14"/>
        <v>107.5056251777106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7.6778100848624451</v>
      </c>
      <c r="K68" s="51">
        <f t="shared" si="11"/>
        <v>2.0427359705810266</v>
      </c>
      <c r="L68" s="55">
        <f t="shared" si="12"/>
        <v>9.3456981382849941E-3</v>
      </c>
      <c r="M68" s="51">
        <f t="shared" si="13"/>
        <v>2.0333902724427415</v>
      </c>
      <c r="N68" s="94">
        <f t="shared" si="15"/>
        <v>47622269.109946437</v>
      </c>
      <c r="O68" s="56">
        <f t="shared" si="16"/>
        <v>110.34075990738992</v>
      </c>
      <c r="P68" s="57">
        <f t="shared" si="14"/>
        <v>107.9916737846557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7.6670717298900399</v>
      </c>
      <c r="K69" s="51">
        <f t="shared" si="11"/>
        <v>2.0445385795000046</v>
      </c>
      <c r="L69" s="55">
        <f t="shared" si="12"/>
        <v>9.1431875792202747E-3</v>
      </c>
      <c r="M69" s="51">
        <f t="shared" si="13"/>
        <v>2.0353953919207846</v>
      </c>
      <c r="N69" s="94">
        <f t="shared" si="15"/>
        <v>46459200.284135528</v>
      </c>
      <c r="O69" s="56">
        <f t="shared" si="16"/>
        <v>110.79969872354776</v>
      </c>
      <c r="P69" s="57">
        <f t="shared" si="14"/>
        <v>108.49141959564473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7.6560611124312636</v>
      </c>
      <c r="K70" s="51">
        <f t="shared" si="11"/>
        <v>2.0463868921405952</v>
      </c>
      <c r="L70" s="55">
        <f t="shared" si="12"/>
        <v>8.9382438406837555E-3</v>
      </c>
      <c r="M70" s="51">
        <f t="shared" si="13"/>
        <v>2.0374486482999115</v>
      </c>
      <c r="N70" s="94">
        <f t="shared" si="15"/>
        <v>45296131.458324485</v>
      </c>
      <c r="O70" s="56">
        <f t="shared" si="16"/>
        <v>111.27225570741349</v>
      </c>
      <c r="P70" s="57">
        <f t="shared" si="14"/>
        <v>109.00555947826808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7.6447640665418843</v>
      </c>
      <c r="K71" s="51">
        <f t="shared" si="11"/>
        <v>2.0482832864887639</v>
      </c>
      <c r="L71" s="55">
        <f t="shared" si="12"/>
        <v>8.7310117535535983E-3</v>
      </c>
      <c r="M71" s="51">
        <f t="shared" si="13"/>
        <v>2.0395522747352102</v>
      </c>
      <c r="N71" s="94">
        <f t="shared" si="15"/>
        <v>44133062.63251362</v>
      </c>
      <c r="O71" s="56">
        <f t="shared" si="16"/>
        <v>111.75920055554705</v>
      </c>
      <c r="P71" s="57">
        <f t="shared" si="14"/>
        <v>109.53483912605589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7.6331652910887184</v>
      </c>
      <c r="K72" s="51">
        <f t="shared" si="11"/>
        <v>2.0502303310905514</v>
      </c>
      <c r="L72" s="55">
        <f t="shared" si="12"/>
        <v>8.5216854437717236E-3</v>
      </c>
      <c r="M72" s="51">
        <f t="shared" si="13"/>
        <v>2.0417086456467799</v>
      </c>
      <c r="N72" s="94">
        <f t="shared" si="15"/>
        <v>42969993.806702718</v>
      </c>
      <c r="O72" s="56">
        <f t="shared" si="16"/>
        <v>112.2613682398748</v>
      </c>
      <c r="P72" s="57">
        <f t="shared" si="14"/>
        <v>110.08005696842969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7.6212482251217395</v>
      </c>
      <c r="K73" s="51">
        <f t="shared" si="11"/>
        <v>2.0522308059729082</v>
      </c>
      <c r="L73" s="55">
        <f t="shared" si="12"/>
        <v>8.3105201208895883E-3</v>
      </c>
      <c r="M73" s="51">
        <f t="shared" si="13"/>
        <v>2.0439202858520185</v>
      </c>
      <c r="N73" s="94">
        <f t="shared" si="15"/>
        <v>41806924.98089166</v>
      </c>
      <c r="O73" s="56">
        <f t="shared" si="16"/>
        <v>112.77966649168813</v>
      </c>
      <c r="P73" s="57">
        <f t="shared" si="14"/>
        <v>110.64206833615933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7.6089949056593529</v>
      </c>
      <c r="K74" s="51">
        <f t="shared" si="11"/>
        <v>2.0542877265167667</v>
      </c>
      <c r="L74" s="55">
        <f t="shared" si="12"/>
        <v>8.0978467106004974E-3</v>
      </c>
      <c r="M74" s="51">
        <f t="shared" si="13"/>
        <v>2.0461898798061662</v>
      </c>
      <c r="N74" s="94">
        <f t="shared" si="15"/>
        <v>40643856.155080736</v>
      </c>
      <c r="O74" s="56">
        <f t="shared" si="16"/>
        <v>113.31508437973375</v>
      </c>
      <c r="P74" s="57">
        <f t="shared" si="14"/>
        <v>111.22178986869072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7.5963858048220123</v>
      </c>
      <c r="K75" s="51">
        <f t="shared" si="11"/>
        <v>2.0564043707968347</v>
      </c>
      <c r="L75" s="55">
        <f t="shared" si="12"/>
        <v>7.884090024364545E-3</v>
      </c>
      <c r="M75" s="51">
        <f t="shared" si="13"/>
        <v>2.0485202807724701</v>
      </c>
      <c r="N75" s="94">
        <f t="shared" si="15"/>
        <v>39480787.329269841</v>
      </c>
      <c r="O75" s="56">
        <f t="shared" si="16"/>
        <v>113.86870217886242</v>
      </c>
      <c r="P75" s="57">
        <f t="shared" si="14"/>
        <v>111.8202041392444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7.5833996426075538</v>
      </c>
      <c r="K76" s="51">
        <f t="shared" si="11"/>
        <v>2.0585843110103252</v>
      </c>
      <c r="L76" s="55">
        <f t="shared" si="12"/>
        <v>7.669791310049876E-3</v>
      </c>
      <c r="M76" s="51">
        <f t="shared" si="13"/>
        <v>2.0509145197002754</v>
      </c>
      <c r="N76" s="94">
        <f t="shared" si="15"/>
        <v>38317718.503458753</v>
      </c>
      <c r="O76" s="56">
        <f t="shared" si="16"/>
        <v>114.44170276793217</v>
      </c>
      <c r="P76" s="57">
        <f t="shared" si="14"/>
        <v>112.43836446286727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7.5700131708014782</v>
      </c>
      <c r="K77" s="51">
        <f t="shared" si="11"/>
        <v>2.0608314497511557</v>
      </c>
      <c r="L77" s="55">
        <f t="shared" si="12"/>
        <v>7.4556361913106156E-3</v>
      </c>
      <c r="M77" s="51">
        <f t="shared" si="13"/>
        <v>2.0533758135598452</v>
      </c>
      <c r="N77" s="94">
        <f t="shared" si="15"/>
        <v>37154649.677647904</v>
      </c>
      <c r="O77" s="56">
        <f t="shared" si="16"/>
        <v>115.0353848485553</v>
      </c>
      <c r="P77" s="57">
        <f t="shared" si="14"/>
        <v>113.07739984485727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7.5562009225115254</v>
      </c>
      <c r="K78" s="51">
        <f t="shared" si="11"/>
        <v>2.0631500620546781</v>
      </c>
      <c r="L78" s="55">
        <f t="shared" si="12"/>
        <v>7.2424891626333464E-3</v>
      </c>
      <c r="M78" s="51">
        <f t="shared" si="13"/>
        <v>2.0559075728920448</v>
      </c>
      <c r="N78" s="94">
        <f t="shared" si="15"/>
        <v>35991580.85183692</v>
      </c>
      <c r="O78" s="56">
        <f t="shared" si="16"/>
        <v>115.65117834296588</v>
      </c>
      <c r="P78" s="57">
        <f t="shared" si="14"/>
        <v>113.7385200288591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7.5419349205480986</v>
      </c>
      <c r="K79" s="51">
        <f t="shared" si="11"/>
        <v>2.0655448443508035</v>
      </c>
      <c r="L79" s="55">
        <f t="shared" si="12"/>
        <v>7.0314359249931879E-3</v>
      </c>
      <c r="M79" s="51">
        <f t="shared" si="13"/>
        <v>2.0585134084258105</v>
      </c>
      <c r="N79" s="94">
        <f t="shared" si="15"/>
        <v>34828512.026026092</v>
      </c>
      <c r="O79" s="56">
        <f t="shared" si="16"/>
        <v>116.29066241390511</v>
      </c>
      <c r="P79" s="57">
        <f t="shared" si="14"/>
        <v>114.42302062823991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7.5271843362595048</v>
      </c>
      <c r="K80" s="51">
        <f t="shared" si="11"/>
        <v>2.0680209717341027</v>
      </c>
      <c r="L80" s="55">
        <f t="shared" si="12"/>
        <v>6.82383485513075E-3</v>
      </c>
      <c r="M80" s="51">
        <f t="shared" si="13"/>
        <v>2.0611971368789721</v>
      </c>
      <c r="N80" s="94">
        <f t="shared" si="15"/>
        <v>33665443.200215019</v>
      </c>
      <c r="O80" s="56">
        <f t="shared" si="16"/>
        <v>116.95558665761455</v>
      </c>
      <c r="P80" s="57">
        <f t="shared" si="14"/>
        <v>115.13228839428122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7.5119150883645904</v>
      </c>
      <c r="K81" s="51">
        <f t="shared" si="11"/>
        <v>2.0705841653063204</v>
      </c>
      <c r="L81" s="55">
        <f t="shared" si="12"/>
        <v>6.6213786800317911E-3</v>
      </c>
      <c r="M81" s="51">
        <f t="shared" si="13"/>
        <v>2.0639627866262886</v>
      </c>
      <c r="N81" s="94">
        <f t="shared" si="15"/>
        <v>32502374.374404117</v>
      </c>
      <c r="O81" s="56">
        <f t="shared" si="16"/>
        <v>117.64789616038995</v>
      </c>
      <c r="P81" s="57">
        <f t="shared" si="14"/>
        <v>115.86780683005591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7.4960893686560084</v>
      </c>
      <c r="K82" s="51">
        <f t="shared" si="11"/>
        <v>2.0732407717948602</v>
      </c>
      <c r="L82" s="55">
        <f t="shared" si="12"/>
        <v>6.4261667837674135E-3</v>
      </c>
      <c r="M82" s="51">
        <f t="shared" si="13"/>
        <v>2.0668146050110927</v>
      </c>
      <c r="N82" s="94">
        <f t="shared" si="15"/>
        <v>31339305.548593201</v>
      </c>
      <c r="O82" s="56">
        <f t="shared" si="16"/>
        <v>118.36976129015117</v>
      </c>
      <c r="P82" s="57">
        <f t="shared" si="14"/>
        <v>116.63116266436866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7.4796650779698401</v>
      </c>
      <c r="K83" s="51">
        <f t="shared" si="11"/>
        <v>2.0759978582345298</v>
      </c>
      <c r="L83" s="55">
        <f t="shared" si="12"/>
        <v>6.2407872192848735E-3</v>
      </c>
      <c r="M83" s="51">
        <f t="shared" si="13"/>
        <v>2.0697570710152449</v>
      </c>
      <c r="N83" s="94">
        <f t="shared" si="15"/>
        <v>30176236.722782254</v>
      </c>
      <c r="O83" s="56">
        <f t="shared" si="16"/>
        <v>119.12361333160571</v>
      </c>
      <c r="P83" s="57">
        <f t="shared" si="14"/>
        <v>117.4240542541295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7.4625951512452877</v>
      </c>
      <c r="K84" s="51">
        <f t="shared" si="11"/>
        <v>2.0788633252673341</v>
      </c>
      <c r="L84" s="55">
        <f t="shared" si="12"/>
        <v>6.068405058335738E-3</v>
      </c>
      <c r="M84" s="51">
        <f t="shared" si="13"/>
        <v>2.0727949202089984</v>
      </c>
      <c r="N84" s="94">
        <f t="shared" si="15"/>
        <v>29013167.896971326</v>
      </c>
      <c r="O84" s="56">
        <f t="shared" si="16"/>
        <v>119.91218738714456</v>
      </c>
      <c r="P84" s="57">
        <f t="shared" si="14"/>
        <v>118.24830392107509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7.4448267444283003</v>
      </c>
      <c r="K85" s="51">
        <f t="shared" si="11"/>
        <v>2.0818460436340338</v>
      </c>
      <c r="L85" s="55">
        <f t="shared" si="12"/>
        <v>5.9128498076291584E-3</v>
      </c>
      <c r="M85" s="51">
        <f t="shared" si="13"/>
        <v>2.0759331938264047</v>
      </c>
      <c r="N85" s="94">
        <f t="shared" si="15"/>
        <v>27850099.071160294</v>
      </c>
      <c r="O85" s="56">
        <f t="shared" si="16"/>
        <v>120.73857438439867</v>
      </c>
      <c r="P85" s="57">
        <f t="shared" si="14"/>
        <v>119.10587770560845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7.4263002478295892</v>
      </c>
      <c r="K86" s="51">
        <f t="shared" si="11"/>
        <v>2.0849560197981738</v>
      </c>
      <c r="L86" s="55">
        <f t="shared" si="12"/>
        <v>5.7786891029355872E-3</v>
      </c>
      <c r="M86" s="51">
        <f t="shared" si="13"/>
        <v>2.0791773306952384</v>
      </c>
      <c r="N86" s="94">
        <f t="shared" si="15"/>
        <v>26687030.245349351</v>
      </c>
      <c r="O86" s="56">
        <f t="shared" si="16"/>
        <v>121.60628459673073</v>
      </c>
      <c r="P86" s="57">
        <f t="shared" si="14"/>
        <v>119.99891815303205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7.4069480794978286</v>
      </c>
      <c r="K87" s="51">
        <f t="shared" si="11"/>
        <v>2.0882045984981739</v>
      </c>
      <c r="L87" s="55">
        <f t="shared" si="12"/>
        <v>5.6712693538243401E-3</v>
      </c>
      <c r="M87" s="51">
        <f t="shared" si="13"/>
        <v>2.0825333291443493</v>
      </c>
      <c r="N87" s="94">
        <f t="shared" si="15"/>
        <v>25523961.41953839</v>
      </c>
      <c r="O87" s="56">
        <f t="shared" si="16"/>
        <v>122.51932585502766</v>
      </c>
      <c r="P87" s="57">
        <f t="shared" si="14"/>
        <v>120.92979847683588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7.3866931969915646</v>
      </c>
      <c r="K88" s="51">
        <f t="shared" si="11"/>
        <v>2.0916047125708106</v>
      </c>
      <c r="L88" s="55">
        <f t="shared" si="12"/>
        <v>5.5966985245245243E-3</v>
      </c>
      <c r="M88" s="51">
        <f t="shared" si="13"/>
        <v>2.086008014046286</v>
      </c>
      <c r="N88" s="94">
        <f t="shared" si="15"/>
        <v>24360892.59372744</v>
      </c>
      <c r="O88" s="56">
        <f t="shared" si="16"/>
        <v>123.48230069680305</v>
      </c>
      <c r="P88" s="57">
        <f t="shared" si="14"/>
        <v>121.90120931761406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7.3654472448083208</v>
      </c>
      <c r="K89" s="51">
        <f t="shared" si="11"/>
        <v>2.0951711939356112</v>
      </c>
      <c r="L89" s="55">
        <f t="shared" si="12"/>
        <v>5.5617459969344212E-3</v>
      </c>
      <c r="M89" s="51">
        <f t="shared" si="13"/>
        <v>2.0896094479386766</v>
      </c>
      <c r="N89" s="94">
        <f t="shared" si="15"/>
        <v>23197823.767916556</v>
      </c>
      <c r="O89" s="56">
        <f t="shared" si="16"/>
        <v>124.50052819509861</v>
      </c>
      <c r="P89" s="57">
        <f t="shared" si="14"/>
        <v>122.91629128185339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7.3431082248988941</v>
      </c>
      <c r="K90" s="51">
        <f t="shared" si="11"/>
        <v>2.098921164637217</v>
      </c>
      <c r="L90" s="55">
        <f t="shared" si="12"/>
        <v>5.57364527686313E-3</v>
      </c>
      <c r="M90" s="51">
        <f t="shared" si="13"/>
        <v>2.0933475193603539</v>
      </c>
      <c r="N90" s="94">
        <f t="shared" si="15"/>
        <v>22034754.942105614</v>
      </c>
      <c r="O90" s="56">
        <f t="shared" si="16"/>
        <v>125.58019833836974</v>
      </c>
      <c r="P90" s="57">
        <f t="shared" si="14"/>
        <v>123.97882594737263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7.3195575349027129</v>
      </c>
      <c r="K91" s="51">
        <f t="shared" si="11"/>
        <v>2.1028745340261317</v>
      </c>
      <c r="L91" s="55">
        <f t="shared" si="12"/>
        <v>5.6398115128815166E-3</v>
      </c>
      <c r="M91" s="51">
        <f t="shared" si="13"/>
        <v>2.0972347225132499</v>
      </c>
      <c r="N91" s="94">
        <f t="shared" si="15"/>
        <v>20871686.116294648</v>
      </c>
      <c r="O91" s="56">
        <f t="shared" si="16"/>
        <v>126.72856990962096</v>
      </c>
      <c r="P91" s="57">
        <f t="shared" si="14"/>
        <v>125.09349385525577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7.2946561562846455</v>
      </c>
      <c r="K92" s="51">
        <f t="shared" si="11"/>
        <v>2.1070546386424462</v>
      </c>
      <c r="L92" s="55">
        <f t="shared" si="12"/>
        <v>5.7675245602629901E-3</v>
      </c>
      <c r="M92" s="51">
        <f t="shared" si="13"/>
        <v>2.1012871140821834</v>
      </c>
      <c r="N92" s="94">
        <f t="shared" si="15"/>
        <v>19708617.290483706</v>
      </c>
      <c r="O92" s="56">
        <f t="shared" si="16"/>
        <v>127.9542273403099</v>
      </c>
      <c r="P92" s="57">
        <f t="shared" si="14"/>
        <v>126.26620103927978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7.2682396816473016</v>
      </c>
      <c r="K93" s="51">
        <f t="shared" si="11"/>
        <v>2.1114890769629899</v>
      </c>
      <c r="L93" s="55">
        <f t="shared" si="12"/>
        <v>5.9636653038731479E-3</v>
      </c>
      <c r="M93" s="51">
        <f t="shared" si="13"/>
        <v>2.1055254116591167</v>
      </c>
      <c r="N93" s="94">
        <f t="shared" si="15"/>
        <v>18545548.464672737</v>
      </c>
      <c r="O93" s="56">
        <f t="shared" si="16"/>
        <v>129.26741880621759</v>
      </c>
      <c r="P93" s="57">
        <f t="shared" si="14"/>
        <v>127.5044703823821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7.2401117293428454</v>
      </c>
      <c r="K94" s="51">
        <f t="shared" si="11"/>
        <v>2.1162108148666912</v>
      </c>
      <c r="L94" s="55">
        <f t="shared" si="12"/>
        <v>6.2346068006121757E-3</v>
      </c>
      <c r="M94" s="51">
        <f t="shared" si="13"/>
        <v>2.1099762080660791</v>
      </c>
      <c r="N94" s="94">
        <f t="shared" si="15"/>
        <v>17382479.638861798</v>
      </c>
      <c r="O94" s="56">
        <f t="shared" si="16"/>
        <v>130.68050824320676</v>
      </c>
      <c r="P94" s="57">
        <f t="shared" si="14"/>
        <v>128.81789795123845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7.2100350739634029</v>
      </c>
      <c r="K95" s="51">
        <f t="shared" si="11"/>
        <v>2.1212596745271637</v>
      </c>
      <c r="L95" s="55">
        <f t="shared" si="12"/>
        <v>6.5863396854600378E-3</v>
      </c>
      <c r="M95" s="51">
        <f t="shared" si="13"/>
        <v>2.1146733348417035</v>
      </c>
      <c r="N95" s="94">
        <f t="shared" si="15"/>
        <v>16219410.8130509</v>
      </c>
      <c r="O95" s="56">
        <f t="shared" si="16"/>
        <v>132.20859030697324</v>
      </c>
      <c r="P95" s="57">
        <f t="shared" si="14"/>
        <v>130.21869384132532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7.1777194706876175</v>
      </c>
      <c r="K96" s="51">
        <f t="shared" si="11"/>
        <v>2.126684378295737</v>
      </c>
      <c r="L96" s="55">
        <f t="shared" si="12"/>
        <v>7.0248637277000973E-3</v>
      </c>
      <c r="M96" s="51">
        <f t="shared" si="13"/>
        <v>2.119659514568037</v>
      </c>
      <c r="N96" s="94">
        <f t="shared" si="15"/>
        <v>15056341.987239929</v>
      </c>
      <c r="O96" s="56">
        <f t="shared" si="16"/>
        <v>133.87034366739098</v>
      </c>
      <c r="P96" s="57">
        <f t="shared" si="14"/>
        <v>131.72236346778877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7.1428045746421542</v>
      </c>
      <c r="K97" s="51">
        <f t="shared" si="11"/>
        <v>2.1325454159666357</v>
      </c>
      <c r="L97" s="55">
        <f t="shared" si="12"/>
        <v>7.5568353072546987E-3</v>
      </c>
      <c r="M97" s="51">
        <f t="shared" si="13"/>
        <v>2.1249885806593811</v>
      </c>
      <c r="N97" s="94">
        <f t="shared" si="15"/>
        <v>13893273.16142899</v>
      </c>
      <c r="O97" s="56">
        <f t="shared" si="16"/>
        <v>135.68924187219554</v>
      </c>
      <c r="P97" s="57">
        <f t="shared" si="14"/>
        <v>133.34863690071234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7.1048353746763686</v>
      </c>
      <c r="K98" s="51">
        <f t="shared" si="11"/>
        <v>2.1389191686206193</v>
      </c>
      <c r="L98" s="55">
        <f t="shared" si="12"/>
        <v>8.1904547819835905E-3</v>
      </c>
      <c r="M98" s="51">
        <f t="shared" si="13"/>
        <v>2.1307287138386357</v>
      </c>
      <c r="N98" s="94">
        <f t="shared" si="15"/>
        <v>12730204.335617993</v>
      </c>
      <c r="O98" s="56">
        <f t="shared" si="16"/>
        <v>137.69531649649682</v>
      </c>
      <c r="P98" s="57">
        <f t="shared" si="14"/>
        <v>135.12282419961448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7.0632258234022354</v>
      </c>
      <c r="K99" s="51">
        <f t="shared" si="11"/>
        <v>2.1459040139190075</v>
      </c>
      <c r="L99" s="55">
        <f t="shared" si="12"/>
        <v>8.9366229955041079E-3</v>
      </c>
      <c r="M99" s="51">
        <f t="shared" si="13"/>
        <v>2.1369673909235036</v>
      </c>
      <c r="N99" s="94">
        <f t="shared" si="15"/>
        <v>11567135.509807097</v>
      </c>
      <c r="O99" s="56">
        <f t="shared" si="16"/>
        <v>139.92780253951526</v>
      </c>
      <c r="P99" s="57">
        <f t="shared" si="14"/>
        <v>137.07788371339507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7.017203127106951</v>
      </c>
      <c r="K100" s="51">
        <f t="shared" si="11"/>
        <v>2.1536296779551178</v>
      </c>
      <c r="L100" s="55">
        <f t="shared" si="12"/>
        <v>9.8104969621243387E-3</v>
      </c>
      <c r="M100" s="51">
        <f t="shared" si="13"/>
        <v>2.1438191809929936</v>
      </c>
      <c r="N100" s="94">
        <f t="shared" si="15"/>
        <v>10404066.683996137</v>
      </c>
      <c r="O100" s="56">
        <f t="shared" si="16"/>
        <v>142.43924989576328</v>
      </c>
      <c r="P100" s="57">
        <f t="shared" si="14"/>
        <v>139.25768812420912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6.9657188695864498</v>
      </c>
      <c r="K101" s="51">
        <f t="shared" si="11"/>
        <v>2.1622721545757835</v>
      </c>
      <c r="L101" s="55">
        <f t="shared" si="12"/>
        <v>1.0833750755001193E-2</v>
      </c>
      <c r="M101" s="51">
        <f t="shared" si="13"/>
        <v>2.1514384038207823</v>
      </c>
      <c r="N101" s="94">
        <f t="shared" si="15"/>
        <v>9240997.8581851907</v>
      </c>
      <c r="O101" s="56">
        <f t="shared" si="16"/>
        <v>145.30218816852164</v>
      </c>
      <c r="P101" s="57">
        <f t="shared" si="14"/>
        <v>141.72236917222699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6.9073000334113832</v>
      </c>
      <c r="K102" s="51">
        <f t="shared" si="11"/>
        <v>2.1720787139041073</v>
      </c>
      <c r="L102" s="55">
        <f t="shared" si="12"/>
        <v>1.2038175530577754E-2</v>
      </c>
      <c r="M102" s="51">
        <f t="shared" si="13"/>
        <v>2.1600405383735297</v>
      </c>
      <c r="N102" s="94">
        <f>10^$J102</f>
        <v>8077929.0323742395</v>
      </c>
      <c r="O102" s="56">
        <f t="shared" si="16"/>
        <v>148.62049857872131</v>
      </c>
      <c r="P102" s="57">
        <f t="shared" si="14"/>
        <v>144.55746988065471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8.0947673527408952</v>
      </c>
      <c r="K104" s="51">
        <f t="shared" si="11"/>
        <v>1.9727428578703861</v>
      </c>
      <c r="L104" s="55">
        <f t="shared" si="12"/>
        <v>1.8223699239037706E-2</v>
      </c>
      <c r="M104" s="51">
        <f>+$I$14+$I$13*J104+L104</f>
        <v>1.9909665571094237</v>
      </c>
      <c r="N104" s="94">
        <f t="shared" ref="N104:N167" si="17">10^$J104</f>
        <v>124384811.61346863</v>
      </c>
      <c r="O104" s="56">
        <f t="shared" ref="O104:O167" si="18">10^K104</f>
        <v>93.916707294184562</v>
      </c>
      <c r="P104" s="57">
        <f t="shared" ref="P104:P167" si="19">10^M104</f>
        <v>97.941456258715093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8.0906873469481422</v>
      </c>
      <c r="K105" s="51">
        <f t="shared" si="11"/>
        <v>1.973427753727377</v>
      </c>
      <c r="L105" s="55">
        <f t="shared" si="12"/>
        <v>1.813200025775168E-2</v>
      </c>
      <c r="M105" s="51">
        <f t="shared" ref="M105:M168" si="21">+$I$14+$I$13*J105+L105</f>
        <v>1.9915597539851286</v>
      </c>
      <c r="N105" s="94">
        <f t="shared" si="17"/>
        <v>123221742.78765815</v>
      </c>
      <c r="O105" s="56">
        <f t="shared" si="18"/>
        <v>94.064933700216685</v>
      </c>
      <c r="P105" s="57">
        <f t="shared" si="19"/>
        <v>98.075324553998001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8.0865686474968559</v>
      </c>
      <c r="K106" s="51">
        <f t="shared" si="11"/>
        <v>1.9741191449492688</v>
      </c>
      <c r="L106" s="55">
        <f t="shared" si="12"/>
        <v>1.8039480425207602E-2</v>
      </c>
      <c r="M106" s="51">
        <f t="shared" si="21"/>
        <v>1.9921586253744763</v>
      </c>
      <c r="N106" s="94">
        <f t="shared" si="17"/>
        <v>122058673.96184678</v>
      </c>
      <c r="O106" s="56">
        <f t="shared" si="18"/>
        <v>94.214803126646558</v>
      </c>
      <c r="P106" s="57">
        <f t="shared" si="19"/>
        <v>98.210659040131091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8.0824105134343007</v>
      </c>
      <c r="K107" s="51">
        <f t="shared" si="11"/>
        <v>1.9748171559171248</v>
      </c>
      <c r="L107" s="55">
        <f t="shared" si="12"/>
        <v>1.7946125261439117E-2</v>
      </c>
      <c r="M107" s="51">
        <f t="shared" si="21"/>
        <v>1.9927632811785638</v>
      </c>
      <c r="N107" s="94">
        <f t="shared" si="17"/>
        <v>120895605.1360361</v>
      </c>
      <c r="O107" s="56">
        <f t="shared" si="18"/>
        <v>94.366349704091135</v>
      </c>
      <c r="P107" s="57">
        <f t="shared" si="19"/>
        <v>98.347490166835016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8.0782121823188398</v>
      </c>
      <c r="K108" s="51">
        <f t="shared" si="11"/>
        <v>1.9755219146192724</v>
      </c>
      <c r="L108" s="55">
        <f t="shared" si="12"/>
        <v>1.7851919914159329E-2</v>
      </c>
      <c r="M108" s="51">
        <f t="shared" si="21"/>
        <v>1.9933738345334318</v>
      </c>
      <c r="N108" s="94">
        <f t="shared" si="17"/>
        <v>119732536.31022543</v>
      </c>
      <c r="O108" s="56">
        <f t="shared" si="18"/>
        <v>94.519608609245509</v>
      </c>
      <c r="P108" s="57">
        <f t="shared" si="19"/>
        <v>98.485849322879673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8.0739728693808708</v>
      </c>
      <c r="K109" s="51">
        <f t="shared" si="11"/>
        <v>1.9762335527921544</v>
      </c>
      <c r="L109" s="55">
        <f t="shared" si="12"/>
        <v>1.7756849146662448E-2</v>
      </c>
      <c r="M109" s="51">
        <f t="shared" si="21"/>
        <v>1.9939904019388168</v>
      </c>
      <c r="N109" s="94">
        <f t="shared" si="17"/>
        <v>118569467.48441432</v>
      </c>
      <c r="O109" s="56">
        <f t="shared" si="18"/>
        <v>94.674616107477561</v>
      </c>
      <c r="P109" s="57">
        <f t="shared" si="19"/>
        <v>98.625768874767473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8.0696917666423982</v>
      </c>
      <c r="K110" s="51">
        <f t="shared" si="11"/>
        <v>1.9769522060681231</v>
      </c>
      <c r="L110" s="55">
        <f t="shared" si="12"/>
        <v>1.7660897325284947E-2</v>
      </c>
      <c r="M110" s="51">
        <f t="shared" si="21"/>
        <v>1.994613103393408</v>
      </c>
      <c r="N110" s="94">
        <f t="shared" si="17"/>
        <v>117406398.65860324</v>
      </c>
      <c r="O110" s="56">
        <f t="shared" si="18"/>
        <v>94.831409597594572</v>
      </c>
      <c r="P110" s="57">
        <f t="shared" si="19"/>
        <v>98.767282207423889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8.0653680419927749</v>
      </c>
      <c r="K111" s="51">
        <f t="shared" si="11"/>
        <v>1.9776780141305912</v>
      </c>
      <c r="L111" s="55">
        <f t="shared" si="12"/>
        <v>1.7564048406411993E-2</v>
      </c>
      <c r="M111" s="51">
        <f t="shared" si="21"/>
        <v>1.9952420625370031</v>
      </c>
      <c r="N111" s="94">
        <f t="shared" si="17"/>
        <v>116243329.83279209</v>
      </c>
      <c r="O111" s="56">
        <f t="shared" si="18"/>
        <v>94.990027658914499</v>
      </c>
      <c r="P111" s="57">
        <f t="shared" si="19"/>
        <v>98.910423767019438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8.0610008382179679</v>
      </c>
      <c r="K112" s="51">
        <f t="shared" si="11"/>
        <v>1.9784111208769868</v>
      </c>
      <c r="L112" s="55">
        <f t="shared" si="12"/>
        <v>1.746628592301477E-2</v>
      </c>
      <c r="M112" s="51">
        <f t="shared" si="21"/>
        <v>1.9958774068000016</v>
      </c>
      <c r="N112" s="94">
        <f t="shared" si="17"/>
        <v>115080261.0069814</v>
      </c>
      <c r="O112" s="56">
        <f t="shared" si="18"/>
        <v>95.150510100786875</v>
      </c>
      <c r="P112" s="57">
        <f t="shared" si="19"/>
        <v>99.055229106060935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8.0565892719805277</v>
      </c>
      <c r="K113" s="51">
        <f t="shared" si="11"/>
        <v>1.9791516745899818</v>
      </c>
      <c r="L113" s="55">
        <f t="shared" si="12"/>
        <v>1.7367592970704972E-2</v>
      </c>
      <c r="M113" s="51">
        <f t="shared" si="21"/>
        <v>1.9965192675606867</v>
      </c>
      <c r="N113" s="94">
        <f t="shared" si="17"/>
        <v>113917192.18117039</v>
      </c>
      <c r="O113" s="56">
        <f t="shared" si="18"/>
        <v>95.312898014714207</v>
      </c>
      <c r="P113" s="57">
        <f t="shared" si="19"/>
        <v>99.201734930895341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8.0521324327472108</v>
      </c>
      <c r="K114" s="51">
        <f t="shared" si="11"/>
        <v>1.9798998281175075</v>
      </c>
      <c r="L114" s="55">
        <f t="shared" si="12"/>
        <v>1.7267952193292264E-2</v>
      </c>
      <c r="M114" s="51">
        <f t="shared" si="21"/>
        <v>1.9971677803107999</v>
      </c>
      <c r="N114" s="94">
        <f t="shared" si="17"/>
        <v>112754123.35535954</v>
      </c>
      <c r="O114" s="56">
        <f t="shared" si="18"/>
        <v>95.477233829240689</v>
      </c>
      <c r="P114" s="57">
        <f t="shared" si="19"/>
        <v>99.349979151785135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8.0476293816610003</v>
      </c>
      <c r="K115" s="51">
        <f t="shared" si="11"/>
        <v>1.9806557390621053</v>
      </c>
      <c r="L115" s="55">
        <f t="shared" si="12"/>
        <v>1.7167345767831459E-2</v>
      </c>
      <c r="M115" s="51">
        <f t="shared" si="21"/>
        <v>1.9978230848299368</v>
      </c>
      <c r="N115" s="94">
        <f t="shared" si="17"/>
        <v>111591054.52954823</v>
      </c>
      <c r="O115" s="56">
        <f t="shared" si="18"/>
        <v>95.643561367785125</v>
      </c>
      <c r="P115" s="57">
        <f t="shared" si="19"/>
        <v>99.500000935722312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8.043079150354048</v>
      </c>
      <c r="K116" s="51">
        <f t="shared" si="11"/>
        <v>1.9814195699801931</v>
      </c>
      <c r="L116" s="55">
        <f t="shared" si="12"/>
        <v>1.7065755389147182E-2</v>
      </c>
      <c r="M116" s="51">
        <f t="shared" si="21"/>
        <v>1.9984853253693402</v>
      </c>
      <c r="N116" s="94">
        <f t="shared" si="17"/>
        <v>110427985.70373745</v>
      </c>
      <c r="O116" s="56">
        <f t="shared" si="18"/>
        <v>95.811925909606998</v>
      </c>
      <c r="P116" s="57">
        <f t="shared" si="19"/>
        <v>99.651840762164383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8.0384807396977411</v>
      </c>
      <c r="K117" s="51">
        <f t="shared" si="11"/>
        <v>1.9821914885918877</v>
      </c>
      <c r="L117" s="55">
        <f t="shared" si="12"/>
        <v>1.6963162253823359E-2</v>
      </c>
      <c r="M117" s="51">
        <f t="shared" si="21"/>
        <v>1.999154650845711</v>
      </c>
      <c r="N117" s="94">
        <f t="shared" si="17"/>
        <v>109264916.87792651</v>
      </c>
      <c r="O117" s="56">
        <f t="shared" si="18"/>
        <v>95.982374254113054</v>
      </c>
      <c r="P117" s="57">
        <f t="shared" si="19"/>
        <v>99.805540481887945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8.0338331184859246</v>
      </c>
      <c r="K118" s="51">
        <f t="shared" si="11"/>
        <v>1.982971668002047</v>
      </c>
      <c r="L118" s="55">
        <f t="shared" si="12"/>
        <v>1.6859547043648438E-2</v>
      </c>
      <c r="M118" s="51">
        <f t="shared" si="21"/>
        <v>1.9998312150456954</v>
      </c>
      <c r="N118" s="94">
        <f t="shared" si="17"/>
        <v>108101848.05211574</v>
      </c>
      <c r="O118" s="56">
        <f t="shared" si="18"/>
        <v>96.154954788722037</v>
      </c>
      <c r="P118" s="57">
        <f t="shared" si="19"/>
        <v>99.961143379170778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8.0291352220468557</v>
      </c>
      <c r="K119" s="51">
        <f t="shared" si="11"/>
        <v>1.9837602869332764</v>
      </c>
      <c r="L119" s="55">
        <f t="shared" si="12"/>
        <v>1.6754889908505568E-2</v>
      </c>
      <c r="M119" s="51">
        <f t="shared" si="21"/>
        <v>2.0005151768417822</v>
      </c>
      <c r="N119" s="94">
        <f t="shared" si="17"/>
        <v>106938779.22630459</v>
      </c>
      <c r="O119" s="56">
        <f t="shared" si="18"/>
        <v>96.32971756052855</v>
      </c>
      <c r="P119" s="57">
        <f t="shared" si="19"/>
        <v>100.11869423753399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8.0243859507793029</v>
      </c>
      <c r="K120" s="51">
        <f t="shared" si="11"/>
        <v>1.9845575299716689</v>
      </c>
      <c r="L120" s="55">
        <f t="shared" si="12"/>
        <v>1.6649170448702431E-2</v>
      </c>
      <c r="M120" s="51">
        <f t="shared" si="21"/>
        <v>2.0012067004203713</v>
      </c>
      <c r="N120" s="94">
        <f t="shared" si="17"/>
        <v>105775710.40049389</v>
      </c>
      <c r="O120" s="56">
        <f t="shared" si="18"/>
        <v>96.50671435201906</v>
      </c>
      <c r="P120" s="57">
        <f t="shared" si="19"/>
        <v>100.27823940928825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8.0195841686076719</v>
      </c>
      <c r="K121" s="51">
        <f t="shared" si="11"/>
        <v>1.9853635878261369</v>
      </c>
      <c r="L121" s="55">
        <f t="shared" si="12"/>
        <v>1.6542367696734273E-2</v>
      </c>
      <c r="M121" s="51">
        <f t="shared" si="21"/>
        <v>2.0019059555228713</v>
      </c>
      <c r="N121" s="94">
        <f t="shared" si="17"/>
        <v>104612641.57468264</v>
      </c>
      <c r="O121" s="56">
        <f t="shared" si="18"/>
        <v>96.685998761119933</v>
      </c>
      <c r="P121" s="57">
        <f t="shared" si="19"/>
        <v>100.43982688915564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8.0147287013508048</v>
      </c>
      <c r="K122" s="51">
        <f t="shared" si="11"/>
        <v>1.9861786576022362</v>
      </c>
      <c r="L122" s="55">
        <f t="shared" si="12"/>
        <v>1.6434460098479917E-2</v>
      </c>
      <c r="M122" s="51">
        <f t="shared" si="21"/>
        <v>2.002613117700716</v>
      </c>
      <c r="N122" s="94">
        <f t="shared" si="17"/>
        <v>103449572.74887174</v>
      </c>
      <c r="O122" s="56">
        <f t="shared" si="18"/>
        <v>96.867626285873513</v>
      </c>
      <c r="P122" s="57">
        <f t="shared" si="19"/>
        <v>100.60350639225378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8.0098183349985295</v>
      </c>
      <c r="K123" s="51">
        <f t="shared" si="11"/>
        <v>1.9870029430914762</v>
      </c>
      <c r="L123" s="55">
        <f t="shared" si="12"/>
        <v>1.6325425493831165E-2</v>
      </c>
      <c r="M123" s="51">
        <f t="shared" si="21"/>
        <v>2.0033283685853074</v>
      </c>
      <c r="N123" s="94">
        <f t="shared" si="17"/>
        <v>102286503.92306098</v>
      </c>
      <c r="O123" s="56">
        <f t="shared" si="18"/>
        <v>97.051654414068295</v>
      </c>
      <c r="P123" s="57">
        <f t="shared" si="19"/>
        <v>100.76932943676097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8.0048518138896707</v>
      </c>
      <c r="K124" s="51">
        <f t="shared" si="11"/>
        <v>1.9878366550771693</v>
      </c>
      <c r="L124" s="55">
        <f t="shared" si="12"/>
        <v>1.6215241096762485E-2</v>
      </c>
      <c r="M124" s="51">
        <f t="shared" si="21"/>
        <v>2.004051896173932</v>
      </c>
      <c r="N124" s="94">
        <f t="shared" si="17"/>
        <v>101123435.0972501</v>
      </c>
      <c r="O124" s="56">
        <f t="shared" si="18"/>
        <v>97.238142718170565</v>
      </c>
      <c r="P124" s="57">
        <f t="shared" si="19"/>
        <v>100.93734943160031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7.999827838784678</v>
      </c>
      <c r="K125" s="51">
        <f t="shared" si="11"/>
        <v>1.988680011657973</v>
      </c>
      <c r="L125" s="55">
        <f t="shared" si="12"/>
        <v>1.6103883474852268E-2</v>
      </c>
      <c r="M125" s="51">
        <f t="shared" si="21"/>
        <v>2.0047838951328254</v>
      </c>
      <c r="N125" s="94">
        <f t="shared" si="17"/>
        <v>99960366.27143915</v>
      </c>
      <c r="O125" s="56">
        <f t="shared" si="18"/>
        <v>97.42715295593662</v>
      </c>
      <c r="P125" s="57">
        <f t="shared" si="19"/>
        <v>101.10762176951683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7.9947450648254437</v>
      </c>
      <c r="K126" s="51">
        <f t="shared" si="11"/>
        <v>1.9895332385903672</v>
      </c>
      <c r="L126" s="55">
        <f t="shared" si="12"/>
        <v>1.5991328528272605E-2</v>
      </c>
      <c r="M126" s="51">
        <f t="shared" si="21"/>
        <v>2.0055245671186399</v>
      </c>
      <c r="N126" s="94">
        <f t="shared" si="17"/>
        <v>98797297.445628032</v>
      </c>
      <c r="O126" s="56">
        <f t="shared" si="18"/>
        <v>97.618749177117905</v>
      </c>
      <c r="P126" s="57">
        <f t="shared" si="19"/>
        <v>101.28020392595103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7.9896020993743315</v>
      </c>
      <c r="K127" s="51">
        <f t="shared" si="11"/>
        <v>1.990396569651409</v>
      </c>
      <c r="L127" s="55">
        <f t="shared" si="12"/>
        <v>1.5877551468273573E-2</v>
      </c>
      <c r="M127" s="51">
        <f t="shared" si="21"/>
        <v>2.0062741211196826</v>
      </c>
      <c r="N127" s="94">
        <f t="shared" si="17"/>
        <v>97634228.619817078</v>
      </c>
      <c r="O127" s="56">
        <f t="shared" si="18"/>
        <v>97.812997836701797</v>
      </c>
      <c r="P127" s="57">
        <f t="shared" si="19"/>
        <v>101.45515556414733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7.9843974997236975</v>
      </c>
      <c r="K128" s="51">
        <f t="shared" si="11"/>
        <v>1.9912702470232273</v>
      </c>
      <c r="L128" s="55">
        <f t="shared" si="12"/>
        <v>1.5762526795195398E-2</v>
      </c>
      <c r="M128" s="51">
        <f t="shared" si="21"/>
        <v>2.0070327738184228</v>
      </c>
      <c r="N128" s="94">
        <f t="shared" si="17"/>
        <v>96471159.794006065</v>
      </c>
      <c r="O128" s="56">
        <f t="shared" si="18"/>
        <v>98.009967915173931</v>
      </c>
      <c r="P128" s="57">
        <f t="shared" si="19"/>
        <v>101.63253864697992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7.9791297706665043</v>
      </c>
      <c r="K129" s="51">
        <f t="shared" si="11"/>
        <v>1.9921545217008347</v>
      </c>
      <c r="L129" s="55">
        <f t="shared" si="12"/>
        <v>1.5646228276054046E-2</v>
      </c>
      <c r="M129" s="51">
        <f t="shared" si="21"/>
        <v>2.0078007499768886</v>
      </c>
      <c r="N129" s="94">
        <f t="shared" si="17"/>
        <v>95308090.968195349</v>
      </c>
      <c r="O129" s="56">
        <f t="shared" si="18"/>
        <v>98.209731046326098</v>
      </c>
      <c r="P129" s="57">
        <f t="shared" si="19"/>
        <v>101.81241755601606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7.9737973619177751</v>
      </c>
      <c r="K130" s="51">
        <f t="shared" ref="K130:K193" si="22">+$I$14+$I$13*J130</f>
        <v>1.9930496539249787</v>
      </c>
      <c r="L130" s="55">
        <f t="shared" ref="L130:L193" si="23">SQRT(2*$I$20*$I$17)*SQRT((1/$I$2)+((J130-$I$11)^2/$I$8))</f>
        <v>1.5528628921757437E-2</v>
      </c>
      <c r="M130" s="51">
        <f t="shared" si="21"/>
        <v>2.0085782828467362</v>
      </c>
      <c r="N130" s="94">
        <f t="shared" si="17"/>
        <v>94145022.142384231</v>
      </c>
      <c r="O130" s="56">
        <f t="shared" si="18"/>
        <v>98.412361653183751</v>
      </c>
      <c r="P130" s="57">
        <f t="shared" si="19"/>
        <v>101.99485921839218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7.9683986653757692</v>
      </c>
      <c r="K131" s="51">
        <f t="shared" si="22"/>
        <v>1.9939559136418983</v>
      </c>
      <c r="L131" s="55">
        <f t="shared" si="23"/>
        <v>1.5409700964025443E-2</v>
      </c>
      <c r="M131" s="51">
        <f t="shared" si="21"/>
        <v>2.0093656146059238</v>
      </c>
      <c r="N131" s="94">
        <f t="shared" si="17"/>
        <v>92981953.316573441</v>
      </c>
      <c r="O131" s="56">
        <f t="shared" si="18"/>
        <v>98.617937092674211</v>
      </c>
      <c r="P131" s="57">
        <f t="shared" si="19"/>
        <v>102.17993324212551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7.9629320122107758</v>
      </c>
      <c r="K132" s="51">
        <f t="shared" si="22"/>
        <v>1.9948735809920186</v>
      </c>
      <c r="L132" s="55">
        <f t="shared" si="23"/>
        <v>1.5289415832104717E-2</v>
      </c>
      <c r="M132" s="51">
        <f t="shared" si="21"/>
        <v>2.0101629968241235</v>
      </c>
      <c r="N132" s="94">
        <f t="shared" si="17"/>
        <v>91818884.490762159</v>
      </c>
      <c r="O132" s="56">
        <f t="shared" si="18"/>
        <v>98.826537809716967</v>
      </c>
      <c r="P132" s="57">
        <f t="shared" si="19"/>
        <v>102.36771206055006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7.9573956697683359</v>
      </c>
      <c r="K133" s="51">
        <f t="shared" si="22"/>
        <v>1.995802946829794</v>
      </c>
      <c r="L133" s="55">
        <f t="shared" si="23"/>
        <v>1.5167744129390821E-2</v>
      </c>
      <c r="M133" s="51">
        <f t="shared" si="21"/>
        <v>2.0109706909591849</v>
      </c>
      <c r="N133" s="94">
        <f t="shared" si="17"/>
        <v>90655815.66495128</v>
      </c>
      <c r="O133" s="56">
        <f t="shared" si="18"/>
        <v>99.038247501475851</v>
      </c>
      <c r="P133" s="57">
        <f t="shared" si="19"/>
        <v>102.55827108662454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7.9517878382725113</v>
      </c>
      <c r="K134" s="51">
        <f t="shared" si="22"/>
        <v>1.9967443132771201</v>
      </c>
      <c r="L134" s="55">
        <f t="shared" si="23"/>
        <v>1.5044655610095659E-2</v>
      </c>
      <c r="M134" s="51">
        <f t="shared" si="21"/>
        <v>2.0117889688872159</v>
      </c>
      <c r="N134" s="94">
        <f t="shared" si="17"/>
        <v>89492746.839140564</v>
      </c>
      <c r="O134" s="56">
        <f t="shared" si="18"/>
        <v>99.253153292585012</v>
      </c>
      <c r="P134" s="57">
        <f t="shared" si="19"/>
        <v>102.75168887794324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7.9461066473135142</v>
      </c>
      <c r="K135" s="51">
        <f t="shared" si="22"/>
        <v>1.9976979943129418</v>
      </c>
      <c r="L135" s="55">
        <f t="shared" si="23"/>
        <v>1.492011915612872E-2</v>
      </c>
      <c r="M135" s="51">
        <f t="shared" si="21"/>
        <v>2.0126181134690704</v>
      </c>
      <c r="N135" s="94">
        <f t="shared" si="17"/>
        <v>88329678.013329536</v>
      </c>
      <c r="O135" s="56">
        <f t="shared" si="18"/>
        <v>99.47134592223415</v>
      </c>
      <c r="P135" s="57">
        <f t="shared" si="19"/>
        <v>102.94804731335223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7.940350152102539</v>
      </c>
      <c r="K136" s="51">
        <f t="shared" si="22"/>
        <v>1.9986643164019418</v>
      </c>
      <c r="L136" s="55">
        <f t="shared" si="23"/>
        <v>1.4794102754396335E-2</v>
      </c>
      <c r="M136" s="51">
        <f t="shared" si="21"/>
        <v>2.0134584191563381</v>
      </c>
      <c r="N136" s="94">
        <f t="shared" si="17"/>
        <v>87166609.187518507</v>
      </c>
      <c r="O136" s="56">
        <f t="shared" si="18"/>
        <v>99.692919944083854</v>
      </c>
      <c r="P136" s="57">
        <f t="shared" si="19"/>
        <v>103.1474317821759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7.9345163294750334</v>
      </c>
      <c r="K137" s="51">
        <f t="shared" si="22"/>
        <v>1.9996436191654565</v>
      </c>
      <c r="L137" s="55">
        <f t="shared" si="23"/>
        <v>1.466657347476588E-2</v>
      </c>
      <c r="M137" s="51">
        <f t="shared" si="21"/>
        <v>2.0143101926402225</v>
      </c>
      <c r="N137" s="94">
        <f t="shared" si="17"/>
        <v>86003540.361707702</v>
      </c>
      <c r="O137" s="56">
        <f t="shared" si="18"/>
        <v>99.917973940075527</v>
      </c>
      <c r="P137" s="57">
        <f t="shared" si="19"/>
        <v>103.34993138715295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7.928603073621856</v>
      </c>
      <c r="K138" s="51">
        <f t="shared" si="22"/>
        <v>2.0006362560980713</v>
      </c>
      <c r="L138" s="55">
        <f t="shared" si="23"/>
        <v>1.4537497448992661E-2</v>
      </c>
      <c r="M138" s="51">
        <f t="shared" si="21"/>
        <v>2.0151737535470637</v>
      </c>
      <c r="N138" s="94">
        <f t="shared" si="17"/>
        <v>84840471.535896778</v>
      </c>
      <c r="O138" s="56">
        <f t="shared" si="18"/>
        <v>100.14661074930382</v>
      </c>
      <c r="P138" s="57">
        <f t="shared" si="19"/>
        <v>103.55563916230145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7.9226081915257858</v>
      </c>
      <c r="K139" s="51">
        <f t="shared" si="22"/>
        <v>2.0016425953336774</v>
      </c>
      <c r="L139" s="55">
        <f t="shared" si="23"/>
        <v>1.4406839850967372E-2</v>
      </c>
      <c r="M139" s="51">
        <f t="shared" si="21"/>
        <v>2.016049435184645</v>
      </c>
      <c r="N139" s="94">
        <f t="shared" si="17"/>
        <v>83677402.710085675</v>
      </c>
      <c r="O139" s="56">
        <f t="shared" si="18"/>
        <v>100.37893771323641</v>
      </c>
      <c r="P139" s="57">
        <f t="shared" si="19"/>
        <v>103.76465230706248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7.9165293980786275</v>
      </c>
      <c r="K140" s="51">
        <f t="shared" si="22"/>
        <v>2.0026630204651461</v>
      </c>
      <c r="L140" s="55">
        <f t="shared" si="23"/>
        <v>1.4274564878713501E-2</v>
      </c>
      <c r="M140" s="51">
        <f t="shared" si="21"/>
        <v>2.0169375853438596</v>
      </c>
      <c r="N140" s="94">
        <f t="shared" si="17"/>
        <v>82514333.884274632</v>
      </c>
      <c r="O140" s="56">
        <f t="shared" si="18"/>
        <v>100.61506693869316</v>
      </c>
      <c r="P140" s="57">
        <f t="shared" si="19"/>
        <v>103.97707243820969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7.9103643108517128</v>
      </c>
      <c r="K141" s="51">
        <f t="shared" si="22"/>
        <v>2.0036979314221846</v>
      </c>
      <c r="L141" s="55">
        <f t="shared" si="23"/>
        <v>1.4140635738649356E-2</v>
      </c>
      <c r="M141" s="51">
        <f t="shared" si="21"/>
        <v>2.0178385671608341</v>
      </c>
      <c r="N141" s="94">
        <f t="shared" si="17"/>
        <v>81351265.058463827</v>
      </c>
      <c r="O141" s="56">
        <f t="shared" si="18"/>
        <v>100.8551155801415</v>
      </c>
      <c r="P141" s="57">
        <f t="shared" si="19"/>
        <v>104.19300586118891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7.9041104444898416</v>
      </c>
      <c r="K142" s="51">
        <f t="shared" si="22"/>
        <v>2.0047477454124074</v>
      </c>
      <c r="L142" s="55">
        <f t="shared" si="23"/>
        <v>1.4005014632730812E-2</v>
      </c>
      <c r="M142" s="51">
        <f t="shared" si="21"/>
        <v>2.018752760045138</v>
      </c>
      <c r="N142" s="94">
        <f t="shared" si="17"/>
        <v>80188196.232652992</v>
      </c>
      <c r="O142" s="56">
        <f t="shared" si="18"/>
        <v>101.09920614302838</v>
      </c>
      <c r="P142" s="57">
        <f t="shared" si="19"/>
        <v>104.41256386272406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7.8977652046956575</v>
      </c>
      <c r="K143" s="51">
        <f t="shared" si="22"/>
        <v>2.005812897931154</v>
      </c>
      <c r="L143" s="55">
        <f t="shared" si="23"/>
        <v>1.3867662749211897E-2</v>
      </c>
      <c r="M143" s="51">
        <f t="shared" si="21"/>
        <v>2.0196805606803658</v>
      </c>
      <c r="N143" s="94">
        <f t="shared" si="17"/>
        <v>79025127.406841904</v>
      </c>
      <c r="O143" s="56">
        <f t="shared" si="18"/>
        <v>101.34746681004198</v>
      </c>
      <c r="P143" s="57">
        <f t="shared" si="19"/>
        <v>104.63586302674364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7.8913258817680099</v>
      </c>
      <c r="K144" s="51">
        <f t="shared" si="22"/>
        <v>2.006893843846183</v>
      </c>
      <c r="L144" s="55">
        <f t="shared" si="23"/>
        <v>1.3728540257904648E-2</v>
      </c>
      <c r="M144" s="51">
        <f t="shared" si="21"/>
        <v>2.0206223841040876</v>
      </c>
      <c r="N144" s="94">
        <f t="shared" si="17"/>
        <v>77862058.581030846</v>
      </c>
      <c r="O144" s="56">
        <f t="shared" si="18"/>
        <v>101.6000317924087</v>
      </c>
      <c r="P144" s="57">
        <f t="shared" si="19"/>
        <v>104.86302557591571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7.8847896436540292</v>
      </c>
      <c r="K145" s="51">
        <f t="shared" si="22"/>
        <v>2.0079910585639964</v>
      </c>
      <c r="L145" s="55">
        <f t="shared" si="23"/>
        <v>1.358760631099239E-2</v>
      </c>
      <c r="M145" s="51">
        <f t="shared" si="21"/>
        <v>2.0215786648749887</v>
      </c>
      <c r="N145" s="94">
        <f t="shared" si="17"/>
        <v>76698989.755219966</v>
      </c>
      <c r="O145" s="56">
        <f t="shared" si="18"/>
        <v>101.85704170854915</v>
      </c>
      <c r="P145" s="57">
        <f t="shared" si="19"/>
        <v>105.09417974135151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7.8781535284703175</v>
      </c>
      <c r="K146" s="51">
        <f t="shared" si="22"/>
        <v>2.0091050392852767</v>
      </c>
      <c r="L146" s="55">
        <f t="shared" si="23"/>
        <v>1.3444819050657045E-2</v>
      </c>
      <c r="M146" s="51">
        <f t="shared" si="21"/>
        <v>2.0225498583359336</v>
      </c>
      <c r="N146" s="94">
        <f t="shared" si="17"/>
        <v>75535920.929409087</v>
      </c>
      <c r="O146" s="56">
        <f t="shared" si="18"/>
        <v>102.11864399267394</v>
      </c>
      <c r="P146" s="57">
        <f t="shared" si="19"/>
        <v>105.3294601633395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7.8714144364438337</v>
      </c>
      <c r="K147" s="51">
        <f t="shared" si="22"/>
        <v>2.0102363063577444</v>
      </c>
      <c r="L147" s="55">
        <f t="shared" si="23"/>
        <v>1.3300135625029248E-2</v>
      </c>
      <c r="M147" s="51">
        <f t="shared" si="21"/>
        <v>2.0235364419827735</v>
      </c>
      <c r="N147" s="94">
        <f t="shared" si="17"/>
        <v>74372852.103598073</v>
      </c>
      <c r="O147" s="56">
        <f t="shared" si="18"/>
        <v>102.38499333619373</v>
      </c>
      <c r="P147" s="57">
        <f t="shared" si="19"/>
        <v>105.56900832633228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7.8645691212175812</v>
      </c>
      <c r="K148" s="51">
        <f t="shared" si="22"/>
        <v>2.0113854047356403</v>
      </c>
      <c r="L148" s="55">
        <f t="shared" si="23"/>
        <v>1.3153512214267167E-2</v>
      </c>
      <c r="M148" s="51">
        <f t="shared" si="21"/>
        <v>2.0245389169499073</v>
      </c>
      <c r="N148" s="94">
        <f t="shared" si="17"/>
        <v>73209783.277787253</v>
      </c>
      <c r="O148" s="56">
        <f t="shared" si="18"/>
        <v>102.65625216513295</v>
      </c>
      <c r="P148" s="57">
        <f t="shared" si="19"/>
        <v>105.81297303179792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7.8576141804600477</v>
      </c>
      <c r="K149" s="51">
        <f t="shared" si="22"/>
        <v>2.0125529055560838</v>
      </c>
      <c r="L149" s="55">
        <f t="shared" si="23"/>
        <v>1.3004904068927877E-2</v>
      </c>
      <c r="M149" s="51">
        <f t="shared" si="21"/>
        <v>2.0255578096250115</v>
      </c>
      <c r="N149" s="94">
        <f t="shared" si="17"/>
        <v>72046714.451976418</v>
      </c>
      <c r="O149" s="56">
        <f t="shared" si="18"/>
        <v>102.93259115711125</v>
      </c>
      <c r="P149" s="57">
        <f t="shared" si="19"/>
        <v>106.0615109130172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7.8505460457104155</v>
      </c>
      <c r="K150" s="51">
        <f t="shared" si="22"/>
        <v>2.0137394078437216</v>
      </c>
      <c r="L150" s="55">
        <f t="shared" si="23"/>
        <v>1.2854265563226995E-2</v>
      </c>
      <c r="M150" s="51">
        <f t="shared" si="21"/>
        <v>2.0265936734069485</v>
      </c>
      <c r="N150" s="94">
        <f t="shared" si="17"/>
        <v>70883645.62616539</v>
      </c>
      <c r="O150" s="56">
        <f t="shared" si="18"/>
        <v>103.21418980187073</v>
      </c>
      <c r="P150" s="57">
        <f t="shared" si="19"/>
        <v>106.3147869964331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7.8433609713836647</v>
      </c>
      <c r="K151" s="51">
        <f t="shared" si="22"/>
        <v>2.0149455403564018</v>
      </c>
      <c r="L151" s="55">
        <f t="shared" si="23"/>
        <v>1.2701550266302998E-2</v>
      </c>
      <c r="M151" s="51">
        <f t="shared" si="21"/>
        <v>2.0276470906227049</v>
      </c>
      <c r="N151" s="94">
        <f t="shared" si="17"/>
        <v>69720576.80035454</v>
      </c>
      <c r="O151" s="56">
        <f t="shared" si="18"/>
        <v>103.50123700979738</v>
      </c>
      <c r="P151" s="57">
        <f t="shared" si="19"/>
        <v>106.57297531476956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7.8360550228507551</v>
      </c>
      <c r="K152" s="51">
        <f t="shared" si="22"/>
        <v>2.0161719635861108</v>
      </c>
      <c r="L152" s="55">
        <f t="shared" si="23"/>
        <v>1.2546711035233004E-2</v>
      </c>
      <c r="M152" s="51">
        <f t="shared" si="21"/>
        <v>2.0287186746213437</v>
      </c>
      <c r="N152" s="94">
        <f t="shared" si="17"/>
        <v>68557507.974543437</v>
      </c>
      <c r="O152" s="56">
        <f t="shared" si="18"/>
        <v>103.79393177342565</v>
      </c>
      <c r="P152" s="57">
        <f t="shared" si="19"/>
        <v>106.83625957784395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7.8286240634989301</v>
      </c>
      <c r="K153" s="51">
        <f t="shared" si="22"/>
        <v>2.017419371931112</v>
      </c>
      <c r="L153" s="55">
        <f t="shared" si="23"/>
        <v>1.2389700134312035E-2</v>
      </c>
      <c r="M153" s="51">
        <f t="shared" si="21"/>
        <v>2.029809072065424</v>
      </c>
      <c r="N153" s="94">
        <f t="shared" si="17"/>
        <v>67394439.148732513</v>
      </c>
      <c r="O153" s="56">
        <f t="shared" si="18"/>
        <v>104.09248388752545</v>
      </c>
      <c r="P153" s="57">
        <f t="shared" si="19"/>
        <v>107.10483390781509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7.8210637406655898</v>
      </c>
      <c r="K154" s="51">
        <f t="shared" si="22"/>
        <v>2.0186884960571772</v>
      </c>
      <c r="L154" s="55">
        <f t="shared" si="23"/>
        <v>1.2230469386036606E-2</v>
      </c>
      <c r="M154" s="51">
        <f t="shared" si="21"/>
        <v>2.0309189654432136</v>
      </c>
      <c r="N154" s="94">
        <f t="shared" si="17"/>
        <v>66231370.32292141</v>
      </c>
      <c r="O154" s="56">
        <f t="shared" si="18"/>
        <v>104.3971147340727</v>
      </c>
      <c r="P154" s="57">
        <f t="shared" si="19"/>
        <v>107.37890364656329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7.8133694703259886</v>
      </c>
      <c r="K155" s="51">
        <f t="shared" si="22"/>
        <v>2.0199801054680071</v>
      </c>
      <c r="L155" s="55">
        <f t="shared" si="23"/>
        <v>1.206897036036658E-2</v>
      </c>
      <c r="M155" s="51">
        <f t="shared" si="21"/>
        <v>2.0320490758283736</v>
      </c>
      <c r="N155" s="94">
        <f t="shared" si="17"/>
        <v>65068301.49711071</v>
      </c>
      <c r="O155" s="56">
        <f t="shared" si="18"/>
        <v>104.70805813920377</v>
      </c>
      <c r="P155" s="57">
        <f t="shared" si="19"/>
        <v>107.65868624400956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7.8055364203998634</v>
      </c>
      <c r="K156" s="51">
        <f t="shared" si="22"/>
        <v>2.0212950113074886</v>
      </c>
      <c r="L156" s="55">
        <f t="shared" si="23"/>
        <v>1.1905154610221449E-2</v>
      </c>
      <c r="M156" s="51">
        <f t="shared" si="21"/>
        <v>2.0332001659177101</v>
      </c>
      <c r="N156" s="94">
        <f t="shared" si="17"/>
        <v>63905232.671299726</v>
      </c>
      <c r="O156" s="56">
        <f t="shared" si="18"/>
        <v>105.02556131017606</v>
      </c>
      <c r="P156" s="57">
        <f t="shared" si="19"/>
        <v>107.94441223748257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7.7975594925247842</v>
      </c>
      <c r="K157" s="51">
        <f t="shared" si="22"/>
        <v>2.0226340694193325</v>
      </c>
      <c r="L157" s="55">
        <f t="shared" si="23"/>
        <v>1.1738973962861079E-2</v>
      </c>
      <c r="M157" s="51">
        <f t="shared" si="21"/>
        <v>2.0343730433821938</v>
      </c>
      <c r="N157" s="94">
        <f t="shared" si="17"/>
        <v>62742163.845488742</v>
      </c>
      <c r="O157" s="56">
        <f t="shared" si="18"/>
        <v>105.349885861411</v>
      </c>
      <c r="P157" s="57">
        <f t="shared" si="19"/>
        <v>108.23632633377348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7.7894333021240447</v>
      </c>
      <c r="K158" s="51">
        <f t="shared" si="22"/>
        <v>2.0239981836930112</v>
      </c>
      <c r="L158" s="55">
        <f t="shared" si="23"/>
        <v>1.1570380878878451E-2</v>
      </c>
      <c r="M158" s="51">
        <f t="shared" si="21"/>
        <v>2.0355685645718897</v>
      </c>
      <c r="N158" s="94">
        <f t="shared" si="17"/>
        <v>61579095.019677706</v>
      </c>
      <c r="O158" s="56">
        <f t="shared" si="18"/>
        <v>105.6813089399238</v>
      </c>
      <c r="P158" s="57">
        <f t="shared" si="19"/>
        <v>108.53468860732302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7.7811521565739534</v>
      </c>
      <c r="K159" s="51">
        <f t="shared" si="22"/>
        <v>2.025388309728732</v>
      </c>
      <c r="L159" s="55">
        <f t="shared" si="23"/>
        <v>1.139932889308987E-2</v>
      </c>
      <c r="M159" s="51">
        <f t="shared" si="21"/>
        <v>2.036787638621822</v>
      </c>
      <c r="N159" s="94">
        <f t="shared" si="17"/>
        <v>60416026.193866849</v>
      </c>
      <c r="O159" s="56">
        <f t="shared" si="18"/>
        <v>106.02012446184126</v>
      </c>
      <c r="P159" s="57">
        <f t="shared" si="19"/>
        <v>108.83977583011313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7.7727100312488089</v>
      </c>
      <c r="K160" s="51">
        <f t="shared" si="22"/>
        <v>2.0268054588586817</v>
      </c>
      <c r="L160" s="55">
        <f t="shared" si="23"/>
        <v>1.1225773154763157E-2</v>
      </c>
      <c r="M160" s="51">
        <f t="shared" si="21"/>
        <v>2.038031232013445</v>
      </c>
      <c r="N160" s="94">
        <f t="shared" si="17"/>
        <v>59252957.368055798</v>
      </c>
      <c r="O160" s="56">
        <f t="shared" si="18"/>
        <v>106.36664447335643</v>
      </c>
      <c r="P160" s="57">
        <f t="shared" si="19"/>
        <v>109.15188295137543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7.764100543191077</v>
      </c>
      <c r="K161" s="51">
        <f t="shared" si="22"/>
        <v>2.0282507025669205</v>
      </c>
      <c r="L161" s="55">
        <f t="shared" si="23"/>
        <v>1.1049671088528194E-2</v>
      </c>
      <c r="M161" s="51">
        <f t="shared" si="21"/>
        <v>2.0393003736554487</v>
      </c>
      <c r="N161" s="94">
        <f t="shared" si="17"/>
        <v>58089888.542244896</v>
      </c>
      <c r="O161" s="56">
        <f t="shared" si="18"/>
        <v>106.72120065136053</v>
      </c>
      <c r="P161" s="57">
        <f t="shared" si="19"/>
        <v>109.47132474824711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7.7553169221185287</v>
      </c>
      <c r="K162" s="51">
        <f t="shared" si="22"/>
        <v>2.0297251773563074</v>
      </c>
      <c r="L162" s="55">
        <f t="shared" si="23"/>
        <v>1.0870983202156051E-2</v>
      </c>
      <c r="M162" s="51">
        <f t="shared" si="21"/>
        <v>2.0405961605584633</v>
      </c>
      <c r="N162" s="94">
        <f t="shared" si="17"/>
        <v>56926819.716433898</v>
      </c>
      <c r="O162" s="56">
        <f t="shared" si="18"/>
        <v>107.08414596120863</v>
      </c>
      <c r="P162" s="57">
        <f t="shared" si="19"/>
        <v>109.79843767211662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7.7463519784384527</v>
      </c>
      <c r="K163" s="51">
        <f t="shared" si="22"/>
        <v>2.0312300901178402</v>
      </c>
      <c r="L163" s="55">
        <f t="shared" si="23"/>
        <v>1.068967407341552E-2</v>
      </c>
      <c r="M163" s="51">
        <f t="shared" si="21"/>
        <v>2.0419197641912556</v>
      </c>
      <c r="N163" s="94">
        <f t="shared" si="17"/>
        <v>55763750.890623085</v>
      </c>
      <c r="O163" s="56">
        <f t="shared" si="18"/>
        <v>107.45585649166385</v>
      </c>
      <c r="P163" s="57">
        <f t="shared" si="19"/>
        <v>110.13358191974446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7.7371980678903416</v>
      </c>
      <c r="K164" s="51">
        <f t="shared" si="22"/>
        <v>2.0327667240659593</v>
      </c>
      <c r="L164" s="55">
        <f t="shared" si="23"/>
        <v>1.0505713555723967E-2</v>
      </c>
      <c r="M164" s="51">
        <f t="shared" si="21"/>
        <v>2.0432724376216833</v>
      </c>
      <c r="N164" s="94">
        <f t="shared" si="17"/>
        <v>54600682.064812109</v>
      </c>
      <c r="O164" s="56">
        <f t="shared" si="18"/>
        <v>107.83673349009929</v>
      </c>
      <c r="P164" s="57">
        <f t="shared" si="19"/>
        <v>110.47714376348235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7.7278470523814162</v>
      </c>
      <c r="K165" s="51">
        <f t="shared" si="22"/>
        <v>2.034336445312948</v>
      </c>
      <c r="L165" s="55">
        <f t="shared" si="23"/>
        <v>1.0319078251696106E-2</v>
      </c>
      <c r="M165" s="51">
        <f t="shared" si="21"/>
        <v>2.0446555235646442</v>
      </c>
      <c r="N165" s="94">
        <f t="shared" si="17"/>
        <v>53437613.239001215</v>
      </c>
      <c r="O165" s="56">
        <f t="shared" si="18"/>
        <v>108.2272056246035</v>
      </c>
      <c r="P165" s="57">
        <f t="shared" si="19"/>
        <v>110.82953818125452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7.7182902565121916</v>
      </c>
      <c r="K166" s="51">
        <f t="shared" si="22"/>
        <v>2.0359407101668276</v>
      </c>
      <c r="L166" s="55">
        <f t="shared" si="23"/>
        <v>1.0129753315452534E-2</v>
      </c>
      <c r="M166" s="51">
        <f t="shared" si="21"/>
        <v>2.0460704634822804</v>
      </c>
      <c r="N166" s="94">
        <f t="shared" si="17"/>
        <v>52274544.413190156</v>
      </c>
      <c r="O166" s="56">
        <f t="shared" si="18"/>
        <v>108.62773150385168</v>
      </c>
      <c r="P166" s="57">
        <f t="shared" si="19"/>
        <v>111.19121183467553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7.708518419210094</v>
      </c>
      <c r="K167" s="51">
        <f t="shared" si="22"/>
        <v>2.03758107325045</v>
      </c>
      <c r="L167" s="55">
        <f t="shared" si="23"/>
        <v>9.9377346593125231E-3</v>
      </c>
      <c r="M167" s="51">
        <f t="shared" si="21"/>
        <v>2.0475188079097624</v>
      </c>
      <c r="N167" s="94">
        <f t="shared" si="17"/>
        <v>51111475.587379344</v>
      </c>
      <c r="O167" s="56">
        <f t="shared" si="18"/>
        <v>109.03880249058855</v>
      </c>
      <c r="P167" s="57">
        <f t="shared" si="19"/>
        <v>111.56264645309864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7.6985216397953398</v>
      </c>
      <c r="K168" s="51">
        <f t="shared" si="22"/>
        <v>2.0392591965552205</v>
      </c>
      <c r="L168" s="55">
        <f t="shared" si="23"/>
        <v>9.7430316590608086E-3</v>
      </c>
      <c r="M168" s="51">
        <f t="shared" si="21"/>
        <v>2.0490022282142815</v>
      </c>
      <c r="N168" s="94">
        <f t="shared" ref="N168:N204" si="24">10^$J168</f>
        <v>49948406.761568233</v>
      </c>
      <c r="O168" s="56">
        <f t="shared" ref="O168:O204" si="25">10^K168</f>
        <v>109.46094585049622</v>
      </c>
      <c r="P168" s="57">
        <f t="shared" ref="P168:P204" si="26">10^M168</f>
        <v>111.94436269292081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7.6882893176917859</v>
      </c>
      <c r="K169" s="51">
        <f t="shared" si="22"/>
        <v>2.0409768595616233</v>
      </c>
      <c r="L169" s="55">
        <f t="shared" si="23"/>
        <v>9.5456704753540435E-3</v>
      </c>
      <c r="M169" s="51">
        <f t="shared" ref="M169:M204" si="28">+$I$14+$I$13*J169+L169</f>
        <v>2.0505225300369774</v>
      </c>
      <c r="N169" s="94">
        <f t="shared" si="24"/>
        <v>48785337.935757428</v>
      </c>
      <c r="O169" s="56">
        <f t="shared" si="25"/>
        <v>109.8947282852956</v>
      </c>
      <c r="P169" s="57">
        <f t="shared" si="26"/>
        <v>112.33692455567312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7.6778100848624451</v>
      </c>
      <c r="K170" s="51">
        <f t="shared" si="22"/>
        <v>2.0427359705810266</v>
      </c>
      <c r="L170" s="55">
        <f t="shared" si="23"/>
        <v>9.3456981382849941E-3</v>
      </c>
      <c r="M170" s="51">
        <f t="shared" si="28"/>
        <v>2.0520816687193117</v>
      </c>
      <c r="N170" s="94">
        <f t="shared" si="24"/>
        <v>47622269.109946437</v>
      </c>
      <c r="O170" s="56">
        <f t="shared" si="25"/>
        <v>110.34075990738992</v>
      </c>
      <c r="P170" s="57">
        <f t="shared" si="26"/>
        <v>112.74094446594455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7.6670717298900399</v>
      </c>
      <c r="K171" s="51">
        <f t="shared" si="22"/>
        <v>2.0445385795000046</v>
      </c>
      <c r="L171" s="55">
        <f t="shared" si="23"/>
        <v>9.1431875792202747E-3</v>
      </c>
      <c r="M171" s="51">
        <f t="shared" si="28"/>
        <v>2.0536817670792247</v>
      </c>
      <c r="N171" s="94">
        <f t="shared" si="24"/>
        <v>46459200.284135528</v>
      </c>
      <c r="O171" s="56">
        <f t="shared" si="25"/>
        <v>110.79969872354776</v>
      </c>
      <c r="P171" s="57">
        <f t="shared" si="26"/>
        <v>113.15708913188369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7.6560611124312636</v>
      </c>
      <c r="K172" s="51">
        <f t="shared" si="22"/>
        <v>2.0463868921405952</v>
      </c>
      <c r="L172" s="55">
        <f t="shared" si="23"/>
        <v>8.9382438406837555E-3</v>
      </c>
      <c r="M172" s="51">
        <f t="shared" si="28"/>
        <v>2.055325135981279</v>
      </c>
      <c r="N172" s="94">
        <f t="shared" si="24"/>
        <v>45296131.458324485</v>
      </c>
      <c r="O172" s="56">
        <f t="shared" si="25"/>
        <v>111.27225570741349</v>
      </c>
      <c r="P172" s="57">
        <f t="shared" si="26"/>
        <v>113.58608633795826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7.6447640665418843</v>
      </c>
      <c r="K173" s="51">
        <f t="shared" si="22"/>
        <v>2.0482832864887639</v>
      </c>
      <c r="L173" s="55">
        <f t="shared" si="23"/>
        <v>8.7310117535535983E-3</v>
      </c>
      <c r="M173" s="51">
        <f t="shared" si="28"/>
        <v>2.0570142982423176</v>
      </c>
      <c r="N173" s="94">
        <f t="shared" si="24"/>
        <v>44133062.63251362</v>
      </c>
      <c r="O173" s="56">
        <f t="shared" si="25"/>
        <v>111.75920055554705</v>
      </c>
      <c r="P173" s="57">
        <f t="shared" si="26"/>
        <v>114.02873285312434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7.6331652910887184</v>
      </c>
      <c r="K174" s="51">
        <f t="shared" si="22"/>
        <v>2.0502303310905514</v>
      </c>
      <c r="L174" s="55">
        <f t="shared" si="23"/>
        <v>8.5216854437717236E-3</v>
      </c>
      <c r="M174" s="51">
        <f t="shared" si="28"/>
        <v>2.0587520165343229</v>
      </c>
      <c r="N174" s="94">
        <f t="shared" si="24"/>
        <v>42969993.806702718</v>
      </c>
      <c r="O174" s="56">
        <f t="shared" si="25"/>
        <v>112.2613682398748</v>
      </c>
      <c r="P174" s="57">
        <f t="shared" si="26"/>
        <v>114.48590367920255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7.6212482251217395</v>
      </c>
      <c r="K175" s="51">
        <f t="shared" si="22"/>
        <v>2.0522308059729082</v>
      </c>
      <c r="L175" s="55">
        <f t="shared" si="23"/>
        <v>8.3105201208895883E-3</v>
      </c>
      <c r="M175" s="51">
        <f t="shared" si="28"/>
        <v>2.0605413260937979</v>
      </c>
      <c r="N175" s="94">
        <f t="shared" si="24"/>
        <v>41806924.98089166</v>
      </c>
      <c r="O175" s="56">
        <f t="shared" si="25"/>
        <v>112.77966649168813</v>
      </c>
      <c r="P175" s="57">
        <f t="shared" si="26"/>
        <v>114.95856291597896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7.6089949056593529</v>
      </c>
      <c r="K176" s="51">
        <f t="shared" si="22"/>
        <v>2.0542877265167667</v>
      </c>
      <c r="L176" s="55">
        <f t="shared" si="23"/>
        <v>8.0978467106004974E-3</v>
      </c>
      <c r="M176" s="51">
        <f t="shared" si="28"/>
        <v>2.0623855732273673</v>
      </c>
      <c r="N176" s="94">
        <f t="shared" si="24"/>
        <v>40643856.155080736</v>
      </c>
      <c r="O176" s="56">
        <f t="shared" si="25"/>
        <v>113.31508437973375</v>
      </c>
      <c r="P176" s="57">
        <f t="shared" si="26"/>
        <v>115.44777658357712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7.5963858048220123</v>
      </c>
      <c r="K177" s="51">
        <f t="shared" si="22"/>
        <v>2.0564043707968347</v>
      </c>
      <c r="L177" s="55">
        <f t="shared" si="23"/>
        <v>7.884090024364545E-3</v>
      </c>
      <c r="M177" s="51">
        <f t="shared" si="28"/>
        <v>2.0642884608211993</v>
      </c>
      <c r="N177" s="94">
        <f t="shared" si="24"/>
        <v>39480787.329269841</v>
      </c>
      <c r="O177" s="56">
        <f t="shared" si="25"/>
        <v>113.86870217886242</v>
      </c>
      <c r="P177" s="57">
        <f t="shared" si="26"/>
        <v>115.95472782139103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7.5833996426075538</v>
      </c>
      <c r="K178" s="51">
        <f t="shared" si="22"/>
        <v>2.0585843110103252</v>
      </c>
      <c r="L178" s="55">
        <f t="shared" si="23"/>
        <v>7.669791310049876E-3</v>
      </c>
      <c r="M178" s="51">
        <f t="shared" si="28"/>
        <v>2.0662541023203751</v>
      </c>
      <c r="N178" s="94">
        <f t="shared" si="24"/>
        <v>38317718.503458753</v>
      </c>
      <c r="O178" s="56">
        <f t="shared" si="25"/>
        <v>114.44170276793217</v>
      </c>
      <c r="P178" s="57">
        <f t="shared" si="26"/>
        <v>116.48073497857558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7.5700131708014782</v>
      </c>
      <c r="K179" s="51">
        <f t="shared" si="22"/>
        <v>2.0608314497511557</v>
      </c>
      <c r="L179" s="55">
        <f t="shared" si="23"/>
        <v>7.4556361913106156E-3</v>
      </c>
      <c r="M179" s="51">
        <f t="shared" si="28"/>
        <v>2.0682870859424662</v>
      </c>
      <c r="N179" s="94">
        <f t="shared" si="24"/>
        <v>37154649.677647904</v>
      </c>
      <c r="O179" s="56">
        <f t="shared" si="25"/>
        <v>115.0353848485553</v>
      </c>
      <c r="P179" s="57">
        <f t="shared" si="26"/>
        <v>117.02727322534074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7.5562009225115254</v>
      </c>
      <c r="K180" s="51">
        <f t="shared" si="22"/>
        <v>2.0631500620546781</v>
      </c>
      <c r="L180" s="55">
        <f t="shared" si="23"/>
        <v>7.2424891626333464E-3</v>
      </c>
      <c r="M180" s="51">
        <f t="shared" si="28"/>
        <v>2.0703925512173114</v>
      </c>
      <c r="N180" s="94">
        <f t="shared" si="24"/>
        <v>35991580.85183692</v>
      </c>
      <c r="O180" s="56">
        <f t="shared" si="25"/>
        <v>115.65117834296588</v>
      </c>
      <c r="P180" s="57">
        <f t="shared" si="26"/>
        <v>117.59600044666308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7.5419349205480986</v>
      </c>
      <c r="K181" s="51">
        <f t="shared" si="22"/>
        <v>2.0655448443508035</v>
      </c>
      <c r="L181" s="55">
        <f t="shared" si="23"/>
        <v>7.0314359249931879E-3</v>
      </c>
      <c r="M181" s="51">
        <f t="shared" si="28"/>
        <v>2.0725762802757965</v>
      </c>
      <c r="N181" s="94">
        <f t="shared" si="24"/>
        <v>34828512.026026092</v>
      </c>
      <c r="O181" s="56">
        <f t="shared" si="25"/>
        <v>116.29066241390511</v>
      </c>
      <c r="P181" s="57">
        <f t="shared" si="26"/>
        <v>118.18878832610717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7.5271843362595048</v>
      </c>
      <c r="K182" s="51">
        <f t="shared" si="22"/>
        <v>2.0680209717341027</v>
      </c>
      <c r="L182" s="55">
        <f t="shared" si="23"/>
        <v>6.82383485513075E-3</v>
      </c>
      <c r="M182" s="51">
        <f t="shared" si="28"/>
        <v>2.0748448065892333</v>
      </c>
      <c r="N182" s="94">
        <f t="shared" si="24"/>
        <v>33665443.200215019</v>
      </c>
      <c r="O182" s="56">
        <f t="shared" si="25"/>
        <v>116.95558665761455</v>
      </c>
      <c r="P182" s="57">
        <f t="shared" si="26"/>
        <v>118.80775967540153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7.5119150883645904</v>
      </c>
      <c r="K183" s="51">
        <f t="shared" si="22"/>
        <v>2.0705841653063204</v>
      </c>
      <c r="L183" s="55">
        <f t="shared" si="23"/>
        <v>6.6213786800317911E-3</v>
      </c>
      <c r="M183" s="51">
        <f t="shared" si="28"/>
        <v>2.0772055439863522</v>
      </c>
      <c r="N183" s="94">
        <f t="shared" si="24"/>
        <v>32502374.374404117</v>
      </c>
      <c r="O183" s="56">
        <f t="shared" si="25"/>
        <v>117.64789616038995</v>
      </c>
      <c r="P183" s="57">
        <f t="shared" si="26"/>
        <v>119.45533319075095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7.4960893686560084</v>
      </c>
      <c r="K184" s="51">
        <f t="shared" si="22"/>
        <v>2.0732407717948602</v>
      </c>
      <c r="L184" s="55">
        <f t="shared" si="23"/>
        <v>6.4261667837674135E-3</v>
      </c>
      <c r="M184" s="51">
        <f t="shared" si="28"/>
        <v>2.0796669385786277</v>
      </c>
      <c r="N184" s="94">
        <f t="shared" si="24"/>
        <v>31339305.548593201</v>
      </c>
      <c r="O184" s="56">
        <f t="shared" si="25"/>
        <v>118.36976129015117</v>
      </c>
      <c r="P184" s="57">
        <f t="shared" si="26"/>
        <v>120.1342768759684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7.4796650779698401</v>
      </c>
      <c r="K185" s="51">
        <f t="shared" si="22"/>
        <v>2.0759978582345298</v>
      </c>
      <c r="L185" s="55">
        <f t="shared" si="23"/>
        <v>6.2407872192848735E-3</v>
      </c>
      <c r="M185" s="51">
        <f t="shared" si="28"/>
        <v>2.0822386454538147</v>
      </c>
      <c r="N185" s="94">
        <f t="shared" si="24"/>
        <v>30176236.722782254</v>
      </c>
      <c r="O185" s="56">
        <f t="shared" si="25"/>
        <v>119.12361333160571</v>
      </c>
      <c r="P185" s="57">
        <f t="shared" si="26"/>
        <v>120.84777129621946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7.4625951512452877</v>
      </c>
      <c r="K186" s="51">
        <f t="shared" si="22"/>
        <v>2.0788633252673341</v>
      </c>
      <c r="L186" s="55">
        <f t="shared" si="23"/>
        <v>6.068405058335738E-3</v>
      </c>
      <c r="M186" s="51">
        <f t="shared" si="28"/>
        <v>2.0849317303256698</v>
      </c>
      <c r="N186" s="94">
        <f t="shared" si="24"/>
        <v>29013167.896971326</v>
      </c>
      <c r="O186" s="56">
        <f t="shared" si="25"/>
        <v>119.91218738714456</v>
      </c>
      <c r="P186" s="57">
        <f t="shared" si="26"/>
        <v>121.59948352043098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7.4448267444283003</v>
      </c>
      <c r="K187" s="51">
        <f t="shared" si="22"/>
        <v>2.0818460436340338</v>
      </c>
      <c r="L187" s="55">
        <f t="shared" si="23"/>
        <v>5.9128498076291584E-3</v>
      </c>
      <c r="M187" s="51">
        <f t="shared" si="28"/>
        <v>2.0877588934416629</v>
      </c>
      <c r="N187" s="94">
        <f t="shared" si="24"/>
        <v>27850099.071160294</v>
      </c>
      <c r="O187" s="56">
        <f t="shared" si="25"/>
        <v>120.73857438439867</v>
      </c>
      <c r="P187" s="57">
        <f t="shared" si="26"/>
        <v>122.39365197751737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7.4263002478295892</v>
      </c>
      <c r="K188" s="51">
        <f t="shared" si="22"/>
        <v>2.0849560197981738</v>
      </c>
      <c r="L188" s="55">
        <f t="shared" si="23"/>
        <v>5.7786891029355872E-3</v>
      </c>
      <c r="M188" s="51">
        <f t="shared" si="28"/>
        <v>2.0907347089011092</v>
      </c>
      <c r="N188" s="94">
        <f t="shared" si="24"/>
        <v>26687030.245349351</v>
      </c>
      <c r="O188" s="56">
        <f t="shared" si="25"/>
        <v>121.60628459673073</v>
      </c>
      <c r="P188" s="57">
        <f t="shared" si="26"/>
        <v>123.23518145857051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7.4069480794978286</v>
      </c>
      <c r="K189" s="51">
        <f t="shared" si="22"/>
        <v>2.0882045984981739</v>
      </c>
      <c r="L189" s="55">
        <f t="shared" si="23"/>
        <v>5.6712693538243401E-3</v>
      </c>
      <c r="M189" s="51">
        <f t="shared" si="28"/>
        <v>2.0938758678519984</v>
      </c>
      <c r="N189" s="94">
        <f t="shared" si="24"/>
        <v>25523961.41953839</v>
      </c>
      <c r="O189" s="56">
        <f t="shared" si="25"/>
        <v>122.51932585502766</v>
      </c>
      <c r="P189" s="57">
        <f t="shared" si="26"/>
        <v>124.12974632423469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7.3866931969915646</v>
      </c>
      <c r="K190" s="51">
        <f t="shared" si="22"/>
        <v>2.0916047125708106</v>
      </c>
      <c r="L190" s="55">
        <f t="shared" si="23"/>
        <v>5.5966985245245243E-3</v>
      </c>
      <c r="M190" s="51">
        <f t="shared" si="28"/>
        <v>2.0972014110953352</v>
      </c>
      <c r="N190" s="94">
        <f t="shared" si="24"/>
        <v>24360892.59372744</v>
      </c>
      <c r="O190" s="56">
        <f t="shared" si="25"/>
        <v>123.48230069680305</v>
      </c>
      <c r="P190" s="57">
        <f t="shared" si="26"/>
        <v>125.08389925523448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7.3654472448083208</v>
      </c>
      <c r="K191" s="51">
        <f t="shared" si="22"/>
        <v>2.0951711939356112</v>
      </c>
      <c r="L191" s="55">
        <f t="shared" si="23"/>
        <v>5.5617459969344212E-3</v>
      </c>
      <c r="M191" s="51">
        <f t="shared" si="28"/>
        <v>2.1007329399325458</v>
      </c>
      <c r="N191" s="94">
        <f t="shared" si="24"/>
        <v>23197823.767916556</v>
      </c>
      <c r="O191" s="56">
        <f t="shared" si="25"/>
        <v>124.50052819509861</v>
      </c>
      <c r="P191" s="57">
        <f t="shared" si="26"/>
        <v>126.10518393623985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7.3431082248988941</v>
      </c>
      <c r="K192" s="51">
        <f t="shared" si="22"/>
        <v>2.098921164637217</v>
      </c>
      <c r="L192" s="55">
        <f t="shared" si="23"/>
        <v>5.57364527686313E-3</v>
      </c>
      <c r="M192" s="51">
        <f t="shared" si="28"/>
        <v>2.1044948099140801</v>
      </c>
      <c r="N192" s="94">
        <f t="shared" si="24"/>
        <v>22034754.942105614</v>
      </c>
      <c r="O192" s="56">
        <f t="shared" si="25"/>
        <v>125.58019833836974</v>
      </c>
      <c r="P192" s="57">
        <f t="shared" si="26"/>
        <v>127.20225485437827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7.3195575349027129</v>
      </c>
      <c r="K193" s="51">
        <f t="shared" si="22"/>
        <v>2.1028745340261317</v>
      </c>
      <c r="L193" s="55">
        <f t="shared" si="23"/>
        <v>5.6398115128815166E-3</v>
      </c>
      <c r="M193" s="51">
        <f t="shared" si="28"/>
        <v>2.1085143455390134</v>
      </c>
      <c r="N193" s="94">
        <f t="shared" si="24"/>
        <v>20871686.116294648</v>
      </c>
      <c r="O193" s="56">
        <f t="shared" si="25"/>
        <v>126.72856990962096</v>
      </c>
      <c r="P193" s="57">
        <f t="shared" si="26"/>
        <v>128.3850177685554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7.2946561562846455</v>
      </c>
      <c r="K194" s="51">
        <f t="shared" ref="K194:K204" si="29">+$I$14+$I$13*J194</f>
        <v>2.1070546386424462</v>
      </c>
      <c r="L194" s="55">
        <f t="shared" ref="L194:L204" si="30">SQRT(2*$I$20*$I$17)*SQRT((1/$I$2)+((J194-$I$11)^2/$I$8))</f>
        <v>5.7675245602629901E-3</v>
      </c>
      <c r="M194" s="51">
        <f t="shared" si="28"/>
        <v>2.1128221632027091</v>
      </c>
      <c r="N194" s="94">
        <f t="shared" si="24"/>
        <v>19708617.290483706</v>
      </c>
      <c r="O194" s="56">
        <f t="shared" si="25"/>
        <v>127.9542273403099</v>
      </c>
      <c r="P194" s="57">
        <f t="shared" si="26"/>
        <v>129.66482051014179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7.2682396816473016</v>
      </c>
      <c r="K195" s="51">
        <f t="shared" si="29"/>
        <v>2.1114890769629899</v>
      </c>
      <c r="L195" s="55">
        <f t="shared" si="30"/>
        <v>5.9636653038731479E-3</v>
      </c>
      <c r="M195" s="51">
        <f t="shared" si="28"/>
        <v>2.1174527422668632</v>
      </c>
      <c r="N195" s="94">
        <f t="shared" si="24"/>
        <v>18545548.464672737</v>
      </c>
      <c r="O195" s="56">
        <f t="shared" si="25"/>
        <v>129.26741880621759</v>
      </c>
      <c r="P195" s="57">
        <f t="shared" si="26"/>
        <v>131.0547427451686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7.2401117293428454</v>
      </c>
      <c r="K196" s="51">
        <f t="shared" si="29"/>
        <v>2.1162108148666912</v>
      </c>
      <c r="L196" s="55">
        <f t="shared" si="30"/>
        <v>6.2346068006121757E-3</v>
      </c>
      <c r="M196" s="51">
        <f t="shared" si="28"/>
        <v>2.1224454216673032</v>
      </c>
      <c r="N196" s="94">
        <f t="shared" si="24"/>
        <v>17382479.638861798</v>
      </c>
      <c r="O196" s="56">
        <f t="shared" si="25"/>
        <v>130.68050824320676</v>
      </c>
      <c r="P196" s="57">
        <f t="shared" si="26"/>
        <v>132.57005048449983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7.2100350739634029</v>
      </c>
      <c r="K197" s="51">
        <f t="shared" si="29"/>
        <v>2.1212596745271637</v>
      </c>
      <c r="L197" s="55">
        <f t="shared" si="30"/>
        <v>6.5863396854600378E-3</v>
      </c>
      <c r="M197" s="51">
        <f t="shared" si="28"/>
        <v>2.1278460142126239</v>
      </c>
      <c r="N197" s="94">
        <f t="shared" si="24"/>
        <v>16219410.8130509</v>
      </c>
      <c r="O197" s="56">
        <f t="shared" si="25"/>
        <v>132.20859030697324</v>
      </c>
      <c r="P197" s="57">
        <f t="shared" si="26"/>
        <v>134.22889475650743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7.1777194706876175</v>
      </c>
      <c r="K198" s="51">
        <f t="shared" si="29"/>
        <v>2.126684378295737</v>
      </c>
      <c r="L198" s="55">
        <f t="shared" si="30"/>
        <v>7.0248637277000973E-3</v>
      </c>
      <c r="M198" s="51">
        <f t="shared" si="28"/>
        <v>2.1337092420234369</v>
      </c>
      <c r="N198" s="94">
        <f t="shared" si="24"/>
        <v>15056341.987239929</v>
      </c>
      <c r="O198" s="56">
        <f t="shared" si="25"/>
        <v>133.87034366739098</v>
      </c>
      <c r="P198" s="57">
        <f t="shared" si="26"/>
        <v>136.05335071297756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7.1428045746421542</v>
      </c>
      <c r="K199" s="51">
        <f t="shared" si="29"/>
        <v>2.1325454159666357</v>
      </c>
      <c r="L199" s="55">
        <f t="shared" si="30"/>
        <v>7.5568353072546987E-3</v>
      </c>
      <c r="M199" s="51">
        <f t="shared" si="28"/>
        <v>2.1401022512738903</v>
      </c>
      <c r="N199" s="94">
        <f t="shared" si="24"/>
        <v>13893273.16142899</v>
      </c>
      <c r="O199" s="56">
        <f t="shared" si="25"/>
        <v>135.68924187219554</v>
      </c>
      <c r="P199" s="57">
        <f t="shared" si="26"/>
        <v>138.0709303654894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7.1048353746763686</v>
      </c>
      <c r="K200" s="51">
        <f t="shared" si="29"/>
        <v>2.1389191686206193</v>
      </c>
      <c r="L200" s="55">
        <f t="shared" si="30"/>
        <v>8.1904547819835905E-3</v>
      </c>
      <c r="M200" s="51">
        <f t="shared" si="28"/>
        <v>2.1471096234026028</v>
      </c>
      <c r="N200" s="94">
        <f t="shared" si="24"/>
        <v>12730204.335617993</v>
      </c>
      <c r="O200" s="56">
        <f t="shared" si="25"/>
        <v>137.69531649649682</v>
      </c>
      <c r="P200" s="57">
        <f t="shared" si="26"/>
        <v>140.31678435806805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7.0632258234022354</v>
      </c>
      <c r="K201" s="51">
        <f t="shared" si="29"/>
        <v>2.1459040139190075</v>
      </c>
      <c r="L201" s="55">
        <f t="shared" si="30"/>
        <v>8.9366229955041079E-3</v>
      </c>
      <c r="M201" s="51">
        <f t="shared" si="28"/>
        <v>2.1548406369145114</v>
      </c>
      <c r="N201" s="94">
        <f t="shared" si="24"/>
        <v>11567135.509807097</v>
      </c>
      <c r="O201" s="56">
        <f t="shared" si="25"/>
        <v>139.92780253951526</v>
      </c>
      <c r="P201" s="57">
        <f t="shared" si="26"/>
        <v>142.83697262554298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7.017203127106951</v>
      </c>
      <c r="K202" s="51">
        <f t="shared" si="29"/>
        <v>2.1536296779551178</v>
      </c>
      <c r="L202" s="55">
        <f t="shared" si="30"/>
        <v>9.8104969621243387E-3</v>
      </c>
      <c r="M202" s="51">
        <f t="shared" si="28"/>
        <v>2.1634401749172421</v>
      </c>
      <c r="N202" s="94">
        <f t="shared" si="24"/>
        <v>10404066.683996137</v>
      </c>
      <c r="O202" s="56">
        <f t="shared" si="25"/>
        <v>142.43924989576328</v>
      </c>
      <c r="P202" s="57">
        <f t="shared" si="26"/>
        <v>145.69349946963948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6.9657188695864498</v>
      </c>
      <c r="K203" s="51">
        <f t="shared" si="29"/>
        <v>2.1622721545757835</v>
      </c>
      <c r="L203" s="55">
        <f t="shared" si="30"/>
        <v>1.0833750755001193E-2</v>
      </c>
      <c r="M203" s="51">
        <f t="shared" si="28"/>
        <v>2.1731059053307846</v>
      </c>
      <c r="N203" s="94">
        <f t="shared" si="24"/>
        <v>9240997.8581851907</v>
      </c>
      <c r="O203" s="56">
        <f t="shared" si="25"/>
        <v>145.30218816852164</v>
      </c>
      <c r="P203" s="57">
        <f t="shared" si="26"/>
        <v>148.97243116859988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6.9073000334113832</v>
      </c>
      <c r="K204" s="51">
        <f t="shared" si="29"/>
        <v>2.1720787139041073</v>
      </c>
      <c r="L204" s="55">
        <f t="shared" si="30"/>
        <v>1.2038175530577754E-2</v>
      </c>
      <c r="M204" s="51">
        <f t="shared" si="28"/>
        <v>2.184116889434685</v>
      </c>
      <c r="N204" s="97">
        <f t="shared" si="24"/>
        <v>8077929.0323742395</v>
      </c>
      <c r="O204" s="91">
        <f t="shared" si="25"/>
        <v>148.62049857872131</v>
      </c>
      <c r="P204" s="92">
        <f t="shared" si="26"/>
        <v>152.79772547225258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1:Y343"/>
  <sheetViews>
    <sheetView topLeftCell="L1" zoomScale="85" zoomScaleNormal="85" workbookViewId="0">
      <selection activeCell="W6" sqref="W6"/>
    </sheetView>
  </sheetViews>
  <sheetFormatPr defaultColWidth="9.1796875" defaultRowHeight="14.5" x14ac:dyDescent="0.35"/>
  <cols>
    <col min="4" max="4" width="22" bestFit="1" customWidth="1"/>
    <col min="5" max="5" width="9.1796875" style="1"/>
    <col min="10" max="10" width="11" customWidth="1"/>
    <col min="11" max="11" width="9.54296875" bestFit="1" customWidth="1"/>
    <col min="12" max="12" width="9.54296875" customWidth="1"/>
    <col min="13" max="13" width="12.81640625" bestFit="1" customWidth="1"/>
    <col min="14" max="14" width="12" bestFit="1" customWidth="1"/>
    <col min="15" max="15" width="18.453125" bestFit="1" customWidth="1"/>
    <col min="16" max="16" width="14" customWidth="1"/>
    <col min="17" max="17" width="13.1796875" bestFit="1" customWidth="1"/>
    <col min="18" max="18" width="22.1796875" customWidth="1"/>
    <col min="19" max="20" width="12.54296875" customWidth="1"/>
    <col min="21" max="21" width="10" bestFit="1" customWidth="1"/>
    <col min="22" max="22" width="12.81640625" bestFit="1" customWidth="1"/>
    <col min="23" max="23" width="21.1796875" customWidth="1"/>
    <col min="24" max="24" width="10" customWidth="1"/>
    <col min="25" max="25" width="21.1796875" customWidth="1"/>
    <col min="26" max="26" width="16.1796875" customWidth="1"/>
    <col min="27" max="29" width="17.54296875" customWidth="1"/>
    <col min="30" max="30" width="38.81640625" bestFit="1" customWidth="1"/>
    <col min="31" max="32" width="38.81640625" customWidth="1"/>
  </cols>
  <sheetData>
    <row r="1" spans="4:25" x14ac:dyDescent="0.35">
      <c r="D1" t="s">
        <v>0</v>
      </c>
      <c r="E1" s="1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3" t="s">
        <v>10</v>
      </c>
      <c r="O1" s="3"/>
      <c r="P1" s="3" t="s">
        <v>11</v>
      </c>
      <c r="Q1" s="3" t="s">
        <v>12</v>
      </c>
      <c r="R1" s="3" t="s">
        <v>13</v>
      </c>
      <c r="S1" s="3" t="s">
        <v>14</v>
      </c>
    </row>
    <row r="2" spans="4:25" x14ac:dyDescent="0.35">
      <c r="D2">
        <v>1.1919999999999999</v>
      </c>
      <c r="E2" s="4">
        <v>0.80600000000000005</v>
      </c>
      <c r="F2" s="3"/>
      <c r="G2" s="3"/>
      <c r="H2" s="3">
        <v>1.2290000000000001</v>
      </c>
      <c r="I2" s="3" t="s">
        <v>90</v>
      </c>
      <c r="J2" s="5">
        <f>'Drop size and fallvelocity'!C2</f>
        <v>3.5000000000000001E-3</v>
      </c>
      <c r="K2" s="3">
        <v>0.28000000000000003</v>
      </c>
      <c r="L2" s="3">
        <f>'Drop size and fallvelocity'!C5</f>
        <v>2.12</v>
      </c>
      <c r="M2" s="3">
        <v>29</v>
      </c>
      <c r="N2" s="6">
        <v>120</v>
      </c>
      <c r="O2" s="7"/>
      <c r="P2" s="109">
        <f>1000*4/3*PI()*POWER((J2/2),3)</f>
        <v>2.2449297503777067E-5</v>
      </c>
      <c r="Q2" s="8">
        <v>0.38940000000000002</v>
      </c>
      <c r="R2">
        <f>(N2/1000)/3600</f>
        <v>3.3333333333333335E-5</v>
      </c>
      <c r="S2" s="9">
        <f>((2*PI())/360)*305</f>
        <v>5.3232542185827052</v>
      </c>
    </row>
    <row r="3" spans="4:25" s="12" customFormat="1" ht="58" x14ac:dyDescent="0.35">
      <c r="D3" s="10" t="s">
        <v>16</v>
      </c>
      <c r="E3" s="11" t="s">
        <v>17</v>
      </c>
      <c r="F3" s="10"/>
      <c r="G3" s="10" t="s">
        <v>18</v>
      </c>
      <c r="H3" s="10" t="s">
        <v>19</v>
      </c>
      <c r="I3" s="10" t="s">
        <v>20</v>
      </c>
      <c r="J3" s="10" t="s">
        <v>21</v>
      </c>
      <c r="K3" s="10" t="s">
        <v>22</v>
      </c>
      <c r="L3" s="10" t="s">
        <v>23</v>
      </c>
      <c r="M3" s="10" t="s">
        <v>24</v>
      </c>
      <c r="N3" s="10" t="s">
        <v>25</v>
      </c>
      <c r="O3" s="10" t="s">
        <v>89</v>
      </c>
      <c r="P3" s="10" t="s">
        <v>26</v>
      </c>
      <c r="Q3" s="10" t="s">
        <v>27</v>
      </c>
      <c r="R3" s="10" t="s">
        <v>28</v>
      </c>
      <c r="S3" s="10" t="s">
        <v>29</v>
      </c>
      <c r="T3" s="10" t="s">
        <v>30</v>
      </c>
      <c r="U3" s="10" t="s">
        <v>31</v>
      </c>
      <c r="V3" s="10" t="s">
        <v>32</v>
      </c>
      <c r="Y3" s="12" t="s">
        <v>123</v>
      </c>
    </row>
    <row r="4" spans="4:25" x14ac:dyDescent="0.35">
      <c r="D4" s="13"/>
      <c r="E4" s="14"/>
      <c r="F4" s="13" t="s">
        <v>33</v>
      </c>
      <c r="G4" s="13" t="s">
        <v>34</v>
      </c>
      <c r="H4" s="13" t="s">
        <v>35</v>
      </c>
      <c r="I4" s="13" t="s">
        <v>36</v>
      </c>
      <c r="J4" s="13" t="s">
        <v>35</v>
      </c>
      <c r="K4" s="13" t="s">
        <v>35</v>
      </c>
      <c r="L4" s="13" t="s">
        <v>36</v>
      </c>
      <c r="M4" s="10" t="s">
        <v>37</v>
      </c>
      <c r="N4" s="10" t="s">
        <v>38</v>
      </c>
      <c r="O4" s="10" t="s">
        <v>158</v>
      </c>
      <c r="P4" s="10" t="s">
        <v>39</v>
      </c>
      <c r="Q4" s="13" t="s">
        <v>40</v>
      </c>
      <c r="R4" s="10" t="s">
        <v>35</v>
      </c>
      <c r="S4" s="13" t="s">
        <v>35</v>
      </c>
      <c r="T4" s="13" t="s">
        <v>36</v>
      </c>
      <c r="U4" s="13" t="s">
        <v>41</v>
      </c>
      <c r="V4" s="13" t="s">
        <v>42</v>
      </c>
      <c r="W4" s="108" t="s">
        <v>154</v>
      </c>
      <c r="X4" s="108" t="s">
        <v>125</v>
      </c>
      <c r="Y4" s="108" t="s">
        <v>124</v>
      </c>
    </row>
    <row r="5" spans="4:25" x14ac:dyDescent="0.35">
      <c r="D5" s="15"/>
      <c r="E5" s="16"/>
      <c r="F5" s="15"/>
      <c r="G5" s="15"/>
      <c r="H5" s="15"/>
      <c r="I5" s="15"/>
      <c r="J5" s="15"/>
      <c r="K5" s="15"/>
      <c r="L5" s="15"/>
      <c r="M5" s="17"/>
      <c r="N5" s="17"/>
      <c r="O5" s="17"/>
      <c r="P5" s="17"/>
      <c r="Q5" s="15"/>
      <c r="R5" s="17"/>
      <c r="S5" s="15"/>
      <c r="T5" s="15"/>
      <c r="U5" s="15"/>
      <c r="V5" s="15"/>
      <c r="W5" t="s">
        <v>157</v>
      </c>
      <c r="X5" t="s">
        <v>155</v>
      </c>
    </row>
    <row r="6" spans="4:25" ht="15" thickBot="1" x14ac:dyDescent="0.4">
      <c r="D6" s="15"/>
      <c r="E6" s="16"/>
      <c r="F6" s="15"/>
      <c r="G6" s="15"/>
      <c r="H6" s="15"/>
      <c r="I6" s="15"/>
      <c r="J6" s="15"/>
      <c r="K6" s="15"/>
      <c r="L6" s="15"/>
      <c r="M6" s="17"/>
      <c r="N6" s="17"/>
      <c r="O6" s="17"/>
      <c r="P6" s="17"/>
      <c r="Q6" s="18"/>
      <c r="R6" s="18"/>
      <c r="S6" s="15">
        <f>H2</f>
        <v>1.2290000000000001</v>
      </c>
      <c r="T6" s="15"/>
      <c r="U6" s="15"/>
      <c r="V6" s="15"/>
    </row>
    <row r="7" spans="4:25" ht="15" thickBot="1" x14ac:dyDescent="0.4">
      <c r="D7" s="19" t="s">
        <v>85</v>
      </c>
      <c r="E7" s="20">
        <v>1</v>
      </c>
      <c r="F7" s="21">
        <v>1193</v>
      </c>
      <c r="G7" s="22">
        <f t="shared" ref="G7" si="0">F7/60*2*PI()</f>
        <v>124.9306678577541</v>
      </c>
      <c r="H7" s="21">
        <f t="shared" ref="H7:H37" si="1">$H$2</f>
        <v>1.2290000000000001</v>
      </c>
      <c r="I7" s="22">
        <f t="shared" ref="I7" si="2">G7*H7</f>
        <v>153.53979079717979</v>
      </c>
      <c r="J7" s="23">
        <f t="shared" ref="J7:J37" si="3">$J$2</f>
        <v>3.5000000000000001E-3</v>
      </c>
      <c r="K7" s="21">
        <f t="shared" ref="K7:K37" si="4">$K$2</f>
        <v>0.28000000000000003</v>
      </c>
      <c r="L7" s="24">
        <f t="shared" ref="L7:L37" si="5">$L$2</f>
        <v>2.12</v>
      </c>
      <c r="M7" s="25">
        <f>($R$2*G7)/($S$2*($D$2-$E$2)*$L$2)</f>
        <v>9.5597697962559037E-4</v>
      </c>
      <c r="N7" s="26">
        <f t="shared" ref="N7" si="6">3/(2*$J$2)*M7</f>
        <v>0.4097044198395387</v>
      </c>
      <c r="O7" s="26">
        <f>P7/((((J7)/(2))^2)*PI())</f>
        <v>64940334.711308509</v>
      </c>
      <c r="P7" s="22">
        <f>(3/(2*$J$2))*R7</f>
        <v>624.79924025529658</v>
      </c>
      <c r="Q7" s="21">
        <f>U7*60</f>
        <v>1800</v>
      </c>
      <c r="R7" s="27">
        <f>($R$2*$G7*$Q7)/(2*PI()*($D$2-$E$2)*$L$2)</f>
        <v>1.4578648939290255</v>
      </c>
      <c r="S7" s="28">
        <f>$S$6-V7/1000</f>
        <v>1.108417078687145</v>
      </c>
      <c r="T7" s="22">
        <f>G7*S7</f>
        <v>138.47528590532582</v>
      </c>
      <c r="U7">
        <v>30</v>
      </c>
      <c r="V7">
        <v>120.58292131285499</v>
      </c>
      <c r="W7" s="131">
        <f>O7*X7</f>
        <v>13977574.747182118</v>
      </c>
      <c r="X7">
        <f>0.5*$P$2*T7*T7</f>
        <v>0.21523718362893049</v>
      </c>
      <c r="Y7" s="27">
        <f>($R$2*$G7*$Q7)/(2*PI()*($D$2-$E$2))</f>
        <v>3.0906735751295344</v>
      </c>
    </row>
    <row r="8" spans="4:25" ht="15" thickBot="1" x14ac:dyDescent="0.4">
      <c r="D8" s="19" t="s">
        <v>85</v>
      </c>
      <c r="E8" s="20">
        <v>1</v>
      </c>
      <c r="F8" s="21">
        <v>1193</v>
      </c>
      <c r="G8" s="22">
        <f t="shared" ref="G8:G9" si="7">F8/60*2*PI()</f>
        <v>124.9306678577541</v>
      </c>
      <c r="H8" s="21">
        <f t="shared" si="1"/>
        <v>1.2290000000000001</v>
      </c>
      <c r="I8" s="22">
        <f t="shared" ref="I8:I9" si="8">G8*H8</f>
        <v>153.53979079717979</v>
      </c>
      <c r="J8" s="23">
        <f t="shared" si="3"/>
        <v>3.5000000000000001E-3</v>
      </c>
      <c r="K8" s="21">
        <f t="shared" si="4"/>
        <v>0.28000000000000003</v>
      </c>
      <c r="L8" s="24">
        <f t="shared" si="5"/>
        <v>2.12</v>
      </c>
      <c r="M8" s="25">
        <f t="shared" ref="M8:M9" si="9">($R$2*G8)/($S$2*($D$2-$E$2)*$L$2)</f>
        <v>9.5597697962559037E-4</v>
      </c>
      <c r="N8" s="26">
        <f t="shared" ref="N8:N9" si="10">3/(2*$J$2)*M8</f>
        <v>0.4097044198395387</v>
      </c>
      <c r="O8" s="26">
        <f t="shared" ref="O8:O37" si="11">P8/((((J8)/(2))^2)*PI())</f>
        <v>108233891.18551418</v>
      </c>
      <c r="P8" s="22">
        <f t="shared" ref="P8:P9" si="12">(3/(2*$J$2))*R8</f>
        <v>1041.332067092161</v>
      </c>
      <c r="Q8" s="21">
        <f t="shared" ref="Q8:Q9" si="13">U8*60</f>
        <v>3000</v>
      </c>
      <c r="R8" s="27">
        <f t="shared" ref="R8:R37" si="14">($R$2*$G8*$Q8)/(2*PI()*($D$2-$E$2)*$L$2)</f>
        <v>2.4297748232150425</v>
      </c>
      <c r="S8" s="28">
        <f t="shared" ref="S8:S9" si="15">$S$6-V8/1000</f>
        <v>1.0320869187881339</v>
      </c>
      <c r="T8" s="22">
        <f t="shared" ref="T8:T9" si="16">G8*S8</f>
        <v>128.9393080514532</v>
      </c>
      <c r="U8">
        <v>50</v>
      </c>
      <c r="V8">
        <v>196.91308121186614</v>
      </c>
      <c r="W8" s="131">
        <f t="shared" ref="W8:W37" si="17">O8*X8</f>
        <v>20197922.549470805</v>
      </c>
      <c r="X8">
        <f t="shared" ref="X8:X37" si="18">0.5*$P$2*T8*T8</f>
        <v>0.18661365980874997</v>
      </c>
      <c r="Y8" s="27">
        <f t="shared" ref="Y8:Y37" si="19">($R$2*$G8*$Q8)/(2*PI()*($D$2-$E$2))</f>
        <v>5.1511226252158906</v>
      </c>
    </row>
    <row r="9" spans="4:25" ht="15" thickBot="1" x14ac:dyDescent="0.4">
      <c r="D9" s="19" t="s">
        <v>85</v>
      </c>
      <c r="E9" s="20">
        <v>1</v>
      </c>
      <c r="F9" s="21">
        <v>1193</v>
      </c>
      <c r="G9" s="22">
        <f t="shared" si="7"/>
        <v>124.9306678577541</v>
      </c>
      <c r="H9" s="21">
        <f t="shared" si="1"/>
        <v>1.2290000000000001</v>
      </c>
      <c r="I9" s="22">
        <f t="shared" si="8"/>
        <v>153.53979079717979</v>
      </c>
      <c r="J9" s="23">
        <f t="shared" si="3"/>
        <v>3.5000000000000001E-3</v>
      </c>
      <c r="K9" s="21">
        <f t="shared" si="4"/>
        <v>0.28000000000000003</v>
      </c>
      <c r="L9" s="24">
        <f t="shared" si="5"/>
        <v>2.12</v>
      </c>
      <c r="M9" s="25">
        <f t="shared" si="9"/>
        <v>9.5597697962559037E-4</v>
      </c>
      <c r="N9" s="26">
        <f t="shared" si="10"/>
        <v>0.4097044198395387</v>
      </c>
      <c r="O9" s="26">
        <f t="shared" si="11"/>
        <v>129880669.42261702</v>
      </c>
      <c r="P9" s="22">
        <f t="shared" si="12"/>
        <v>1249.5984805105932</v>
      </c>
      <c r="Q9" s="21">
        <f t="shared" si="13"/>
        <v>3600</v>
      </c>
      <c r="R9" s="27">
        <f t="shared" si="14"/>
        <v>2.915729787858051</v>
      </c>
      <c r="S9" s="28">
        <f t="shared" si="15"/>
        <v>0.95880059962129194</v>
      </c>
      <c r="T9" s="22">
        <f t="shared" si="16"/>
        <v>119.78359925310309</v>
      </c>
      <c r="U9">
        <v>60</v>
      </c>
      <c r="V9">
        <v>270.19940037870816</v>
      </c>
      <c r="W9" s="131">
        <f t="shared" si="17"/>
        <v>20917606.81088499</v>
      </c>
      <c r="X9">
        <f t="shared" si="18"/>
        <v>0.16105250229979537</v>
      </c>
      <c r="Y9" s="27">
        <f t="shared" si="19"/>
        <v>6.1813471502590689</v>
      </c>
    </row>
    <row r="10" spans="4:25" ht="15" thickBot="1" x14ac:dyDescent="0.4">
      <c r="D10" s="19" t="s">
        <v>85</v>
      </c>
      <c r="E10" s="20">
        <v>2</v>
      </c>
      <c r="F10" s="21">
        <v>1193</v>
      </c>
      <c r="G10" s="22">
        <f t="shared" ref="G10" si="20">F10/60*2*PI()</f>
        <v>124.9306678577541</v>
      </c>
      <c r="H10" s="21">
        <f t="shared" si="1"/>
        <v>1.2290000000000001</v>
      </c>
      <c r="I10" s="22">
        <f t="shared" ref="I10" si="21">G10*H10</f>
        <v>153.53979079717979</v>
      </c>
      <c r="J10" s="23">
        <f t="shared" si="3"/>
        <v>3.5000000000000001E-3</v>
      </c>
      <c r="K10" s="21">
        <f t="shared" si="4"/>
        <v>0.28000000000000003</v>
      </c>
      <c r="L10" s="24">
        <f t="shared" si="5"/>
        <v>2.12</v>
      </c>
      <c r="M10" s="25">
        <f t="shared" ref="M10" si="22">($R$2*G10)/($S$2*($D$2-$E$2)*$L$2)</f>
        <v>9.5597697962559037E-4</v>
      </c>
      <c r="N10" s="26">
        <f t="shared" ref="N10" si="23">3/(2*$J$2)*M10</f>
        <v>0.4097044198395387</v>
      </c>
      <c r="O10" s="26">
        <f t="shared" si="11"/>
        <v>43293556.47420568</v>
      </c>
      <c r="P10" s="22">
        <f t="shared" ref="P10" si="24">(3/(2*$J$2))*R10</f>
        <v>416.53282683686444</v>
      </c>
      <c r="Q10" s="21">
        <f t="shared" ref="Q10" si="25">U10*60</f>
        <v>1200</v>
      </c>
      <c r="R10" s="27">
        <f t="shared" si="14"/>
        <v>0.97190992928601705</v>
      </c>
      <c r="S10" s="28">
        <f t="shared" ref="S10" si="26">$S$6-V10/1000</f>
        <v>1.1545116291307094</v>
      </c>
      <c r="T10" s="22">
        <f t="shared" ref="T10" si="27">G10*S10</f>
        <v>144.23390887684323</v>
      </c>
      <c r="U10">
        <v>20</v>
      </c>
      <c r="V10">
        <v>74.488370869290662</v>
      </c>
      <c r="W10" s="131">
        <f t="shared" si="17"/>
        <v>10109525.458900744</v>
      </c>
      <c r="X10">
        <f t="shared" si="18"/>
        <v>0.23351108761240263</v>
      </c>
      <c r="Y10" s="27">
        <f t="shared" si="19"/>
        <v>2.0604490500863566</v>
      </c>
    </row>
    <row r="11" spans="4:25" ht="15" thickBot="1" x14ac:dyDescent="0.4">
      <c r="D11" s="19" t="s">
        <v>85</v>
      </c>
      <c r="E11" s="20">
        <v>2</v>
      </c>
      <c r="F11" s="21">
        <v>1193</v>
      </c>
      <c r="G11" s="22">
        <f t="shared" ref="G11:G13" si="28">F11/60*2*PI()</f>
        <v>124.9306678577541</v>
      </c>
      <c r="H11" s="21">
        <f t="shared" si="1"/>
        <v>1.2290000000000001</v>
      </c>
      <c r="I11" s="22">
        <f t="shared" ref="I11:I13" si="29">G11*H11</f>
        <v>153.53979079717979</v>
      </c>
      <c r="J11" s="23">
        <f t="shared" si="3"/>
        <v>3.5000000000000001E-3</v>
      </c>
      <c r="K11" s="21">
        <f t="shared" si="4"/>
        <v>0.28000000000000003</v>
      </c>
      <c r="L11" s="24">
        <f t="shared" si="5"/>
        <v>2.12</v>
      </c>
      <c r="M11" s="25">
        <f t="shared" ref="M11:M13" si="30">($R$2*G11)/($S$2*($D$2-$E$2)*$L$2)</f>
        <v>9.5597697962559037E-4</v>
      </c>
      <c r="N11" s="26">
        <f t="shared" ref="N11:N13" si="31">3/(2*$J$2)*M11</f>
        <v>0.4097044198395387</v>
      </c>
      <c r="O11" s="26">
        <f t="shared" si="11"/>
        <v>64940334.711308509</v>
      </c>
      <c r="P11" s="22">
        <f t="shared" ref="P11:P13" si="32">(3/(2*$J$2))*R11</f>
        <v>624.79924025529658</v>
      </c>
      <c r="Q11" s="21">
        <f t="shared" ref="Q11:Q13" si="33">U11*60</f>
        <v>1800</v>
      </c>
      <c r="R11" s="27">
        <f t="shared" si="14"/>
        <v>1.4578648939290255</v>
      </c>
      <c r="S11" s="28">
        <f t="shared" ref="S11:S13" si="34">$S$6-V11/1000</f>
        <v>1.1278082508945486</v>
      </c>
      <c r="T11" s="22">
        <f t="shared" ref="T11:T13" si="35">G11*S11</f>
        <v>140.89783799974145</v>
      </c>
      <c r="U11">
        <v>30</v>
      </c>
      <c r="V11">
        <v>101.19174910545146</v>
      </c>
      <c r="W11" s="131">
        <f t="shared" si="17"/>
        <v>14470913.272516044</v>
      </c>
      <c r="X11">
        <f t="shared" si="18"/>
        <v>0.22283398040441765</v>
      </c>
      <c r="Y11" s="27">
        <f t="shared" si="19"/>
        <v>3.0906735751295344</v>
      </c>
    </row>
    <row r="12" spans="4:25" ht="15" thickBot="1" x14ac:dyDescent="0.4">
      <c r="D12" s="19" t="s">
        <v>85</v>
      </c>
      <c r="E12" s="20">
        <v>2</v>
      </c>
      <c r="F12" s="21">
        <v>1193</v>
      </c>
      <c r="G12" s="22">
        <f t="shared" si="28"/>
        <v>124.9306678577541</v>
      </c>
      <c r="H12" s="21">
        <f t="shared" si="1"/>
        <v>1.2290000000000001</v>
      </c>
      <c r="I12" s="22">
        <f t="shared" si="29"/>
        <v>153.53979079717979</v>
      </c>
      <c r="J12" s="23">
        <f t="shared" si="3"/>
        <v>3.5000000000000001E-3</v>
      </c>
      <c r="K12" s="21">
        <f t="shared" si="4"/>
        <v>0.28000000000000003</v>
      </c>
      <c r="L12" s="24">
        <f t="shared" si="5"/>
        <v>2.12</v>
      </c>
      <c r="M12" s="25">
        <f t="shared" si="30"/>
        <v>9.5597697962559037E-4</v>
      </c>
      <c r="N12" s="26">
        <f t="shared" si="31"/>
        <v>0.4097044198395387</v>
      </c>
      <c r="O12" s="26">
        <f t="shared" si="11"/>
        <v>86587112.94841136</v>
      </c>
      <c r="P12" s="22">
        <f t="shared" si="32"/>
        <v>833.06565367372889</v>
      </c>
      <c r="Q12" s="21">
        <f t="shared" si="33"/>
        <v>2400</v>
      </c>
      <c r="R12" s="27">
        <f t="shared" si="14"/>
        <v>1.9438198585720341</v>
      </c>
      <c r="S12" s="28">
        <f t="shared" si="34"/>
        <v>1.0362203483477164</v>
      </c>
      <c r="T12" s="22">
        <f t="shared" si="35"/>
        <v>129.45570016687481</v>
      </c>
      <c r="U12">
        <v>40</v>
      </c>
      <c r="V12">
        <v>192.77965165228372</v>
      </c>
      <c r="W12" s="131">
        <f t="shared" si="17"/>
        <v>16288023.038008833</v>
      </c>
      <c r="X12">
        <f t="shared" si="18"/>
        <v>0.18811139999220489</v>
      </c>
      <c r="Y12" s="27">
        <f t="shared" si="19"/>
        <v>4.1208981001727132</v>
      </c>
    </row>
    <row r="13" spans="4:25" ht="15" thickBot="1" x14ac:dyDescent="0.4">
      <c r="D13" s="19" t="s">
        <v>85</v>
      </c>
      <c r="E13" s="20">
        <v>2</v>
      </c>
      <c r="F13" s="21">
        <v>1193</v>
      </c>
      <c r="G13" s="22">
        <f t="shared" si="28"/>
        <v>124.9306678577541</v>
      </c>
      <c r="H13" s="21">
        <f t="shared" si="1"/>
        <v>1.2290000000000001</v>
      </c>
      <c r="I13" s="22">
        <f t="shared" si="29"/>
        <v>153.53979079717979</v>
      </c>
      <c r="J13" s="23">
        <f t="shared" si="3"/>
        <v>3.5000000000000001E-3</v>
      </c>
      <c r="K13" s="21">
        <f t="shared" si="4"/>
        <v>0.28000000000000003</v>
      </c>
      <c r="L13" s="24">
        <f t="shared" si="5"/>
        <v>2.12</v>
      </c>
      <c r="M13" s="25">
        <f t="shared" si="30"/>
        <v>9.5597697962559037E-4</v>
      </c>
      <c r="N13" s="26">
        <f t="shared" si="31"/>
        <v>0.4097044198395387</v>
      </c>
      <c r="O13" s="26">
        <f t="shared" si="11"/>
        <v>129880669.42261702</v>
      </c>
      <c r="P13" s="22">
        <f t="shared" si="32"/>
        <v>1249.5984805105932</v>
      </c>
      <c r="Q13" s="21">
        <f t="shared" si="33"/>
        <v>3600</v>
      </c>
      <c r="R13" s="27">
        <f t="shared" si="14"/>
        <v>2.915729787858051</v>
      </c>
      <c r="S13" s="28">
        <f t="shared" si="34"/>
        <v>0.99335439907387924</v>
      </c>
      <c r="T13" s="22">
        <f t="shared" si="35"/>
        <v>124.10042849573773</v>
      </c>
      <c r="U13">
        <v>60</v>
      </c>
      <c r="V13">
        <v>235.64560092612084</v>
      </c>
      <c r="W13" s="131">
        <f t="shared" si="17"/>
        <v>22452455.285122048</v>
      </c>
      <c r="X13">
        <f t="shared" si="18"/>
        <v>0.17286987651768485</v>
      </c>
      <c r="Y13" s="27">
        <f t="shared" si="19"/>
        <v>6.1813471502590689</v>
      </c>
    </row>
    <row r="14" spans="4:25" ht="15" thickBot="1" x14ac:dyDescent="0.4">
      <c r="D14" s="19" t="s">
        <v>85</v>
      </c>
      <c r="E14" s="20">
        <v>3</v>
      </c>
      <c r="F14" s="21">
        <v>1193</v>
      </c>
      <c r="G14" s="22">
        <f t="shared" ref="G14" si="36">F14/60*2*PI()</f>
        <v>124.9306678577541</v>
      </c>
      <c r="H14" s="21">
        <f t="shared" si="1"/>
        <v>1.2290000000000001</v>
      </c>
      <c r="I14" s="22">
        <f t="shared" ref="I14" si="37">G14*H14</f>
        <v>153.53979079717979</v>
      </c>
      <c r="J14" s="23">
        <f t="shared" si="3"/>
        <v>3.5000000000000001E-3</v>
      </c>
      <c r="K14" s="21">
        <f t="shared" si="4"/>
        <v>0.28000000000000003</v>
      </c>
      <c r="L14" s="24">
        <f t="shared" si="5"/>
        <v>2.12</v>
      </c>
      <c r="M14" s="25">
        <f t="shared" ref="M14" si="38">($R$2*G14)/($S$2*($D$2-$E$2)*$L$2)</f>
        <v>9.5597697962559037E-4</v>
      </c>
      <c r="N14" s="26">
        <f t="shared" ref="N14" si="39">3/(2*$J$2)*M14</f>
        <v>0.4097044198395387</v>
      </c>
      <c r="O14" s="26">
        <f t="shared" si="11"/>
        <v>43293556.47420568</v>
      </c>
      <c r="P14" s="22">
        <f t="shared" ref="P14" si="40">(3/(2*$J$2))*R14</f>
        <v>416.53282683686444</v>
      </c>
      <c r="Q14" s="21">
        <f t="shared" ref="Q14" si="41">U14*60</f>
        <v>1200</v>
      </c>
      <c r="R14" s="27">
        <f t="shared" si="14"/>
        <v>0.97190992928601705</v>
      </c>
      <c r="S14" s="28">
        <f t="shared" ref="S14" si="42">$S$6-V14/1000</f>
        <v>1.1407842987800001</v>
      </c>
      <c r="T14" s="22">
        <f t="shared" ref="T14" si="43">G14*S14</f>
        <v>142.5189443282251</v>
      </c>
      <c r="U14">
        <v>20</v>
      </c>
      <c r="V14">
        <v>88.21570122</v>
      </c>
      <c r="W14" s="131">
        <f t="shared" si="17"/>
        <v>9870546.9109358415</v>
      </c>
      <c r="X14">
        <f t="shared" si="18"/>
        <v>0.22799113112402114</v>
      </c>
      <c r="Y14" s="27">
        <f t="shared" si="19"/>
        <v>2.0604490500863566</v>
      </c>
    </row>
    <row r="15" spans="4:25" ht="15" thickBot="1" x14ac:dyDescent="0.4">
      <c r="D15" s="19" t="s">
        <v>85</v>
      </c>
      <c r="E15" s="20">
        <v>3</v>
      </c>
      <c r="F15" s="21">
        <v>1193</v>
      </c>
      <c r="G15" s="22">
        <f t="shared" ref="G15:G17" si="44">F15/60*2*PI()</f>
        <v>124.9306678577541</v>
      </c>
      <c r="H15" s="21">
        <f t="shared" si="1"/>
        <v>1.2290000000000001</v>
      </c>
      <c r="I15" s="22">
        <f t="shared" ref="I15:I17" si="45">G15*H15</f>
        <v>153.53979079717979</v>
      </c>
      <c r="J15" s="23">
        <f t="shared" si="3"/>
        <v>3.5000000000000001E-3</v>
      </c>
      <c r="K15" s="21">
        <f t="shared" si="4"/>
        <v>0.28000000000000003</v>
      </c>
      <c r="L15" s="24">
        <f t="shared" si="5"/>
        <v>2.12</v>
      </c>
      <c r="M15" s="25">
        <f t="shared" ref="M15:M17" si="46">($R$2*G15)/($S$2*($D$2-$E$2)*$L$2)</f>
        <v>9.5597697962559037E-4</v>
      </c>
      <c r="N15" s="26">
        <f t="shared" ref="N15:N17" si="47">3/(2*$J$2)*M15</f>
        <v>0.4097044198395387</v>
      </c>
      <c r="O15" s="26">
        <f t="shared" si="11"/>
        <v>64940334.711308509</v>
      </c>
      <c r="P15" s="22">
        <f t="shared" ref="P15:P17" si="48">(3/(2*$J$2))*R15</f>
        <v>624.79924025529658</v>
      </c>
      <c r="Q15" s="21">
        <f t="shared" ref="Q15:Q17" si="49">U15*60</f>
        <v>1800</v>
      </c>
      <c r="R15" s="27">
        <f t="shared" si="14"/>
        <v>1.4578648939290255</v>
      </c>
      <c r="S15" s="28">
        <f t="shared" ref="S15:S17" si="50">$S$6-V15/1000</f>
        <v>1.0682461890000001</v>
      </c>
      <c r="T15" s="22">
        <f t="shared" ref="T15:T17" si="51">G15*S15</f>
        <v>133.45670982827062</v>
      </c>
      <c r="U15" s="22">
        <v>30</v>
      </c>
      <c r="V15" s="29">
        <v>160.75381100000001</v>
      </c>
      <c r="W15" s="131">
        <f t="shared" si="17"/>
        <v>12982792.320875306</v>
      </c>
      <c r="X15">
        <f t="shared" si="18"/>
        <v>0.19991877742223157</v>
      </c>
      <c r="Y15" s="27">
        <f t="shared" si="19"/>
        <v>3.0906735751295344</v>
      </c>
    </row>
    <row r="16" spans="4:25" ht="15" thickBot="1" x14ac:dyDescent="0.4">
      <c r="D16" s="19" t="s">
        <v>85</v>
      </c>
      <c r="E16" s="20">
        <v>3</v>
      </c>
      <c r="F16" s="21">
        <v>1193</v>
      </c>
      <c r="G16" s="22">
        <f t="shared" si="44"/>
        <v>124.9306678577541</v>
      </c>
      <c r="H16" s="21">
        <f t="shared" si="1"/>
        <v>1.2290000000000001</v>
      </c>
      <c r="I16" s="22">
        <f t="shared" si="45"/>
        <v>153.53979079717979</v>
      </c>
      <c r="J16" s="23">
        <f t="shared" si="3"/>
        <v>3.5000000000000001E-3</v>
      </c>
      <c r="K16" s="21">
        <f t="shared" si="4"/>
        <v>0.28000000000000003</v>
      </c>
      <c r="L16" s="24">
        <f t="shared" si="5"/>
        <v>2.12</v>
      </c>
      <c r="M16" s="25">
        <f t="shared" si="46"/>
        <v>9.5597697962559037E-4</v>
      </c>
      <c r="N16" s="26">
        <f t="shared" si="47"/>
        <v>0.4097044198395387</v>
      </c>
      <c r="O16" s="26">
        <f t="shared" si="11"/>
        <v>86587112.94841136</v>
      </c>
      <c r="P16" s="22">
        <f t="shared" si="48"/>
        <v>833.06565367372889</v>
      </c>
      <c r="Q16" s="21">
        <f t="shared" si="49"/>
        <v>2400</v>
      </c>
      <c r="R16" s="27">
        <f t="shared" si="14"/>
        <v>1.9438198585720341</v>
      </c>
      <c r="S16" s="28">
        <f t="shared" si="50"/>
        <v>0.99828201220000012</v>
      </c>
      <c r="T16" s="22">
        <f t="shared" si="51"/>
        <v>124.71603849452865</v>
      </c>
      <c r="U16" s="22">
        <v>40</v>
      </c>
      <c r="V16" s="29">
        <v>230.7179878</v>
      </c>
      <c r="W16" s="131">
        <f t="shared" si="17"/>
        <v>15117174.762536354</v>
      </c>
      <c r="X16">
        <f t="shared" si="18"/>
        <v>0.17458919979862561</v>
      </c>
      <c r="Y16" s="27">
        <f t="shared" si="19"/>
        <v>4.1208981001727132</v>
      </c>
    </row>
    <row r="17" spans="4:25" ht="15" thickBot="1" x14ac:dyDescent="0.4">
      <c r="D17" s="19" t="s">
        <v>85</v>
      </c>
      <c r="E17" s="20">
        <v>3</v>
      </c>
      <c r="F17" s="21">
        <v>1193</v>
      </c>
      <c r="G17" s="22">
        <f t="shared" si="44"/>
        <v>124.9306678577541</v>
      </c>
      <c r="H17" s="21">
        <f t="shared" si="1"/>
        <v>1.2290000000000001</v>
      </c>
      <c r="I17" s="22">
        <f t="shared" si="45"/>
        <v>153.53979079717979</v>
      </c>
      <c r="J17" s="23">
        <f t="shared" si="3"/>
        <v>3.5000000000000001E-3</v>
      </c>
      <c r="K17" s="21">
        <f t="shared" si="4"/>
        <v>0.28000000000000003</v>
      </c>
      <c r="L17" s="24">
        <f t="shared" si="5"/>
        <v>2.12</v>
      </c>
      <c r="M17" s="25">
        <f t="shared" si="46"/>
        <v>9.5597697962559037E-4</v>
      </c>
      <c r="N17" s="26">
        <f t="shared" si="47"/>
        <v>0.4097044198395387</v>
      </c>
      <c r="O17" s="26">
        <f t="shared" si="11"/>
        <v>129880669.42261702</v>
      </c>
      <c r="P17" s="22">
        <f t="shared" si="48"/>
        <v>1249.5984805105932</v>
      </c>
      <c r="Q17" s="21">
        <f t="shared" si="49"/>
        <v>3600</v>
      </c>
      <c r="R17" s="27">
        <f t="shared" si="14"/>
        <v>2.915729787858051</v>
      </c>
      <c r="S17" s="28">
        <f t="shared" si="50"/>
        <v>0.99173018290000003</v>
      </c>
      <c r="T17" s="22">
        <f t="shared" si="51"/>
        <v>123.89751408438963</v>
      </c>
      <c r="U17" s="22">
        <v>60</v>
      </c>
      <c r="V17" s="29">
        <v>237.26981710000001</v>
      </c>
      <c r="W17" s="131">
        <f t="shared" si="17"/>
        <v>22379092.088151079</v>
      </c>
      <c r="X17">
        <f t="shared" si="18"/>
        <v>0.17230502574122131</v>
      </c>
      <c r="Y17" s="27">
        <f t="shared" si="19"/>
        <v>6.1813471502590689</v>
      </c>
    </row>
    <row r="18" spans="4:25" ht="15" thickBot="1" x14ac:dyDescent="0.4">
      <c r="D18" s="19" t="s">
        <v>92</v>
      </c>
      <c r="E18" s="20">
        <v>1</v>
      </c>
      <c r="F18" s="21">
        <v>996</v>
      </c>
      <c r="G18" s="22">
        <f t="shared" ref="G18" si="52">F18/60*2*PI()</f>
        <v>104.30087609918114</v>
      </c>
      <c r="H18" s="21">
        <f t="shared" si="1"/>
        <v>1.2290000000000001</v>
      </c>
      <c r="I18" s="22">
        <f t="shared" ref="I18" si="53">G18*H18</f>
        <v>128.18577672589362</v>
      </c>
      <c r="J18" s="23">
        <f t="shared" si="3"/>
        <v>3.5000000000000001E-3</v>
      </c>
      <c r="K18" s="21">
        <f t="shared" si="4"/>
        <v>0.28000000000000003</v>
      </c>
      <c r="L18" s="24">
        <f t="shared" si="5"/>
        <v>2.12</v>
      </c>
      <c r="M18" s="25">
        <f t="shared" ref="M18" si="54">($R$2*G18)/($S$2*($D$2-$E$2)*$L$2)</f>
        <v>7.9811657309898426E-4</v>
      </c>
      <c r="N18" s="26">
        <f t="shared" ref="N18" si="55">3/(2*$J$2)*M18</f>
        <v>0.34204995989956466</v>
      </c>
      <c r="O18" s="26">
        <f t="shared" si="11"/>
        <v>162650226.41860005</v>
      </c>
      <c r="P18" s="22">
        <f t="shared" ref="P18" si="56">(3/(2*$J$2))*R18</f>
        <v>1564.8785665405082</v>
      </c>
      <c r="Q18" s="21">
        <f t="shared" ref="Q18" si="57">U18*60</f>
        <v>5400</v>
      </c>
      <c r="R18" s="27">
        <f t="shared" si="14"/>
        <v>3.6513833219278529</v>
      </c>
      <c r="S18" s="28">
        <f t="shared" ref="S18" si="58">$S$6-V18/1000</f>
        <v>1.19930150767</v>
      </c>
      <c r="T18" s="22">
        <f t="shared" ref="T18" si="59">G18*S18</f>
        <v>125.0881979570498</v>
      </c>
      <c r="U18" s="22">
        <v>90</v>
      </c>
      <c r="V18" s="29">
        <v>29.698492330000001</v>
      </c>
      <c r="W18" s="131">
        <f t="shared" si="17"/>
        <v>28566701.973071992</v>
      </c>
      <c r="X18">
        <f t="shared" si="18"/>
        <v>0.1756327218355794</v>
      </c>
      <c r="Y18" s="27">
        <f t="shared" si="19"/>
        <v>7.7409326424870493</v>
      </c>
    </row>
    <row r="19" spans="4:25" ht="15" thickBot="1" x14ac:dyDescent="0.4">
      <c r="D19" s="19" t="s">
        <v>92</v>
      </c>
      <c r="E19" s="20">
        <v>1</v>
      </c>
      <c r="F19" s="21">
        <v>996</v>
      </c>
      <c r="G19" s="22">
        <f t="shared" ref="G19:G23" si="60">F19/60*2*PI()</f>
        <v>104.30087609918114</v>
      </c>
      <c r="H19" s="21">
        <f t="shared" si="1"/>
        <v>1.2290000000000001</v>
      </c>
      <c r="I19" s="22">
        <f t="shared" ref="I19:I23" si="61">G19*H19</f>
        <v>128.18577672589362</v>
      </c>
      <c r="J19" s="23">
        <f t="shared" si="3"/>
        <v>3.5000000000000001E-3</v>
      </c>
      <c r="K19" s="21">
        <f t="shared" si="4"/>
        <v>0.28000000000000003</v>
      </c>
      <c r="L19" s="24">
        <f t="shared" si="5"/>
        <v>2.12</v>
      </c>
      <c r="M19" s="25">
        <f t="shared" ref="M19:M23" si="62">($R$2*G19)/($S$2*($D$2-$E$2)*$L$2)</f>
        <v>7.9811657309898426E-4</v>
      </c>
      <c r="N19" s="26">
        <f t="shared" ref="N19:N23" si="63">3/(2*$J$2)*M19</f>
        <v>0.34204995989956466</v>
      </c>
      <c r="O19" s="26">
        <f t="shared" si="11"/>
        <v>189758597.48836675</v>
      </c>
      <c r="P19" s="22">
        <f t="shared" ref="P19:P23" si="64">(3/(2*$J$2))*R19</f>
        <v>1825.6916609639266</v>
      </c>
      <c r="Q19" s="21">
        <f t="shared" ref="Q19:Q23" si="65">U19*60</f>
        <v>6300</v>
      </c>
      <c r="R19" s="27">
        <f t="shared" si="14"/>
        <v>4.259947208915829</v>
      </c>
      <c r="S19" s="28">
        <f t="shared" ref="S19:S23" si="66">$S$6-V19/1000</f>
        <v>1.1158183442</v>
      </c>
      <c r="T19" s="22">
        <f t="shared" ref="T19:T23" si="67">G19*S19</f>
        <v>116.38083086759765</v>
      </c>
      <c r="U19" s="22">
        <v>105</v>
      </c>
      <c r="V19" s="29">
        <v>113.1816558</v>
      </c>
      <c r="W19" s="131">
        <f t="shared" si="17"/>
        <v>28849422.785649415</v>
      </c>
      <c r="X19">
        <f t="shared" si="18"/>
        <v>0.15203223025200766</v>
      </c>
      <c r="Y19" s="27">
        <f t="shared" si="19"/>
        <v>9.0310880829015581</v>
      </c>
    </row>
    <row r="20" spans="4:25" ht="15" thickBot="1" x14ac:dyDescent="0.4">
      <c r="D20" s="19" t="s">
        <v>92</v>
      </c>
      <c r="E20" s="20">
        <v>1</v>
      </c>
      <c r="F20" s="21">
        <v>996</v>
      </c>
      <c r="G20" s="22">
        <f t="shared" si="60"/>
        <v>104.30087609918114</v>
      </c>
      <c r="H20" s="21">
        <f t="shared" si="1"/>
        <v>1.2290000000000001</v>
      </c>
      <c r="I20" s="22">
        <f t="shared" si="61"/>
        <v>128.18577672589362</v>
      </c>
      <c r="J20" s="23">
        <f t="shared" si="3"/>
        <v>3.5000000000000001E-3</v>
      </c>
      <c r="K20" s="21">
        <f t="shared" si="4"/>
        <v>0.28000000000000003</v>
      </c>
      <c r="L20" s="24">
        <f t="shared" si="5"/>
        <v>2.12</v>
      </c>
      <c r="M20" s="25">
        <f t="shared" si="62"/>
        <v>7.9811657309898426E-4</v>
      </c>
      <c r="N20" s="26">
        <f t="shared" si="63"/>
        <v>0.34204995989956466</v>
      </c>
      <c r="O20" s="26">
        <f t="shared" si="11"/>
        <v>216866968.55813342</v>
      </c>
      <c r="P20" s="22">
        <f t="shared" si="64"/>
        <v>2086.5047553873446</v>
      </c>
      <c r="Q20" s="21">
        <f t="shared" si="65"/>
        <v>7200</v>
      </c>
      <c r="R20" s="27">
        <f t="shared" si="14"/>
        <v>4.8685110959038047</v>
      </c>
      <c r="S20" s="28">
        <f t="shared" si="66"/>
        <v>1.0921998582000001</v>
      </c>
      <c r="T20" s="22">
        <f t="shared" si="67"/>
        <v>113.91740208566142</v>
      </c>
      <c r="U20" s="22">
        <v>120</v>
      </c>
      <c r="V20" s="29">
        <v>136.80014180000001</v>
      </c>
      <c r="W20" s="131">
        <f t="shared" si="17"/>
        <v>31589759.018365614</v>
      </c>
      <c r="X20">
        <f t="shared" si="18"/>
        <v>0.14566422553141214</v>
      </c>
      <c r="Y20" s="27">
        <f t="shared" si="19"/>
        <v>10.321243523316067</v>
      </c>
    </row>
    <row r="21" spans="4:25" ht="15" thickBot="1" x14ac:dyDescent="0.4">
      <c r="D21" s="19" t="s">
        <v>92</v>
      </c>
      <c r="E21" s="20">
        <v>1</v>
      </c>
      <c r="F21" s="21">
        <v>996</v>
      </c>
      <c r="G21" s="22">
        <f t="shared" si="60"/>
        <v>104.30087609918114</v>
      </c>
      <c r="H21" s="21">
        <f t="shared" si="1"/>
        <v>1.2290000000000001</v>
      </c>
      <c r="I21" s="22">
        <f t="shared" si="61"/>
        <v>128.18577672589362</v>
      </c>
      <c r="J21" s="23">
        <f t="shared" si="3"/>
        <v>3.5000000000000001E-3</v>
      </c>
      <c r="K21" s="21">
        <f t="shared" si="4"/>
        <v>0.28000000000000003</v>
      </c>
      <c r="L21" s="24">
        <f t="shared" si="5"/>
        <v>2.12</v>
      </c>
      <c r="M21" s="25">
        <f t="shared" si="62"/>
        <v>7.9811657309898426E-4</v>
      </c>
      <c r="N21" s="26">
        <f t="shared" si="63"/>
        <v>0.34204995989956466</v>
      </c>
      <c r="O21" s="26">
        <f t="shared" si="11"/>
        <v>243975339.62790009</v>
      </c>
      <c r="P21" s="22">
        <f t="shared" si="64"/>
        <v>2347.3178498107627</v>
      </c>
      <c r="Q21" s="21">
        <f t="shared" si="65"/>
        <v>8100</v>
      </c>
      <c r="R21" s="27">
        <f t="shared" si="14"/>
        <v>5.4770749828917795</v>
      </c>
      <c r="S21" s="28">
        <f t="shared" si="66"/>
        <v>1.0704521433</v>
      </c>
      <c r="T21" s="22">
        <f t="shared" si="67"/>
        <v>111.6490963684362</v>
      </c>
      <c r="U21" s="22">
        <v>135</v>
      </c>
      <c r="V21" s="29">
        <v>158.54785670000001</v>
      </c>
      <c r="W21" s="131">
        <f t="shared" si="17"/>
        <v>34137295.841809817</v>
      </c>
      <c r="X21">
        <f t="shared" si="18"/>
        <v>0.13992109159013547</v>
      </c>
      <c r="Y21" s="27">
        <f t="shared" si="19"/>
        <v>11.611398963730576</v>
      </c>
    </row>
    <row r="22" spans="4:25" ht="15" thickBot="1" x14ac:dyDescent="0.4">
      <c r="D22" s="19" t="s">
        <v>92</v>
      </c>
      <c r="E22" s="20">
        <v>1</v>
      </c>
      <c r="F22" s="21">
        <v>996</v>
      </c>
      <c r="G22" s="22">
        <f t="shared" si="60"/>
        <v>104.30087609918114</v>
      </c>
      <c r="H22" s="21">
        <f t="shared" si="1"/>
        <v>1.2290000000000001</v>
      </c>
      <c r="I22" s="22">
        <f t="shared" si="61"/>
        <v>128.18577672589362</v>
      </c>
      <c r="J22" s="23">
        <f t="shared" si="3"/>
        <v>3.5000000000000001E-3</v>
      </c>
      <c r="K22" s="21">
        <f t="shared" si="4"/>
        <v>0.28000000000000003</v>
      </c>
      <c r="L22" s="24">
        <f t="shared" si="5"/>
        <v>2.12</v>
      </c>
      <c r="M22" s="25">
        <f t="shared" si="62"/>
        <v>7.9811657309898426E-4</v>
      </c>
      <c r="N22" s="26">
        <f t="shared" si="63"/>
        <v>0.34204995989956466</v>
      </c>
      <c r="O22" s="26">
        <f t="shared" si="11"/>
        <v>298192081.76743346</v>
      </c>
      <c r="P22" s="22">
        <f t="shared" si="64"/>
        <v>2868.9440386575989</v>
      </c>
      <c r="Q22" s="21">
        <f t="shared" si="65"/>
        <v>9900</v>
      </c>
      <c r="R22" s="27">
        <f t="shared" si="14"/>
        <v>6.6942027568677309</v>
      </c>
      <c r="S22" s="28">
        <f t="shared" si="66"/>
        <v>1.0321013343000001</v>
      </c>
      <c r="T22" s="22">
        <f t="shared" si="67"/>
        <v>107.64907339062384</v>
      </c>
      <c r="U22" s="22">
        <v>165</v>
      </c>
      <c r="V22" s="29">
        <v>196.89866570000001</v>
      </c>
      <c r="W22" s="131">
        <f t="shared" si="17"/>
        <v>38787291.893262208</v>
      </c>
      <c r="X22">
        <f t="shared" si="18"/>
        <v>0.13007485531930812</v>
      </c>
      <c r="Y22" s="27">
        <f t="shared" si="19"/>
        <v>14.191709844559592</v>
      </c>
    </row>
    <row r="23" spans="4:25" ht="15" thickBot="1" x14ac:dyDescent="0.4">
      <c r="D23" s="19" t="s">
        <v>92</v>
      </c>
      <c r="E23" s="20">
        <v>1</v>
      </c>
      <c r="F23" s="21">
        <v>996</v>
      </c>
      <c r="G23" s="22">
        <f t="shared" si="60"/>
        <v>104.30087609918114</v>
      </c>
      <c r="H23" s="21">
        <f t="shared" si="1"/>
        <v>1.2290000000000001</v>
      </c>
      <c r="I23" s="22">
        <f t="shared" si="61"/>
        <v>128.18577672589362</v>
      </c>
      <c r="J23" s="23">
        <f t="shared" si="3"/>
        <v>3.5000000000000001E-3</v>
      </c>
      <c r="K23" s="21">
        <f t="shared" si="4"/>
        <v>0.28000000000000003</v>
      </c>
      <c r="L23" s="24">
        <f t="shared" si="5"/>
        <v>2.12</v>
      </c>
      <c r="M23" s="25">
        <f t="shared" si="62"/>
        <v>7.9811657309898426E-4</v>
      </c>
      <c r="N23" s="26">
        <f t="shared" si="63"/>
        <v>0.34204995989956466</v>
      </c>
      <c r="O23" s="26">
        <f t="shared" si="11"/>
        <v>325300452.83720011</v>
      </c>
      <c r="P23" s="22">
        <f t="shared" si="64"/>
        <v>3129.7571330810165</v>
      </c>
      <c r="Q23" s="21">
        <f t="shared" si="65"/>
        <v>10800</v>
      </c>
      <c r="R23" s="27">
        <f t="shared" si="14"/>
        <v>7.3027666438557057</v>
      </c>
      <c r="S23" s="28">
        <f t="shared" si="66"/>
        <v>1.0220459393000001</v>
      </c>
      <c r="T23" s="22">
        <f t="shared" si="67"/>
        <v>106.60028688260051</v>
      </c>
      <c r="U23" s="22">
        <v>180</v>
      </c>
      <c r="V23" s="29">
        <v>206.95406070000001</v>
      </c>
      <c r="W23" s="131">
        <f t="shared" si="17"/>
        <v>41492936.792937681</v>
      </c>
      <c r="X23">
        <f t="shared" si="18"/>
        <v>0.12755265610928382</v>
      </c>
      <c r="Y23" s="27">
        <f t="shared" si="19"/>
        <v>15.481865284974099</v>
      </c>
    </row>
    <row r="24" spans="4:25" ht="15" thickBot="1" x14ac:dyDescent="0.4">
      <c r="D24" s="19" t="s">
        <v>92</v>
      </c>
      <c r="E24" s="20">
        <v>2</v>
      </c>
      <c r="F24" s="21">
        <v>996</v>
      </c>
      <c r="G24" s="22">
        <f t="shared" ref="G24" si="68">F24/60*2*PI()</f>
        <v>104.30087609918114</v>
      </c>
      <c r="H24" s="21">
        <f t="shared" si="1"/>
        <v>1.2290000000000001</v>
      </c>
      <c r="I24" s="22">
        <f t="shared" ref="I24" si="69">G24*H24</f>
        <v>128.18577672589362</v>
      </c>
      <c r="J24" s="23">
        <f t="shared" si="3"/>
        <v>3.5000000000000001E-3</v>
      </c>
      <c r="K24" s="21">
        <f t="shared" si="4"/>
        <v>0.28000000000000003</v>
      </c>
      <c r="L24" s="24">
        <f t="shared" si="5"/>
        <v>2.12</v>
      </c>
      <c r="M24" s="25">
        <f t="shared" ref="M24" si="70">($R$2*G24)/($S$2*($D$2-$E$2)*$L$2)</f>
        <v>7.9811657309898426E-4</v>
      </c>
      <c r="N24" s="26">
        <f t="shared" ref="N24" si="71">3/(2*$J$2)*M24</f>
        <v>0.34204995989956466</v>
      </c>
      <c r="O24" s="26">
        <f t="shared" si="11"/>
        <v>108433484.27906671</v>
      </c>
      <c r="P24" s="22">
        <f t="shared" ref="P24" si="72">(3/(2*$J$2))*R24</f>
        <v>1043.2523776936723</v>
      </c>
      <c r="Q24" s="21">
        <f t="shared" ref="Q24" si="73">U24*60</f>
        <v>3600</v>
      </c>
      <c r="R24" s="27">
        <f t="shared" si="14"/>
        <v>2.4342555479519024</v>
      </c>
      <c r="S24" s="28">
        <f t="shared" ref="S24" si="74">$S$6-V24/1000</f>
        <v>1.1754491752469007</v>
      </c>
      <c r="T24" s="22">
        <f t="shared" ref="T24" si="75">G24*S24</f>
        <v>122.60037878831164</v>
      </c>
      <c r="U24">
        <v>60</v>
      </c>
      <c r="V24">
        <v>53.550824753099391</v>
      </c>
      <c r="W24" s="131">
        <f t="shared" si="17"/>
        <v>18294468.505622923</v>
      </c>
      <c r="X24">
        <f t="shared" si="18"/>
        <v>0.1687160440085084</v>
      </c>
      <c r="Y24" s="27">
        <f t="shared" si="19"/>
        <v>5.1606217616580334</v>
      </c>
    </row>
    <row r="25" spans="4:25" ht="15" thickBot="1" x14ac:dyDescent="0.4">
      <c r="D25" s="19" t="s">
        <v>92</v>
      </c>
      <c r="E25" s="20">
        <v>2</v>
      </c>
      <c r="F25" s="21">
        <v>996</v>
      </c>
      <c r="G25" s="22">
        <f t="shared" ref="G25:G30" si="76">F25/60*2*PI()</f>
        <v>104.30087609918114</v>
      </c>
      <c r="H25" s="21">
        <f t="shared" si="1"/>
        <v>1.2290000000000001</v>
      </c>
      <c r="I25" s="22">
        <f t="shared" ref="I25:I30" si="77">G25*H25</f>
        <v>128.18577672589362</v>
      </c>
      <c r="J25" s="23">
        <f t="shared" si="3"/>
        <v>3.5000000000000001E-3</v>
      </c>
      <c r="K25" s="21">
        <f t="shared" si="4"/>
        <v>0.28000000000000003</v>
      </c>
      <c r="L25" s="24">
        <f t="shared" si="5"/>
        <v>2.12</v>
      </c>
      <c r="M25" s="25">
        <f t="shared" ref="M25:M30" si="78">($R$2*G25)/($S$2*($D$2-$E$2)*$L$2)</f>
        <v>7.9811657309898426E-4</v>
      </c>
      <c r="N25" s="26">
        <f t="shared" ref="N25:N30" si="79">3/(2*$J$2)*M25</f>
        <v>0.34204995989956466</v>
      </c>
      <c r="O25" s="26">
        <f t="shared" si="11"/>
        <v>135541855.34883338</v>
      </c>
      <c r="P25" s="22">
        <f t="shared" ref="P25:P30" si="80">(3/(2*$J$2))*R25</f>
        <v>1304.0654721170904</v>
      </c>
      <c r="Q25" s="21">
        <f t="shared" ref="Q25:Q30" si="81">U25*60</f>
        <v>4500</v>
      </c>
      <c r="R25" s="27">
        <f t="shared" si="14"/>
        <v>3.0428194349398776</v>
      </c>
      <c r="S25" s="28">
        <f t="shared" ref="S25:S30" si="82">$S$6-V25/1000</f>
        <v>1.1347599022903971</v>
      </c>
      <c r="T25" s="22">
        <f t="shared" ref="T25:T30" si="83">G25*S25</f>
        <v>118.35645197110961</v>
      </c>
      <c r="U25">
        <v>75</v>
      </c>
      <c r="V25">
        <v>94.240097709602864</v>
      </c>
      <c r="W25" s="131">
        <f t="shared" si="17"/>
        <v>21312287.2536062</v>
      </c>
      <c r="X25">
        <f t="shared" si="18"/>
        <v>0.15723768277154276</v>
      </c>
      <c r="Y25" s="27">
        <f t="shared" si="19"/>
        <v>6.4507772020725413</v>
      </c>
    </row>
    <row r="26" spans="4:25" ht="15" thickBot="1" x14ac:dyDescent="0.4">
      <c r="D26" s="19" t="s">
        <v>92</v>
      </c>
      <c r="E26" s="20">
        <v>2</v>
      </c>
      <c r="F26" s="21">
        <v>996</v>
      </c>
      <c r="G26" s="22">
        <f t="shared" si="76"/>
        <v>104.30087609918114</v>
      </c>
      <c r="H26" s="21">
        <f t="shared" si="1"/>
        <v>1.2290000000000001</v>
      </c>
      <c r="I26" s="22">
        <f t="shared" si="77"/>
        <v>128.18577672589362</v>
      </c>
      <c r="J26" s="23">
        <f t="shared" si="3"/>
        <v>3.5000000000000001E-3</v>
      </c>
      <c r="K26" s="21">
        <f t="shared" si="4"/>
        <v>0.28000000000000003</v>
      </c>
      <c r="L26" s="24">
        <f t="shared" si="5"/>
        <v>2.12</v>
      </c>
      <c r="M26" s="25">
        <f t="shared" si="78"/>
        <v>7.9811657309898426E-4</v>
      </c>
      <c r="N26" s="26">
        <f t="shared" si="79"/>
        <v>0.34204995989956466</v>
      </c>
      <c r="O26" s="26">
        <f t="shared" si="11"/>
        <v>162650226.41860005</v>
      </c>
      <c r="P26" s="22">
        <f t="shared" si="80"/>
        <v>1564.8785665405082</v>
      </c>
      <c r="Q26" s="21">
        <f t="shared" si="81"/>
        <v>5400</v>
      </c>
      <c r="R26" s="27">
        <f t="shared" si="14"/>
        <v>3.6513833219278529</v>
      </c>
      <c r="S26" s="28">
        <f t="shared" si="82"/>
        <v>1.125873739230931</v>
      </c>
      <c r="T26" s="22">
        <f t="shared" si="83"/>
        <v>117.42961737884711</v>
      </c>
      <c r="U26">
        <v>90</v>
      </c>
      <c r="V26">
        <v>103.12626076906913</v>
      </c>
      <c r="W26" s="131">
        <f t="shared" si="17"/>
        <v>25175767.751475215</v>
      </c>
      <c r="X26">
        <f t="shared" si="18"/>
        <v>0.15478470768729413</v>
      </c>
      <c r="Y26" s="27">
        <f t="shared" si="19"/>
        <v>7.7409326424870493</v>
      </c>
    </row>
    <row r="27" spans="4:25" ht="15" thickBot="1" x14ac:dyDescent="0.4">
      <c r="D27" s="19" t="s">
        <v>92</v>
      </c>
      <c r="E27" s="20">
        <v>2</v>
      </c>
      <c r="F27" s="21">
        <v>996</v>
      </c>
      <c r="G27" s="22">
        <f t="shared" si="76"/>
        <v>104.30087609918114</v>
      </c>
      <c r="H27" s="21">
        <f t="shared" si="1"/>
        <v>1.2290000000000001</v>
      </c>
      <c r="I27" s="22">
        <f t="shared" si="77"/>
        <v>128.18577672589362</v>
      </c>
      <c r="J27" s="23">
        <f t="shared" si="3"/>
        <v>3.5000000000000001E-3</v>
      </c>
      <c r="K27" s="21">
        <f t="shared" si="4"/>
        <v>0.28000000000000003</v>
      </c>
      <c r="L27" s="24">
        <f t="shared" si="5"/>
        <v>2.12</v>
      </c>
      <c r="M27" s="25">
        <f t="shared" si="78"/>
        <v>7.9811657309898426E-4</v>
      </c>
      <c r="N27" s="26">
        <f t="shared" si="79"/>
        <v>0.34204995989956466</v>
      </c>
      <c r="O27" s="26">
        <f t="shared" si="11"/>
        <v>189758597.48836675</v>
      </c>
      <c r="P27" s="22">
        <f t="shared" si="80"/>
        <v>1825.6916609639266</v>
      </c>
      <c r="Q27" s="21">
        <f t="shared" si="81"/>
        <v>6300</v>
      </c>
      <c r="R27" s="27">
        <f t="shared" si="14"/>
        <v>4.259947208915829</v>
      </c>
      <c r="S27" s="28">
        <f t="shared" si="82"/>
        <v>1.1071660275267914</v>
      </c>
      <c r="T27" s="22">
        <f t="shared" si="83"/>
        <v>115.47838665829444</v>
      </c>
      <c r="U27">
        <v>105</v>
      </c>
      <c r="V27">
        <v>121.83397247320865</v>
      </c>
      <c r="W27" s="131">
        <f t="shared" si="17"/>
        <v>28403747.09112335</v>
      </c>
      <c r="X27">
        <f t="shared" si="18"/>
        <v>0.14968358465478571</v>
      </c>
      <c r="Y27" s="27">
        <f t="shared" si="19"/>
        <v>9.0310880829015581</v>
      </c>
    </row>
    <row r="28" spans="4:25" ht="15" thickBot="1" x14ac:dyDescent="0.4">
      <c r="D28" s="19" t="s">
        <v>92</v>
      </c>
      <c r="E28" s="20">
        <v>2</v>
      </c>
      <c r="F28" s="21">
        <v>996</v>
      </c>
      <c r="G28" s="22">
        <f t="shared" si="76"/>
        <v>104.30087609918114</v>
      </c>
      <c r="H28" s="21">
        <f t="shared" si="1"/>
        <v>1.2290000000000001</v>
      </c>
      <c r="I28" s="22">
        <f t="shared" si="77"/>
        <v>128.18577672589362</v>
      </c>
      <c r="J28" s="23">
        <f t="shared" si="3"/>
        <v>3.5000000000000001E-3</v>
      </c>
      <c r="K28" s="21">
        <f t="shared" si="4"/>
        <v>0.28000000000000003</v>
      </c>
      <c r="L28" s="24">
        <f t="shared" si="5"/>
        <v>2.12</v>
      </c>
      <c r="M28" s="25">
        <f t="shared" si="78"/>
        <v>7.9811657309898426E-4</v>
      </c>
      <c r="N28" s="26">
        <f t="shared" si="79"/>
        <v>0.34204995989956466</v>
      </c>
      <c r="O28" s="26">
        <f t="shared" si="11"/>
        <v>243975339.62790009</v>
      </c>
      <c r="P28" s="22">
        <f t="shared" si="80"/>
        <v>2347.3178498107627</v>
      </c>
      <c r="Q28" s="21">
        <f t="shared" si="81"/>
        <v>8100</v>
      </c>
      <c r="R28" s="27">
        <f t="shared" si="14"/>
        <v>5.4770749828917795</v>
      </c>
      <c r="S28" s="28">
        <f t="shared" si="82"/>
        <v>1.0975783252784199</v>
      </c>
      <c r="T28" s="22">
        <f t="shared" si="83"/>
        <v>114.47838091401121</v>
      </c>
      <c r="U28">
        <v>135</v>
      </c>
      <c r="V28">
        <v>131.42167472158019</v>
      </c>
      <c r="W28" s="131">
        <f t="shared" si="17"/>
        <v>35889354.556029454</v>
      </c>
      <c r="X28">
        <f t="shared" si="18"/>
        <v>0.14710238588361527</v>
      </c>
      <c r="Y28" s="27">
        <f t="shared" si="19"/>
        <v>11.611398963730576</v>
      </c>
    </row>
    <row r="29" spans="4:25" ht="15" thickBot="1" x14ac:dyDescent="0.4">
      <c r="D29" s="19" t="s">
        <v>92</v>
      </c>
      <c r="E29" s="20">
        <v>2</v>
      </c>
      <c r="F29" s="21">
        <v>996</v>
      </c>
      <c r="G29" s="22">
        <f t="shared" si="76"/>
        <v>104.30087609918114</v>
      </c>
      <c r="H29" s="21">
        <f t="shared" si="1"/>
        <v>1.2290000000000001</v>
      </c>
      <c r="I29" s="22">
        <f t="shared" si="77"/>
        <v>128.18577672589362</v>
      </c>
      <c r="J29" s="23">
        <f t="shared" si="3"/>
        <v>3.5000000000000001E-3</v>
      </c>
      <c r="K29" s="21">
        <f t="shared" si="4"/>
        <v>0.28000000000000003</v>
      </c>
      <c r="L29" s="24">
        <f t="shared" si="5"/>
        <v>2.12</v>
      </c>
      <c r="M29" s="25">
        <f t="shared" si="78"/>
        <v>7.9811657309898426E-4</v>
      </c>
      <c r="N29" s="26">
        <f t="shared" si="79"/>
        <v>0.34204995989956466</v>
      </c>
      <c r="O29" s="26">
        <f t="shared" si="11"/>
        <v>271083710.69766676</v>
      </c>
      <c r="P29" s="22">
        <f t="shared" si="80"/>
        <v>2608.1309442341808</v>
      </c>
      <c r="Q29" s="21">
        <f t="shared" si="81"/>
        <v>9000</v>
      </c>
      <c r="R29" s="27">
        <f t="shared" si="14"/>
        <v>6.0856388698797552</v>
      </c>
      <c r="S29" s="28">
        <f t="shared" si="82"/>
        <v>1.0879906230300485</v>
      </c>
      <c r="T29" s="22">
        <f t="shared" si="83"/>
        <v>113.47837516972798</v>
      </c>
      <c r="U29">
        <v>150</v>
      </c>
      <c r="V29">
        <v>141.00937696995169</v>
      </c>
      <c r="W29" s="131">
        <f t="shared" si="17"/>
        <v>39183425.385658704</v>
      </c>
      <c r="X29">
        <f t="shared" si="18"/>
        <v>0.14454363666785958</v>
      </c>
      <c r="Y29" s="27">
        <f t="shared" si="19"/>
        <v>12.901554404145083</v>
      </c>
    </row>
    <row r="30" spans="4:25" ht="15" thickBot="1" x14ac:dyDescent="0.4">
      <c r="D30" s="19" t="s">
        <v>92</v>
      </c>
      <c r="E30" s="20">
        <v>2</v>
      </c>
      <c r="F30" s="21">
        <v>996</v>
      </c>
      <c r="G30" s="22">
        <f t="shared" si="76"/>
        <v>104.30087609918114</v>
      </c>
      <c r="H30" s="21">
        <f t="shared" si="1"/>
        <v>1.2290000000000001</v>
      </c>
      <c r="I30" s="22">
        <f t="shared" si="77"/>
        <v>128.18577672589362</v>
      </c>
      <c r="J30" s="23">
        <f t="shared" si="3"/>
        <v>3.5000000000000001E-3</v>
      </c>
      <c r="K30" s="21">
        <f t="shared" si="4"/>
        <v>0.28000000000000003</v>
      </c>
      <c r="L30" s="24">
        <f t="shared" si="5"/>
        <v>2.12</v>
      </c>
      <c r="M30" s="25">
        <f t="shared" si="78"/>
        <v>7.9811657309898426E-4</v>
      </c>
      <c r="N30" s="26">
        <f t="shared" si="79"/>
        <v>0.34204995989956466</v>
      </c>
      <c r="O30" s="26">
        <f t="shared" si="11"/>
        <v>298192081.76743346</v>
      </c>
      <c r="P30" s="22">
        <f t="shared" si="80"/>
        <v>2868.9440386575989</v>
      </c>
      <c r="Q30" s="21">
        <f t="shared" si="81"/>
        <v>9900</v>
      </c>
      <c r="R30" s="27">
        <f t="shared" si="14"/>
        <v>6.6942027568677309</v>
      </c>
      <c r="S30" s="28">
        <f t="shared" si="82"/>
        <v>1.0304644095398194</v>
      </c>
      <c r="T30" s="22">
        <f t="shared" si="83"/>
        <v>107.47834070402855</v>
      </c>
      <c r="U30">
        <v>165</v>
      </c>
      <c r="V30">
        <v>198.53559046018071</v>
      </c>
      <c r="W30" s="131">
        <f t="shared" si="17"/>
        <v>38664355.264964215</v>
      </c>
      <c r="X30">
        <f t="shared" si="18"/>
        <v>0.12966258203703543</v>
      </c>
      <c r="Y30" s="27">
        <f t="shared" si="19"/>
        <v>14.191709844559592</v>
      </c>
    </row>
    <row r="31" spans="4:25" ht="15" thickBot="1" x14ac:dyDescent="0.4">
      <c r="D31" s="19" t="s">
        <v>92</v>
      </c>
      <c r="E31" s="20">
        <v>3</v>
      </c>
      <c r="F31" s="21">
        <v>996</v>
      </c>
      <c r="G31" s="22">
        <f t="shared" ref="G31" si="84">F31/60*2*PI()</f>
        <v>104.30087609918114</v>
      </c>
      <c r="H31" s="21">
        <f t="shared" si="1"/>
        <v>1.2290000000000001</v>
      </c>
      <c r="I31" s="22">
        <f t="shared" ref="I31" si="85">G31*H31</f>
        <v>128.18577672589362</v>
      </c>
      <c r="J31" s="23">
        <f t="shared" si="3"/>
        <v>3.5000000000000001E-3</v>
      </c>
      <c r="K31" s="21">
        <f t="shared" si="4"/>
        <v>0.28000000000000003</v>
      </c>
      <c r="L31" s="24">
        <f t="shared" si="5"/>
        <v>2.12</v>
      </c>
      <c r="M31" s="25">
        <f t="shared" ref="M31" si="86">($R$2*G31)/($S$2*($D$2-$E$2)*$L$2)</f>
        <v>7.9811657309898426E-4</v>
      </c>
      <c r="N31" s="26">
        <f t="shared" ref="N31" si="87">3/(2*$J$2)*M31</f>
        <v>0.34204995989956466</v>
      </c>
      <c r="O31" s="26">
        <f t="shared" si="11"/>
        <v>135541855.34883338</v>
      </c>
      <c r="P31" s="22">
        <f t="shared" ref="P31" si="88">(3/(2*$J$2))*R31</f>
        <v>1304.0654721170904</v>
      </c>
      <c r="Q31" s="21">
        <f t="shared" ref="Q31" si="89">U31*60</f>
        <v>4500</v>
      </c>
      <c r="R31" s="27">
        <f t="shared" si="14"/>
        <v>3.0428194349398776</v>
      </c>
      <c r="S31" s="28">
        <f t="shared" ref="S31" si="90">$S$6-V31/1000</f>
        <v>1.1375083841463416</v>
      </c>
      <c r="T31" s="22">
        <f t="shared" ref="T31" si="91">G31*S31</f>
        <v>118.64312103662732</v>
      </c>
      <c r="U31">
        <v>75</v>
      </c>
      <c r="V31">
        <v>91.491615853658544</v>
      </c>
      <c r="W31" s="131">
        <f t="shared" si="17"/>
        <v>21415652.508545797</v>
      </c>
      <c r="X31">
        <f t="shared" si="18"/>
        <v>0.15800029041531136</v>
      </c>
      <c r="Y31" s="27">
        <f t="shared" si="19"/>
        <v>6.4507772020725413</v>
      </c>
    </row>
    <row r="32" spans="4:25" ht="15" thickBot="1" x14ac:dyDescent="0.4">
      <c r="D32" s="19" t="s">
        <v>92</v>
      </c>
      <c r="E32" s="20">
        <v>3</v>
      </c>
      <c r="F32" s="21">
        <v>996</v>
      </c>
      <c r="G32" s="22">
        <f t="shared" ref="G32:G35" si="92">F32/60*2*PI()</f>
        <v>104.30087609918114</v>
      </c>
      <c r="H32" s="21">
        <f t="shared" si="1"/>
        <v>1.2290000000000001</v>
      </c>
      <c r="I32" s="22">
        <f t="shared" ref="I32:I35" si="93">G32*H32</f>
        <v>128.18577672589362</v>
      </c>
      <c r="J32" s="23">
        <f t="shared" si="3"/>
        <v>3.5000000000000001E-3</v>
      </c>
      <c r="K32" s="21">
        <f t="shared" si="4"/>
        <v>0.28000000000000003</v>
      </c>
      <c r="L32" s="24">
        <f t="shared" si="5"/>
        <v>2.12</v>
      </c>
      <c r="M32" s="25">
        <f t="shared" ref="M32:M35" si="94">($R$2*G32)/($S$2*($D$2-$E$2)*$L$2)</f>
        <v>7.9811657309898426E-4</v>
      </c>
      <c r="N32" s="26">
        <f t="shared" ref="N32:N35" si="95">3/(2*$J$2)*M32</f>
        <v>0.34204995989956466</v>
      </c>
      <c r="O32" s="26">
        <f t="shared" si="11"/>
        <v>162650226.41860005</v>
      </c>
      <c r="P32" s="22">
        <f t="shared" ref="P32:P35" si="96">(3/(2*$J$2))*R32</f>
        <v>1564.8785665405082</v>
      </c>
      <c r="Q32" s="21">
        <f t="shared" ref="Q32:Q35" si="97">U32*60</f>
        <v>5400</v>
      </c>
      <c r="R32" s="27">
        <f t="shared" si="14"/>
        <v>3.6513833219278529</v>
      </c>
      <c r="S32" s="28">
        <f t="shared" ref="S32:S35" si="98">$S$6-V32/1000</f>
        <v>1.1031112804878049</v>
      </c>
      <c r="T32" s="22">
        <f t="shared" ref="T32:T35" si="99">G32*S32</f>
        <v>115.05547298976759</v>
      </c>
      <c r="U32">
        <v>90</v>
      </c>
      <c r="V32">
        <v>125.88871951219512</v>
      </c>
      <c r="W32" s="131">
        <f t="shared" si="17"/>
        <v>24168071.446572632</v>
      </c>
      <c r="X32">
        <f t="shared" si="18"/>
        <v>0.14858922719463774</v>
      </c>
      <c r="Y32" s="27">
        <f t="shared" si="19"/>
        <v>7.7409326424870493</v>
      </c>
    </row>
    <row r="33" spans="4:25" ht="15" thickBot="1" x14ac:dyDescent="0.4">
      <c r="D33" s="19" t="s">
        <v>92</v>
      </c>
      <c r="E33" s="20">
        <v>3</v>
      </c>
      <c r="F33" s="21">
        <v>996</v>
      </c>
      <c r="G33" s="22">
        <f t="shared" si="92"/>
        <v>104.30087609918114</v>
      </c>
      <c r="H33" s="21">
        <f t="shared" si="1"/>
        <v>1.2290000000000001</v>
      </c>
      <c r="I33" s="22">
        <f t="shared" si="93"/>
        <v>128.18577672589362</v>
      </c>
      <c r="J33" s="23">
        <f t="shared" si="3"/>
        <v>3.5000000000000001E-3</v>
      </c>
      <c r="K33" s="21">
        <f t="shared" si="4"/>
        <v>0.28000000000000003</v>
      </c>
      <c r="L33" s="24">
        <f t="shared" si="5"/>
        <v>2.12</v>
      </c>
      <c r="M33" s="25">
        <f t="shared" si="94"/>
        <v>7.9811657309898426E-4</v>
      </c>
      <c r="N33" s="26">
        <f t="shared" si="95"/>
        <v>0.34204995989956466</v>
      </c>
      <c r="O33" s="26">
        <f t="shared" si="11"/>
        <v>216866968.55813342</v>
      </c>
      <c r="P33" s="22">
        <f t="shared" si="96"/>
        <v>2086.5047553873446</v>
      </c>
      <c r="Q33" s="21">
        <f t="shared" si="97"/>
        <v>7200</v>
      </c>
      <c r="R33" s="27">
        <f t="shared" si="14"/>
        <v>4.8685110959038047</v>
      </c>
      <c r="S33" s="28">
        <f t="shared" si="98"/>
        <v>1.0771379573170732</v>
      </c>
      <c r="T33" s="22">
        <f t="shared" si="99"/>
        <v>112.3464326278531</v>
      </c>
      <c r="U33">
        <v>120</v>
      </c>
      <c r="V33">
        <v>151.86204268292684</v>
      </c>
      <c r="W33" s="131">
        <f t="shared" si="17"/>
        <v>30724494.184445988</v>
      </c>
      <c r="X33">
        <f t="shared" si="18"/>
        <v>0.14167438401856008</v>
      </c>
      <c r="Y33" s="27">
        <f t="shared" si="19"/>
        <v>10.321243523316067</v>
      </c>
    </row>
    <row r="34" spans="4:25" ht="15" thickBot="1" x14ac:dyDescent="0.4">
      <c r="D34" s="19" t="s">
        <v>92</v>
      </c>
      <c r="E34" s="20">
        <v>3</v>
      </c>
      <c r="F34" s="21">
        <v>996</v>
      </c>
      <c r="G34" s="22">
        <f t="shared" si="92"/>
        <v>104.30087609918114</v>
      </c>
      <c r="H34" s="21">
        <f t="shared" si="1"/>
        <v>1.2290000000000001</v>
      </c>
      <c r="I34" s="22">
        <f t="shared" si="93"/>
        <v>128.18577672589362</v>
      </c>
      <c r="J34" s="23">
        <f t="shared" si="3"/>
        <v>3.5000000000000001E-3</v>
      </c>
      <c r="K34" s="21">
        <f t="shared" si="4"/>
        <v>0.28000000000000003</v>
      </c>
      <c r="L34" s="24">
        <f t="shared" si="5"/>
        <v>2.12</v>
      </c>
      <c r="M34" s="25">
        <f t="shared" si="94"/>
        <v>7.9811657309898426E-4</v>
      </c>
      <c r="N34" s="26">
        <f t="shared" si="95"/>
        <v>0.34204995989956466</v>
      </c>
      <c r="O34" s="26">
        <f t="shared" si="11"/>
        <v>243975339.62790009</v>
      </c>
      <c r="P34" s="22">
        <f t="shared" si="96"/>
        <v>2347.3178498107627</v>
      </c>
      <c r="Q34" s="21">
        <f t="shared" si="97"/>
        <v>8100</v>
      </c>
      <c r="R34" s="27">
        <f t="shared" si="14"/>
        <v>5.4770749828917795</v>
      </c>
      <c r="S34" s="28">
        <f t="shared" si="98"/>
        <v>1.0630983231707318</v>
      </c>
      <c r="T34" s="22">
        <f t="shared" si="99"/>
        <v>110.88208648627773</v>
      </c>
      <c r="U34">
        <v>135</v>
      </c>
      <c r="V34">
        <v>165.90167682926833</v>
      </c>
      <c r="W34" s="131">
        <f t="shared" si="17"/>
        <v>33669872.359292693</v>
      </c>
      <c r="X34">
        <f t="shared" si="18"/>
        <v>0.13800522794903955</v>
      </c>
      <c r="Y34" s="27">
        <f t="shared" si="19"/>
        <v>11.611398963730576</v>
      </c>
    </row>
    <row r="35" spans="4:25" ht="15" thickBot="1" x14ac:dyDescent="0.4">
      <c r="D35" s="19" t="s">
        <v>92</v>
      </c>
      <c r="E35" s="20">
        <v>3</v>
      </c>
      <c r="F35" s="21">
        <v>996</v>
      </c>
      <c r="G35" s="22">
        <f t="shared" si="92"/>
        <v>104.30087609918114</v>
      </c>
      <c r="H35" s="21">
        <f t="shared" si="1"/>
        <v>1.2290000000000001</v>
      </c>
      <c r="I35" s="22">
        <f t="shared" si="93"/>
        <v>128.18577672589362</v>
      </c>
      <c r="J35" s="23">
        <f t="shared" si="3"/>
        <v>3.5000000000000001E-3</v>
      </c>
      <c r="K35" s="21">
        <f t="shared" si="4"/>
        <v>0.28000000000000003</v>
      </c>
      <c r="L35" s="24">
        <f t="shared" si="5"/>
        <v>2.12</v>
      </c>
      <c r="M35" s="25">
        <f t="shared" si="94"/>
        <v>7.9811657309898426E-4</v>
      </c>
      <c r="N35" s="26">
        <f t="shared" si="95"/>
        <v>0.34204995989956466</v>
      </c>
      <c r="O35" s="26">
        <f t="shared" si="11"/>
        <v>271083710.69766676</v>
      </c>
      <c r="P35" s="22">
        <f t="shared" si="96"/>
        <v>2608.1309442341808</v>
      </c>
      <c r="Q35" s="21">
        <f t="shared" si="97"/>
        <v>9000</v>
      </c>
      <c r="R35" s="27">
        <f t="shared" si="14"/>
        <v>6.0856388698797552</v>
      </c>
      <c r="S35" s="28">
        <f t="shared" si="98"/>
        <v>1.0607583841463415</v>
      </c>
      <c r="T35" s="22">
        <f t="shared" si="99"/>
        <v>110.63802879601515</v>
      </c>
      <c r="U35">
        <v>150</v>
      </c>
      <c r="V35">
        <v>168.24161585365854</v>
      </c>
      <c r="W35" s="131">
        <f t="shared" si="17"/>
        <v>37246463.248498172</v>
      </c>
      <c r="X35">
        <f t="shared" si="18"/>
        <v>0.13739838204457172</v>
      </c>
      <c r="Y35" s="27">
        <f t="shared" si="19"/>
        <v>12.901554404145083</v>
      </c>
    </row>
    <row r="36" spans="4:25" ht="15" thickBot="1" x14ac:dyDescent="0.4">
      <c r="D36" s="19" t="s">
        <v>93</v>
      </c>
      <c r="E36" s="20">
        <v>2</v>
      </c>
      <c r="F36" s="21">
        <v>800</v>
      </c>
      <c r="G36" s="22">
        <f t="shared" ref="G36" si="100">F36/60*2*PI()</f>
        <v>83.775804095727821</v>
      </c>
      <c r="H36" s="21">
        <f t="shared" si="1"/>
        <v>1.2290000000000001</v>
      </c>
      <c r="I36" s="22">
        <f t="shared" ref="I36" si="101">G36*H36</f>
        <v>102.96046323364951</v>
      </c>
      <c r="J36" s="23">
        <f t="shared" si="3"/>
        <v>3.5000000000000001E-3</v>
      </c>
      <c r="K36" s="21">
        <f t="shared" si="4"/>
        <v>0.28000000000000003</v>
      </c>
      <c r="L36" s="24">
        <f t="shared" si="5"/>
        <v>2.12</v>
      </c>
      <c r="M36" s="25">
        <f t="shared" ref="M36" si="102">($R$2*G36)/($S$2*($D$2-$E$2)*$L$2)</f>
        <v>6.4105748843291911E-4</v>
      </c>
      <c r="N36" s="26">
        <f t="shared" ref="N36" si="103">3/(2*$J$2)*M36</f>
        <v>0.27473892361410818</v>
      </c>
      <c r="O36" s="26">
        <f t="shared" si="11"/>
        <v>696761344.76508725</v>
      </c>
      <c r="P36" s="22">
        <f t="shared" ref="P36" si="104">(3/(2*$J$2))*R36</f>
        <v>6703.6297361842389</v>
      </c>
      <c r="Q36" s="21">
        <f t="shared" ref="Q36" si="105">U36*60</f>
        <v>28800</v>
      </c>
      <c r="R36" s="27">
        <f t="shared" si="14"/>
        <v>15.641802717763225</v>
      </c>
      <c r="S36" s="28">
        <f t="shared" ref="S36" si="106">$S$6-V36/1000</f>
        <v>1.206512944643233</v>
      </c>
      <c r="T36" s="22">
        <f t="shared" ref="T36" si="107">G36*S36</f>
        <v>101.0765920893912</v>
      </c>
      <c r="U36">
        <v>480</v>
      </c>
      <c r="V36">
        <v>22.487055356766994</v>
      </c>
      <c r="W36" s="131">
        <f t="shared" si="17"/>
        <v>79902062.515633449</v>
      </c>
      <c r="X36">
        <f t="shared" si="18"/>
        <v>0.11467637106443151</v>
      </c>
      <c r="Y36" s="27">
        <f t="shared" si="19"/>
        <v>33.160621761658042</v>
      </c>
    </row>
    <row r="37" spans="4:25" ht="15" thickBot="1" x14ac:dyDescent="0.4">
      <c r="D37" s="19" t="s">
        <v>93</v>
      </c>
      <c r="E37" s="20">
        <v>3</v>
      </c>
      <c r="F37" s="21">
        <v>800</v>
      </c>
      <c r="G37" s="22">
        <f t="shared" ref="G37" si="108">F37/60*2*PI()</f>
        <v>83.775804095727821</v>
      </c>
      <c r="H37" s="21">
        <f t="shared" si="1"/>
        <v>1.2290000000000001</v>
      </c>
      <c r="I37" s="22">
        <f t="shared" ref="I37" si="109">G37*H37</f>
        <v>102.96046323364951</v>
      </c>
      <c r="J37" s="23">
        <f t="shared" si="3"/>
        <v>3.5000000000000001E-3</v>
      </c>
      <c r="K37" s="21">
        <f t="shared" si="4"/>
        <v>0.28000000000000003</v>
      </c>
      <c r="L37" s="24">
        <f t="shared" si="5"/>
        <v>2.12</v>
      </c>
      <c r="M37" s="25">
        <f t="shared" ref="M37" si="110">($R$2*G37)/($S$2*($D$2-$E$2)*$L$2)</f>
        <v>6.4105748843291911E-4</v>
      </c>
      <c r="N37" s="26">
        <f t="shared" ref="N37" si="111">3/(2*$J$2)*M37</f>
        <v>0.27473892361410818</v>
      </c>
      <c r="O37" s="26">
        <f t="shared" si="11"/>
        <v>580634453.97090602</v>
      </c>
      <c r="P37" s="22">
        <f t="shared" ref="P37" si="112">(3/(2*$J$2))*R37</f>
        <v>5586.3581134868664</v>
      </c>
      <c r="Q37" s="21">
        <f t="shared" ref="Q37" si="113">U37*60</f>
        <v>24000</v>
      </c>
      <c r="R37" s="27">
        <f t="shared" si="14"/>
        <v>13.034835598136022</v>
      </c>
      <c r="S37" s="28">
        <f t="shared" ref="S37" si="114">$S$6-V37/1000</f>
        <v>1.1872613253265909</v>
      </c>
      <c r="T37" s="22">
        <f t="shared" ref="T37" si="115">G37*S37</f>
        <v>99.463772200994654</v>
      </c>
      <c r="U37">
        <v>400</v>
      </c>
      <c r="V37">
        <v>41.738674673409186</v>
      </c>
      <c r="W37" s="131">
        <f t="shared" si="17"/>
        <v>64477087.890320711</v>
      </c>
      <c r="X37">
        <f t="shared" si="18"/>
        <v>0.11104592131825418</v>
      </c>
      <c r="Y37" s="27">
        <f t="shared" si="19"/>
        <v>27.633851468048373</v>
      </c>
    </row>
    <row r="38" spans="4:25" ht="15" thickBot="1" x14ac:dyDescent="0.4">
      <c r="D38" s="19"/>
      <c r="E38" s="20"/>
      <c r="F38" s="21"/>
      <c r="G38" s="22"/>
      <c r="H38" s="21"/>
      <c r="I38" s="22"/>
      <c r="J38" s="23"/>
      <c r="K38" s="21"/>
      <c r="L38" s="24"/>
      <c r="M38" s="25"/>
      <c r="N38" s="26"/>
      <c r="O38" s="26"/>
      <c r="P38" s="22"/>
      <c r="Q38" s="21"/>
      <c r="R38" s="27"/>
      <c r="S38" s="28"/>
      <c r="T38" s="22"/>
      <c r="U38" s="30"/>
      <c r="V38" s="29"/>
    </row>
    <row r="39" spans="4:25" ht="15" thickBot="1" x14ac:dyDescent="0.4">
      <c r="D39" s="19"/>
      <c r="E39" s="20"/>
      <c r="F39" s="21"/>
      <c r="G39" s="22"/>
      <c r="H39" s="21"/>
      <c r="I39" s="22"/>
      <c r="J39" s="23"/>
      <c r="K39" s="21"/>
      <c r="L39" s="24"/>
      <c r="M39" s="25"/>
      <c r="N39" s="26"/>
      <c r="O39" s="26"/>
      <c r="P39" s="22"/>
      <c r="Q39" s="21"/>
      <c r="R39" s="27"/>
      <c r="S39" s="28"/>
      <c r="T39" s="22"/>
      <c r="U39" s="30"/>
      <c r="V39" s="29"/>
    </row>
    <row r="40" spans="4:25" ht="15" thickBot="1" x14ac:dyDescent="0.4">
      <c r="D40" s="19"/>
      <c r="E40" s="20"/>
      <c r="F40" s="21"/>
      <c r="G40" s="22"/>
      <c r="H40" s="21"/>
      <c r="I40" s="22"/>
      <c r="J40" s="23"/>
      <c r="K40" s="21"/>
      <c r="L40" s="24"/>
      <c r="M40" s="25"/>
      <c r="N40" s="26"/>
      <c r="O40" s="26"/>
      <c r="P40" s="22"/>
      <c r="Q40" s="21"/>
      <c r="R40" s="27"/>
      <c r="S40" s="28"/>
      <c r="T40" s="22"/>
      <c r="U40" s="30"/>
      <c r="V40" s="29"/>
    </row>
    <row r="41" spans="4:25" ht="15" thickBot="1" x14ac:dyDescent="0.4">
      <c r="D41" s="19"/>
      <c r="E41" s="20"/>
      <c r="F41" s="21"/>
      <c r="G41" s="22"/>
      <c r="H41" s="21"/>
      <c r="I41" s="22"/>
      <c r="J41" s="23"/>
      <c r="K41" s="21"/>
      <c r="L41" s="24"/>
      <c r="M41" s="25"/>
      <c r="N41" s="26"/>
      <c r="O41" s="26"/>
      <c r="P41" s="22"/>
      <c r="Q41" s="21"/>
      <c r="R41" s="27"/>
      <c r="S41" s="28"/>
      <c r="T41" s="22"/>
      <c r="U41" s="30"/>
      <c r="V41" s="29"/>
    </row>
    <row r="42" spans="4:25" ht="15" thickBot="1" x14ac:dyDescent="0.4">
      <c r="D42" s="19"/>
      <c r="E42" s="20"/>
      <c r="F42" s="21"/>
      <c r="G42" s="22"/>
      <c r="H42" s="21"/>
      <c r="I42" s="22"/>
      <c r="J42" s="23"/>
      <c r="K42" s="21"/>
      <c r="L42" s="24"/>
      <c r="M42" s="25"/>
      <c r="N42" s="26"/>
      <c r="O42" s="26"/>
      <c r="P42" s="22"/>
      <c r="Q42" s="21"/>
      <c r="R42" s="27"/>
      <c r="S42" s="28"/>
      <c r="T42" s="22"/>
      <c r="U42" s="30"/>
      <c r="V42" s="29"/>
    </row>
    <row r="43" spans="4:25" ht="15" thickBot="1" x14ac:dyDescent="0.4">
      <c r="D43" s="19"/>
      <c r="E43" s="20"/>
      <c r="F43" s="21"/>
      <c r="G43" s="22"/>
      <c r="H43" s="21"/>
      <c r="I43" s="22"/>
      <c r="J43" s="23"/>
      <c r="K43" s="21"/>
      <c r="L43" s="24"/>
      <c r="M43" s="25"/>
      <c r="N43" s="26"/>
      <c r="O43" s="26"/>
      <c r="P43" s="22"/>
      <c r="Q43" s="21"/>
      <c r="R43" s="27"/>
      <c r="S43" s="28"/>
      <c r="T43" s="22"/>
      <c r="U43" s="30"/>
      <c r="V43" s="29"/>
    </row>
    <row r="44" spans="4:25" ht="15" thickBot="1" x14ac:dyDescent="0.4">
      <c r="D44" s="19"/>
      <c r="E44" s="20"/>
      <c r="F44" s="21"/>
      <c r="G44" s="22"/>
      <c r="H44" s="21"/>
      <c r="I44" s="22"/>
      <c r="J44" s="23"/>
      <c r="K44" s="21"/>
      <c r="L44" s="24"/>
      <c r="M44" s="25"/>
      <c r="N44" s="26"/>
      <c r="O44" s="26"/>
      <c r="P44" s="22"/>
      <c r="Q44" s="21"/>
      <c r="R44" s="27"/>
      <c r="S44" s="28"/>
      <c r="T44" s="22"/>
      <c r="U44" s="30"/>
      <c r="V44" s="29"/>
    </row>
    <row r="45" spans="4:25" ht="15" thickBot="1" x14ac:dyDescent="0.4">
      <c r="D45" s="19"/>
      <c r="E45" s="20"/>
      <c r="F45" s="21"/>
      <c r="G45" s="22"/>
      <c r="H45" s="21"/>
      <c r="I45" s="22"/>
      <c r="J45" s="23"/>
      <c r="K45" s="21"/>
      <c r="L45" s="24"/>
      <c r="M45" s="25"/>
      <c r="N45" s="26"/>
      <c r="O45" s="26"/>
      <c r="P45" s="22"/>
      <c r="Q45" s="21"/>
      <c r="R45" s="27"/>
      <c r="S45" s="28"/>
      <c r="T45" s="22"/>
      <c r="U45" s="30"/>
      <c r="V45" s="29"/>
    </row>
    <row r="46" spans="4:25" ht="15" thickBot="1" x14ac:dyDescent="0.4">
      <c r="D46" s="19"/>
      <c r="E46" s="20"/>
      <c r="F46" s="21"/>
      <c r="G46" s="22"/>
      <c r="H46" s="21"/>
      <c r="I46" s="22"/>
      <c r="J46" s="23"/>
      <c r="K46" s="21"/>
      <c r="L46" s="24"/>
      <c r="M46" s="25"/>
      <c r="N46" s="26"/>
      <c r="O46" s="26"/>
      <c r="P46" s="22"/>
      <c r="Q46" s="21"/>
      <c r="R46" s="27"/>
      <c r="S46" s="28"/>
      <c r="T46" s="22"/>
      <c r="U46" s="31"/>
      <c r="V46" s="29"/>
    </row>
    <row r="47" spans="4:25" ht="15" thickBot="1" x14ac:dyDescent="0.4">
      <c r="D47" s="19"/>
      <c r="E47" s="20"/>
      <c r="F47" s="21"/>
      <c r="G47" s="22"/>
      <c r="H47" s="21"/>
      <c r="I47" s="22"/>
      <c r="J47" s="23"/>
      <c r="K47" s="21"/>
      <c r="L47" s="24"/>
      <c r="M47" s="25"/>
      <c r="N47" s="26"/>
      <c r="O47" s="26"/>
      <c r="P47" s="22"/>
      <c r="Q47" s="21"/>
      <c r="R47" s="27"/>
      <c r="S47" s="28"/>
      <c r="T47" s="22"/>
      <c r="U47" s="30"/>
      <c r="V47" s="29"/>
    </row>
    <row r="48" spans="4:25" ht="15" thickBot="1" x14ac:dyDescent="0.4">
      <c r="D48" s="19"/>
      <c r="E48" s="20"/>
      <c r="F48" s="21"/>
      <c r="G48" s="22"/>
      <c r="H48" s="21"/>
      <c r="I48" s="22"/>
      <c r="J48" s="23"/>
      <c r="K48" s="21"/>
      <c r="L48" s="24"/>
      <c r="M48" s="25"/>
      <c r="N48" s="26"/>
      <c r="O48" s="26"/>
      <c r="P48" s="22"/>
      <c r="Q48" s="21"/>
      <c r="R48" s="27"/>
      <c r="S48" s="28"/>
      <c r="T48" s="22"/>
      <c r="U48" s="30"/>
      <c r="V48" s="29"/>
    </row>
    <row r="49" spans="4:22" ht="15" thickBot="1" x14ac:dyDescent="0.4">
      <c r="D49" s="19"/>
      <c r="E49" s="20"/>
      <c r="F49" s="21"/>
      <c r="G49" s="22"/>
      <c r="H49" s="21"/>
      <c r="I49" s="22"/>
      <c r="J49" s="23"/>
      <c r="K49" s="21"/>
      <c r="L49" s="24"/>
      <c r="M49" s="25"/>
      <c r="N49" s="26"/>
      <c r="O49" s="26"/>
      <c r="P49" s="22"/>
      <c r="Q49" s="21"/>
      <c r="R49" s="27"/>
      <c r="S49" s="28"/>
      <c r="T49" s="22"/>
      <c r="U49" s="30"/>
      <c r="V49" s="29"/>
    </row>
    <row r="50" spans="4:22" ht="15" thickBot="1" x14ac:dyDescent="0.4">
      <c r="D50" s="19"/>
      <c r="E50" s="20"/>
      <c r="F50" s="21"/>
      <c r="G50" s="22"/>
      <c r="H50" s="21"/>
      <c r="I50" s="22"/>
      <c r="J50" s="23"/>
      <c r="K50" s="21"/>
      <c r="L50" s="24"/>
      <c r="M50" s="25"/>
      <c r="N50" s="26"/>
      <c r="O50" s="26"/>
      <c r="P50" s="22"/>
      <c r="Q50" s="21"/>
      <c r="R50" s="27"/>
      <c r="S50" s="28"/>
      <c r="T50" s="22"/>
      <c r="U50" s="30"/>
      <c r="V50" s="29"/>
    </row>
    <row r="51" spans="4:22" ht="15" thickBot="1" x14ac:dyDescent="0.4">
      <c r="D51" s="19"/>
      <c r="E51" s="20"/>
      <c r="F51" s="21"/>
      <c r="G51" s="22"/>
      <c r="H51" s="21"/>
      <c r="I51" s="22"/>
      <c r="J51" s="23"/>
      <c r="K51" s="21"/>
      <c r="L51" s="24"/>
      <c r="M51" s="25"/>
      <c r="N51" s="26"/>
      <c r="O51" s="26"/>
      <c r="P51" s="22"/>
      <c r="Q51" s="21"/>
      <c r="R51" s="27"/>
      <c r="S51" s="28"/>
      <c r="T51" s="22"/>
      <c r="U51" s="32"/>
      <c r="V51" s="29"/>
    </row>
    <row r="52" spans="4:22" ht="15" thickBot="1" x14ac:dyDescent="0.4">
      <c r="D52" s="19"/>
      <c r="E52" s="20"/>
      <c r="F52" s="21"/>
      <c r="G52" s="22"/>
      <c r="H52" s="21"/>
      <c r="I52" s="22"/>
      <c r="J52" s="23"/>
      <c r="K52" s="21"/>
      <c r="L52" s="24"/>
      <c r="M52" s="25"/>
      <c r="N52" s="26"/>
      <c r="O52" s="26"/>
      <c r="P52" s="22"/>
      <c r="Q52" s="21"/>
      <c r="R52" s="27"/>
      <c r="S52" s="28"/>
      <c r="T52" s="22"/>
      <c r="U52" s="33"/>
      <c r="V52" s="29"/>
    </row>
    <row r="53" spans="4:22" ht="15" thickBot="1" x14ac:dyDescent="0.4">
      <c r="D53" s="19"/>
      <c r="E53" s="20"/>
      <c r="F53" s="21"/>
      <c r="G53" s="22"/>
      <c r="H53" s="21"/>
      <c r="I53" s="22"/>
      <c r="J53" s="23"/>
      <c r="K53" s="21"/>
      <c r="L53" s="24"/>
      <c r="M53" s="25"/>
      <c r="N53" s="26"/>
      <c r="O53" s="26"/>
      <c r="P53" s="22"/>
      <c r="Q53" s="21"/>
      <c r="R53" s="27"/>
      <c r="S53" s="28"/>
      <c r="T53" s="22"/>
      <c r="U53" s="33"/>
      <c r="V53" s="29"/>
    </row>
    <row r="54" spans="4:22" ht="15" thickBot="1" x14ac:dyDescent="0.4">
      <c r="D54" s="19"/>
      <c r="E54" s="20"/>
      <c r="F54" s="21"/>
      <c r="G54" s="22"/>
      <c r="H54" s="21"/>
      <c r="I54" s="22"/>
      <c r="J54" s="23"/>
      <c r="K54" s="21"/>
      <c r="L54" s="24"/>
      <c r="M54" s="25"/>
      <c r="N54" s="26"/>
      <c r="O54" s="26"/>
      <c r="P54" s="22"/>
      <c r="Q54" s="21"/>
      <c r="R54" s="27"/>
      <c r="S54" s="28"/>
      <c r="T54" s="22"/>
      <c r="U54" s="32"/>
      <c r="V54" s="29"/>
    </row>
    <row r="55" spans="4:22" ht="15" thickBot="1" x14ac:dyDescent="0.4">
      <c r="D55" s="19"/>
      <c r="E55" s="20"/>
      <c r="F55" s="21"/>
      <c r="G55" s="22"/>
      <c r="H55" s="21"/>
      <c r="I55" s="22"/>
      <c r="J55" s="23"/>
      <c r="K55" s="21"/>
      <c r="L55" s="24"/>
      <c r="M55" s="25"/>
      <c r="N55" s="26"/>
      <c r="O55" s="26"/>
      <c r="P55" s="22"/>
      <c r="Q55" s="21"/>
      <c r="R55" s="27"/>
      <c r="S55" s="28"/>
      <c r="T55" s="22"/>
      <c r="U55" s="32"/>
      <c r="V55" s="29"/>
    </row>
    <row r="56" spans="4:22" ht="15" thickBot="1" x14ac:dyDescent="0.4">
      <c r="D56" s="19"/>
      <c r="E56" s="20"/>
      <c r="F56" s="21"/>
      <c r="G56" s="22"/>
      <c r="H56" s="21"/>
      <c r="I56" s="22"/>
      <c r="J56" s="23"/>
      <c r="K56" s="21"/>
      <c r="L56" s="24"/>
      <c r="M56" s="25"/>
      <c r="N56" s="26"/>
      <c r="O56" s="26"/>
      <c r="P56" s="22"/>
      <c r="Q56" s="21"/>
      <c r="R56" s="27"/>
      <c r="S56" s="28"/>
      <c r="T56" s="22"/>
      <c r="U56" s="32"/>
      <c r="V56" s="29"/>
    </row>
    <row r="57" spans="4:22" ht="15" thickBot="1" x14ac:dyDescent="0.4">
      <c r="D57" s="19"/>
      <c r="E57" s="20"/>
      <c r="F57" s="21"/>
      <c r="G57" s="22"/>
      <c r="H57" s="21"/>
      <c r="I57" s="22"/>
      <c r="J57" s="23"/>
      <c r="K57" s="21"/>
      <c r="L57" s="24"/>
      <c r="M57" s="25"/>
      <c r="N57" s="26"/>
      <c r="O57" s="26"/>
      <c r="P57" s="22"/>
      <c r="Q57" s="21"/>
      <c r="R57" s="27"/>
      <c r="S57" s="28"/>
      <c r="T57" s="22"/>
      <c r="U57" s="33"/>
      <c r="V57" s="29"/>
    </row>
    <row r="58" spans="4:22" ht="15" thickBot="1" x14ac:dyDescent="0.4">
      <c r="D58" s="19"/>
      <c r="E58" s="20"/>
      <c r="F58" s="21"/>
      <c r="G58" s="22"/>
      <c r="H58" s="21"/>
      <c r="I58" s="22"/>
      <c r="J58" s="23"/>
      <c r="K58" s="21"/>
      <c r="L58" s="24"/>
      <c r="M58" s="25"/>
      <c r="N58" s="26"/>
      <c r="O58" s="26"/>
      <c r="P58" s="22"/>
      <c r="Q58" s="21"/>
      <c r="R58" s="27"/>
      <c r="S58" s="28"/>
      <c r="T58" s="22"/>
      <c r="U58" s="33"/>
      <c r="V58" s="29"/>
    </row>
    <row r="59" spans="4:22" ht="15" thickBot="1" x14ac:dyDescent="0.4">
      <c r="D59" s="19"/>
      <c r="E59" s="20"/>
      <c r="F59" s="21"/>
      <c r="G59" s="22"/>
      <c r="H59" s="21"/>
      <c r="I59" s="22"/>
      <c r="J59" s="23"/>
      <c r="K59" s="21"/>
      <c r="L59" s="24"/>
      <c r="M59" s="25"/>
      <c r="N59" s="26"/>
      <c r="O59" s="26"/>
      <c r="P59" s="22"/>
      <c r="Q59" s="21"/>
      <c r="R59" s="27"/>
      <c r="S59" s="28"/>
      <c r="T59" s="22"/>
      <c r="U59" s="32"/>
      <c r="V59" s="29"/>
    </row>
    <row r="60" spans="4:22" ht="15" thickBot="1" x14ac:dyDescent="0.4">
      <c r="D60" s="19"/>
      <c r="E60" s="20"/>
      <c r="F60" s="21"/>
      <c r="G60" s="22"/>
      <c r="H60" s="21"/>
      <c r="I60" s="22"/>
      <c r="J60" s="23"/>
      <c r="K60" s="21"/>
      <c r="L60" s="24"/>
      <c r="M60" s="25"/>
      <c r="N60" s="26"/>
      <c r="O60" s="26"/>
      <c r="P60" s="22"/>
      <c r="Q60" s="21"/>
      <c r="R60" s="27"/>
      <c r="S60" s="28"/>
      <c r="T60" s="22"/>
      <c r="U60" s="32"/>
      <c r="V60" s="29"/>
    </row>
    <row r="61" spans="4:22" ht="15" thickBot="1" x14ac:dyDescent="0.4">
      <c r="D61" s="19"/>
      <c r="E61" s="20"/>
      <c r="F61" s="21"/>
      <c r="G61" s="22"/>
      <c r="H61" s="21"/>
      <c r="I61" s="22"/>
      <c r="J61" s="23"/>
      <c r="K61" s="21"/>
      <c r="L61" s="24"/>
      <c r="M61" s="25"/>
      <c r="N61" s="26"/>
      <c r="O61" s="26"/>
      <c r="P61" s="22"/>
      <c r="Q61" s="21"/>
      <c r="R61" s="27"/>
      <c r="S61" s="28"/>
      <c r="T61" s="22"/>
      <c r="U61" s="33"/>
      <c r="V61" s="29"/>
    </row>
    <row r="62" spans="4:22" ht="15" thickBot="1" x14ac:dyDescent="0.4">
      <c r="D62" s="19"/>
      <c r="E62" s="20"/>
      <c r="F62" s="21"/>
      <c r="G62" s="22"/>
      <c r="H62" s="21"/>
      <c r="I62" s="22"/>
      <c r="J62" s="23"/>
      <c r="K62" s="21"/>
      <c r="L62" s="24"/>
      <c r="M62" s="25"/>
      <c r="N62" s="26"/>
      <c r="O62" s="26"/>
      <c r="P62" s="22"/>
      <c r="Q62" s="21"/>
      <c r="R62" s="27"/>
      <c r="S62" s="28"/>
      <c r="T62" s="22"/>
      <c r="U62" s="33"/>
      <c r="V62" s="29"/>
    </row>
    <row r="63" spans="4:22" ht="15" thickBot="1" x14ac:dyDescent="0.4">
      <c r="D63" s="19"/>
      <c r="E63" s="20"/>
      <c r="F63" s="21"/>
      <c r="G63" s="22"/>
      <c r="H63" s="21"/>
      <c r="I63" s="22"/>
      <c r="J63" s="23"/>
      <c r="K63" s="21"/>
      <c r="L63" s="24"/>
      <c r="M63" s="25"/>
      <c r="N63" s="26"/>
      <c r="O63" s="26"/>
      <c r="P63" s="22"/>
      <c r="Q63" s="21"/>
      <c r="R63" s="27"/>
      <c r="S63" s="28"/>
      <c r="T63" s="22"/>
      <c r="U63" s="33"/>
      <c r="V63" s="29"/>
    </row>
    <row r="64" spans="4:22" ht="15" thickBot="1" x14ac:dyDescent="0.4">
      <c r="D64" s="19"/>
      <c r="E64" s="20"/>
      <c r="F64" s="21"/>
      <c r="G64" s="22"/>
      <c r="H64" s="21"/>
      <c r="I64" s="22"/>
      <c r="J64" s="23"/>
      <c r="K64" s="21"/>
      <c r="L64" s="24"/>
      <c r="M64" s="25"/>
      <c r="N64" s="26"/>
      <c r="O64" s="26"/>
      <c r="P64" s="22"/>
      <c r="Q64" s="21"/>
      <c r="R64" s="27"/>
      <c r="S64" s="28"/>
      <c r="T64" s="22"/>
      <c r="U64" s="32"/>
      <c r="V64" s="29"/>
    </row>
    <row r="65" spans="4:22" ht="15" thickBot="1" x14ac:dyDescent="0.4">
      <c r="D65" s="19"/>
      <c r="E65" s="20"/>
      <c r="F65" s="21"/>
      <c r="G65" s="22"/>
      <c r="H65" s="21"/>
      <c r="I65" s="22"/>
      <c r="J65" s="23"/>
      <c r="K65" s="21"/>
      <c r="L65" s="24"/>
      <c r="M65" s="25"/>
      <c r="N65" s="26"/>
      <c r="O65" s="26"/>
      <c r="P65" s="22"/>
      <c r="Q65" s="21"/>
      <c r="R65" s="27"/>
      <c r="S65" s="28"/>
      <c r="T65" s="22"/>
      <c r="U65" s="33"/>
      <c r="V65" s="29"/>
    </row>
    <row r="66" spans="4:22" ht="15" thickBot="1" x14ac:dyDescent="0.4">
      <c r="D66" s="19"/>
      <c r="E66" s="20"/>
      <c r="F66" s="21"/>
      <c r="G66" s="22"/>
      <c r="H66" s="21"/>
      <c r="I66" s="22"/>
      <c r="J66" s="23"/>
      <c r="K66" s="21"/>
      <c r="L66" s="24"/>
      <c r="M66" s="25"/>
      <c r="N66" s="26"/>
      <c r="O66" s="26"/>
      <c r="P66" s="22"/>
      <c r="Q66" s="21"/>
      <c r="R66" s="27"/>
      <c r="S66" s="28"/>
      <c r="T66" s="22"/>
      <c r="U66" s="33"/>
      <c r="V66" s="29"/>
    </row>
    <row r="67" spans="4:22" ht="15" thickBot="1" x14ac:dyDescent="0.4">
      <c r="D67" s="19"/>
      <c r="E67" s="20"/>
      <c r="F67" s="21"/>
      <c r="G67" s="22"/>
      <c r="H67" s="21"/>
      <c r="I67" s="22"/>
      <c r="J67" s="23"/>
      <c r="K67" s="21"/>
      <c r="L67" s="24"/>
      <c r="M67" s="25"/>
      <c r="N67" s="26"/>
      <c r="O67" s="26"/>
      <c r="P67" s="22"/>
      <c r="Q67" s="21"/>
      <c r="R67" s="27"/>
      <c r="S67" s="28"/>
      <c r="T67" s="22"/>
      <c r="U67" s="33"/>
      <c r="V67" s="29"/>
    </row>
    <row r="68" spans="4:22" ht="15" thickBot="1" x14ac:dyDescent="0.4">
      <c r="D68" s="19"/>
      <c r="E68" s="20"/>
      <c r="F68" s="21"/>
      <c r="G68" s="22"/>
      <c r="H68" s="21"/>
      <c r="I68" s="22"/>
      <c r="J68" s="23"/>
      <c r="K68" s="21"/>
      <c r="L68" s="24"/>
      <c r="M68" s="25"/>
      <c r="N68" s="26"/>
      <c r="O68" s="26"/>
      <c r="P68" s="22"/>
      <c r="Q68" s="21"/>
      <c r="R68" s="27"/>
      <c r="S68" s="28"/>
      <c r="T68" s="22"/>
      <c r="U68" s="32"/>
      <c r="V68" s="29"/>
    </row>
    <row r="69" spans="4:22" ht="15" thickBot="1" x14ac:dyDescent="0.4">
      <c r="D69" s="19"/>
      <c r="E69" s="20"/>
      <c r="F69" s="21"/>
      <c r="G69" s="22"/>
      <c r="H69" s="21"/>
      <c r="I69" s="22"/>
      <c r="J69" s="23"/>
      <c r="K69" s="21"/>
      <c r="L69" s="24"/>
      <c r="M69" s="25"/>
      <c r="N69" s="26"/>
      <c r="O69" s="26"/>
      <c r="P69" s="22"/>
      <c r="Q69" s="21"/>
      <c r="R69" s="27"/>
      <c r="S69" s="28"/>
      <c r="T69" s="22"/>
      <c r="U69" s="33"/>
      <c r="V69" s="29"/>
    </row>
    <row r="70" spans="4:22" ht="15" thickBot="1" x14ac:dyDescent="0.4">
      <c r="D70" s="19"/>
      <c r="E70" s="20"/>
      <c r="F70" s="21"/>
      <c r="G70" s="22"/>
      <c r="H70" s="21"/>
      <c r="I70" s="22"/>
      <c r="J70" s="23"/>
      <c r="K70" s="21"/>
      <c r="L70" s="24"/>
      <c r="M70" s="25"/>
      <c r="N70" s="26"/>
      <c r="O70" s="26"/>
      <c r="P70" s="22"/>
      <c r="Q70" s="21"/>
      <c r="R70" s="27"/>
      <c r="S70" s="28"/>
      <c r="T70" s="22"/>
      <c r="U70" s="33"/>
      <c r="V70" s="29"/>
    </row>
    <row r="71" spans="4:22" ht="15" thickBot="1" x14ac:dyDescent="0.4">
      <c r="D71" s="19"/>
      <c r="E71" s="20"/>
      <c r="F71" s="21"/>
      <c r="G71" s="22"/>
      <c r="H71" s="21"/>
      <c r="I71" s="22"/>
      <c r="J71" s="23"/>
      <c r="K71" s="21"/>
      <c r="L71" s="24"/>
      <c r="M71" s="25"/>
      <c r="N71" s="26"/>
      <c r="O71" s="26"/>
      <c r="P71" s="22"/>
      <c r="Q71" s="21"/>
      <c r="R71" s="27"/>
      <c r="S71" s="28"/>
      <c r="T71" s="22"/>
      <c r="U71" s="22"/>
      <c r="V71" s="29"/>
    </row>
    <row r="72" spans="4:22" ht="15" thickBot="1" x14ac:dyDescent="0.4">
      <c r="D72" s="19"/>
      <c r="E72" s="20"/>
      <c r="F72" s="21"/>
      <c r="G72" s="22"/>
      <c r="H72" s="21"/>
      <c r="I72" s="22"/>
      <c r="J72" s="23"/>
      <c r="K72" s="21"/>
      <c r="L72" s="24"/>
      <c r="M72" s="25"/>
      <c r="N72" s="26"/>
      <c r="O72" s="26"/>
      <c r="P72" s="22"/>
      <c r="Q72" s="21"/>
      <c r="R72" s="27"/>
      <c r="S72" s="28"/>
      <c r="T72" s="22"/>
      <c r="U72" s="34"/>
      <c r="V72" s="29"/>
    </row>
    <row r="73" spans="4:22" ht="15" thickBot="1" x14ac:dyDescent="0.4">
      <c r="D73" s="19"/>
      <c r="E73" s="20"/>
      <c r="F73" s="21"/>
      <c r="G73" s="22"/>
      <c r="H73" s="21"/>
      <c r="I73" s="22"/>
      <c r="J73" s="23"/>
      <c r="K73" s="21"/>
      <c r="L73" s="24"/>
      <c r="M73" s="25"/>
      <c r="N73" s="26"/>
      <c r="O73" s="26"/>
      <c r="P73" s="22"/>
      <c r="Q73" s="21"/>
      <c r="R73" s="27"/>
      <c r="S73" s="28"/>
      <c r="T73" s="22"/>
      <c r="U73" s="22"/>
      <c r="V73" s="29"/>
    </row>
    <row r="74" spans="4:22" ht="15" thickBot="1" x14ac:dyDescent="0.4">
      <c r="D74" s="19"/>
      <c r="E74" s="20"/>
      <c r="F74" s="21"/>
      <c r="G74" s="22"/>
      <c r="H74" s="21"/>
      <c r="I74" s="22"/>
      <c r="J74" s="23"/>
      <c r="K74" s="21"/>
      <c r="L74" s="24"/>
      <c r="M74" s="25"/>
      <c r="N74" s="26"/>
      <c r="O74" s="26"/>
      <c r="P74" s="22"/>
      <c r="Q74" s="21"/>
      <c r="R74" s="27"/>
      <c r="S74" s="28"/>
      <c r="T74" s="22"/>
      <c r="U74" s="34"/>
      <c r="V74" s="29"/>
    </row>
    <row r="75" spans="4:22" ht="15" thickBot="1" x14ac:dyDescent="0.4">
      <c r="D75" s="19"/>
      <c r="E75" s="20"/>
      <c r="F75" s="21"/>
      <c r="G75" s="22"/>
      <c r="H75" s="21"/>
      <c r="I75" s="22"/>
      <c r="J75" s="23"/>
      <c r="K75" s="21"/>
      <c r="L75" s="24"/>
      <c r="M75" s="25"/>
      <c r="N75" s="26"/>
      <c r="O75" s="26"/>
      <c r="P75" s="22"/>
      <c r="Q75" s="21"/>
      <c r="R75" s="27"/>
      <c r="S75" s="28"/>
      <c r="T75" s="22"/>
      <c r="U75" s="34"/>
      <c r="V75" s="29"/>
    </row>
    <row r="76" spans="4:22" ht="15" thickBot="1" x14ac:dyDescent="0.4">
      <c r="D76" s="19"/>
      <c r="E76" s="20"/>
      <c r="F76" s="21"/>
      <c r="G76" s="22"/>
      <c r="H76" s="21"/>
      <c r="I76" s="22"/>
      <c r="J76" s="23"/>
      <c r="K76" s="21"/>
      <c r="L76" s="24"/>
      <c r="M76" s="25"/>
      <c r="N76" s="26"/>
      <c r="O76" s="26"/>
      <c r="P76" s="22"/>
      <c r="Q76" s="21"/>
      <c r="R76" s="27"/>
      <c r="S76" s="28"/>
      <c r="T76" s="22"/>
      <c r="U76" s="22"/>
      <c r="V76" s="29"/>
    </row>
    <row r="77" spans="4:22" ht="15" thickBot="1" x14ac:dyDescent="0.4">
      <c r="D77" s="19"/>
      <c r="E77" s="20"/>
      <c r="F77" s="21"/>
      <c r="G77" s="22"/>
      <c r="H77" s="21"/>
      <c r="I77" s="22"/>
      <c r="J77" s="23"/>
      <c r="K77" s="21"/>
      <c r="L77" s="24"/>
      <c r="M77" s="25"/>
      <c r="N77" s="26"/>
      <c r="O77" s="26"/>
      <c r="P77" s="22"/>
      <c r="Q77" s="21"/>
      <c r="R77" s="27"/>
      <c r="S77" s="28"/>
      <c r="T77" s="22"/>
      <c r="U77" s="34"/>
      <c r="V77" s="35"/>
    </row>
    <row r="78" spans="4:22" ht="15" thickBot="1" x14ac:dyDescent="0.4">
      <c r="D78" s="19"/>
      <c r="E78" s="20"/>
      <c r="F78" s="21"/>
      <c r="G78" s="22"/>
      <c r="H78" s="21"/>
      <c r="I78" s="22"/>
      <c r="J78" s="23"/>
      <c r="K78" s="21"/>
      <c r="L78" s="24"/>
      <c r="M78" s="25"/>
      <c r="N78" s="26"/>
      <c r="O78" s="26"/>
      <c r="P78" s="22"/>
      <c r="Q78" s="21"/>
      <c r="R78" s="27"/>
      <c r="S78" s="28"/>
      <c r="T78" s="22"/>
      <c r="U78" s="34"/>
      <c r="V78" s="29"/>
    </row>
    <row r="79" spans="4:22" ht="15" thickBot="1" x14ac:dyDescent="0.4">
      <c r="D79" s="19"/>
      <c r="E79" s="20"/>
      <c r="F79" s="21"/>
      <c r="G79" s="22"/>
      <c r="H79" s="21"/>
      <c r="I79" s="22"/>
      <c r="J79" s="23"/>
      <c r="K79" s="21"/>
      <c r="L79" s="24"/>
      <c r="M79" s="25"/>
      <c r="N79" s="26"/>
      <c r="O79" s="26"/>
      <c r="P79" s="22"/>
      <c r="Q79" s="21"/>
      <c r="R79" s="27"/>
      <c r="S79" s="28"/>
      <c r="T79" s="22"/>
      <c r="U79" s="22"/>
      <c r="V79" s="29"/>
    </row>
    <row r="80" spans="4:22" ht="15" thickBot="1" x14ac:dyDescent="0.4">
      <c r="D80" s="19"/>
      <c r="E80" s="20"/>
      <c r="F80" s="21"/>
      <c r="G80" s="22"/>
      <c r="H80" s="21"/>
      <c r="I80" s="22"/>
      <c r="J80" s="23"/>
      <c r="K80" s="21"/>
      <c r="L80" s="24"/>
      <c r="M80" s="25"/>
      <c r="N80" s="26"/>
      <c r="O80" s="26"/>
      <c r="P80" s="22"/>
      <c r="Q80" s="21"/>
      <c r="R80" s="27"/>
      <c r="S80" s="28"/>
      <c r="T80" s="22"/>
      <c r="U80" s="34"/>
      <c r="V80" s="29"/>
    </row>
    <row r="81" spans="4:22" ht="15" thickBot="1" x14ac:dyDescent="0.4">
      <c r="D81" s="19"/>
      <c r="E81" s="20"/>
      <c r="F81" s="21"/>
      <c r="G81" s="22"/>
      <c r="H81" s="21"/>
      <c r="I81" s="22"/>
      <c r="J81" s="23"/>
      <c r="K81" s="21"/>
      <c r="L81" s="24"/>
      <c r="M81" s="25"/>
      <c r="N81" s="26"/>
      <c r="O81" s="26"/>
      <c r="P81" s="22"/>
      <c r="Q81" s="21"/>
      <c r="R81" s="27"/>
      <c r="S81" s="28"/>
      <c r="T81" s="22"/>
      <c r="U81" s="22"/>
      <c r="V81" s="29"/>
    </row>
    <row r="82" spans="4:22" ht="15" thickBot="1" x14ac:dyDescent="0.4">
      <c r="D82" s="19"/>
      <c r="E82" s="20"/>
      <c r="F82" s="21"/>
      <c r="G82" s="22"/>
      <c r="H82" s="21"/>
      <c r="I82" s="22"/>
      <c r="J82" s="23"/>
      <c r="K82" s="21"/>
      <c r="L82" s="24"/>
      <c r="M82" s="25"/>
      <c r="N82" s="26"/>
      <c r="O82" s="26"/>
      <c r="P82" s="22"/>
      <c r="Q82" s="21"/>
      <c r="R82" s="27"/>
      <c r="S82" s="28"/>
      <c r="T82" s="22"/>
      <c r="U82" s="34"/>
      <c r="V82" s="29"/>
    </row>
    <row r="83" spans="4:22" ht="15" thickBot="1" x14ac:dyDescent="0.4">
      <c r="D83" s="19"/>
      <c r="E83" s="20"/>
      <c r="F83" s="21"/>
      <c r="G83" s="22"/>
      <c r="H83" s="21"/>
      <c r="I83" s="22"/>
      <c r="J83" s="23"/>
      <c r="K83" s="21"/>
      <c r="L83" s="24"/>
      <c r="M83" s="25"/>
      <c r="N83" s="26"/>
      <c r="O83" s="26"/>
      <c r="P83" s="22"/>
      <c r="Q83" s="21"/>
      <c r="R83" s="27"/>
      <c r="S83" s="28"/>
      <c r="T83" s="22"/>
      <c r="U83" s="22"/>
      <c r="V83" s="29"/>
    </row>
    <row r="84" spans="4:22" ht="15" thickBot="1" x14ac:dyDescent="0.4">
      <c r="D84" s="19"/>
      <c r="E84" s="20"/>
      <c r="F84" s="21"/>
      <c r="G84" s="22"/>
      <c r="H84" s="21"/>
      <c r="I84" s="22"/>
      <c r="J84" s="23"/>
      <c r="K84" s="21"/>
      <c r="L84" s="24"/>
      <c r="M84" s="25"/>
      <c r="N84" s="26"/>
      <c r="O84" s="26"/>
      <c r="P84" s="22"/>
      <c r="Q84" s="21"/>
      <c r="R84" s="27"/>
      <c r="S84" s="28"/>
      <c r="T84" s="22"/>
      <c r="U84" s="22"/>
      <c r="V84" s="29"/>
    </row>
    <row r="85" spans="4:22" ht="15" thickBot="1" x14ac:dyDescent="0.4">
      <c r="D85" s="19"/>
      <c r="E85" s="20"/>
      <c r="F85" s="21"/>
      <c r="G85" s="22"/>
      <c r="H85" s="21"/>
      <c r="I85" s="22"/>
      <c r="J85" s="23"/>
      <c r="K85" s="21"/>
      <c r="L85" s="24"/>
      <c r="M85" s="25"/>
      <c r="N85" s="26"/>
      <c r="O85" s="26"/>
      <c r="P85" s="22"/>
      <c r="Q85" s="21"/>
      <c r="R85" s="27"/>
      <c r="S85" s="28"/>
      <c r="T85" s="22"/>
      <c r="U85" s="34"/>
      <c r="V85" s="29"/>
    </row>
    <row r="86" spans="4:22" ht="15" thickBot="1" x14ac:dyDescent="0.4">
      <c r="D86" s="19"/>
      <c r="E86" s="20"/>
      <c r="F86" s="21"/>
      <c r="G86" s="22"/>
      <c r="H86" s="21"/>
      <c r="I86" s="22"/>
      <c r="J86" s="23"/>
      <c r="K86" s="21"/>
      <c r="L86" s="24"/>
      <c r="M86" s="25"/>
      <c r="N86" s="26"/>
      <c r="O86" s="26"/>
      <c r="P86" s="22"/>
      <c r="Q86" s="21"/>
      <c r="R86" s="27"/>
      <c r="S86" s="28"/>
      <c r="T86" s="22"/>
      <c r="U86" s="22"/>
      <c r="V86" s="29"/>
    </row>
    <row r="87" spans="4:22" ht="15" thickBot="1" x14ac:dyDescent="0.4">
      <c r="D87" s="19"/>
      <c r="E87" s="20"/>
      <c r="F87" s="21"/>
      <c r="G87" s="22"/>
      <c r="H87" s="21"/>
      <c r="I87" s="22"/>
      <c r="J87" s="23"/>
      <c r="K87" s="21"/>
      <c r="L87" s="24"/>
      <c r="M87" s="25"/>
      <c r="N87" s="26"/>
      <c r="O87" s="26"/>
      <c r="P87" s="22"/>
      <c r="Q87" s="21"/>
      <c r="R87" s="27"/>
      <c r="S87" s="28"/>
      <c r="T87" s="22"/>
      <c r="U87" s="22"/>
      <c r="V87" s="29"/>
    </row>
    <row r="88" spans="4:22" ht="15" thickBot="1" x14ac:dyDescent="0.4">
      <c r="D88" s="19"/>
      <c r="E88" s="20"/>
      <c r="F88" s="21"/>
      <c r="G88" s="22"/>
      <c r="H88" s="21"/>
      <c r="I88" s="22"/>
      <c r="J88" s="23"/>
      <c r="K88" s="21"/>
      <c r="L88" s="24"/>
      <c r="M88" s="25"/>
      <c r="N88" s="26"/>
      <c r="O88" s="26"/>
      <c r="P88" s="22"/>
      <c r="Q88" s="21"/>
      <c r="R88" s="27"/>
      <c r="S88" s="28"/>
      <c r="T88" s="22"/>
      <c r="U88" s="34"/>
      <c r="V88" s="29"/>
    </row>
    <row r="89" spans="4:22" ht="15" thickBot="1" x14ac:dyDescent="0.4">
      <c r="D89" s="19"/>
      <c r="E89" s="20"/>
      <c r="F89" s="21"/>
      <c r="G89" s="22"/>
      <c r="H89" s="21"/>
      <c r="I89" s="22"/>
      <c r="J89" s="23"/>
      <c r="K89" s="21"/>
      <c r="L89" s="24"/>
      <c r="M89" s="25"/>
      <c r="N89" s="26"/>
      <c r="O89" s="26"/>
      <c r="P89" s="22"/>
      <c r="Q89" s="21"/>
      <c r="R89" s="27"/>
      <c r="S89" s="28"/>
      <c r="T89" s="22"/>
      <c r="U89" s="22"/>
      <c r="V89" s="29"/>
    </row>
    <row r="90" spans="4:22" ht="15" thickBot="1" x14ac:dyDescent="0.4">
      <c r="D90" s="19"/>
      <c r="E90" s="20"/>
      <c r="F90" s="21"/>
      <c r="G90" s="22"/>
      <c r="H90" s="21"/>
      <c r="I90" s="22"/>
      <c r="J90" s="23"/>
      <c r="K90" s="21"/>
      <c r="L90" s="24"/>
      <c r="M90" s="25"/>
      <c r="N90" s="26"/>
      <c r="O90" s="26"/>
      <c r="P90" s="22"/>
      <c r="Q90" s="21"/>
      <c r="R90" s="27"/>
      <c r="S90" s="28"/>
      <c r="T90" s="22"/>
      <c r="U90" s="34"/>
      <c r="V90" s="29"/>
    </row>
    <row r="91" spans="4:22" ht="15" thickBot="1" x14ac:dyDescent="0.4">
      <c r="D91" s="19"/>
      <c r="E91" s="20"/>
      <c r="F91" s="21"/>
      <c r="G91" s="22"/>
      <c r="H91" s="21"/>
      <c r="I91" s="22"/>
      <c r="J91" s="23"/>
      <c r="K91" s="21"/>
      <c r="L91" s="24"/>
      <c r="M91" s="25"/>
      <c r="N91" s="26"/>
      <c r="O91" s="26"/>
      <c r="P91" s="22"/>
      <c r="Q91" s="21"/>
      <c r="R91" s="27"/>
      <c r="S91" s="28"/>
      <c r="T91" s="22"/>
      <c r="U91" s="22"/>
      <c r="V91" s="29"/>
    </row>
    <row r="92" spans="4:22" ht="15" thickBot="1" x14ac:dyDescent="0.4">
      <c r="D92" s="19"/>
      <c r="E92" s="20"/>
      <c r="F92" s="21"/>
      <c r="G92" s="22"/>
      <c r="H92" s="21"/>
      <c r="I92" s="22"/>
      <c r="J92" s="23"/>
      <c r="K92" s="21"/>
      <c r="L92" s="24"/>
      <c r="M92" s="25"/>
      <c r="N92" s="26"/>
      <c r="O92" s="26"/>
      <c r="P92" s="22"/>
      <c r="Q92" s="21"/>
      <c r="R92" s="27"/>
      <c r="S92" s="28"/>
      <c r="T92" s="22"/>
      <c r="U92" s="34"/>
      <c r="V92" s="29"/>
    </row>
    <row r="93" spans="4:22" ht="15" thickBot="1" x14ac:dyDescent="0.4">
      <c r="D93" s="19"/>
      <c r="E93" s="20"/>
      <c r="F93" s="21"/>
      <c r="G93" s="22"/>
      <c r="H93" s="21"/>
      <c r="I93" s="22"/>
      <c r="J93" s="23"/>
      <c r="K93" s="21"/>
      <c r="L93" s="24"/>
      <c r="M93" s="25"/>
      <c r="N93" s="26"/>
      <c r="O93" s="26"/>
      <c r="P93" s="22"/>
      <c r="Q93" s="21"/>
      <c r="R93" s="27"/>
      <c r="S93" s="28"/>
      <c r="T93" s="22"/>
      <c r="U93" s="22"/>
      <c r="V93" s="29"/>
    </row>
    <row r="94" spans="4:22" ht="15" thickBot="1" x14ac:dyDescent="0.4">
      <c r="D94" s="19"/>
      <c r="E94" s="20"/>
      <c r="F94" s="21"/>
      <c r="G94" s="22"/>
      <c r="H94" s="21"/>
      <c r="I94" s="22"/>
      <c r="J94" s="23"/>
      <c r="K94" s="21"/>
      <c r="L94" s="24"/>
      <c r="M94" s="25"/>
      <c r="N94" s="26"/>
      <c r="O94" s="26"/>
      <c r="P94" s="22"/>
      <c r="Q94" s="21"/>
      <c r="R94" s="27"/>
      <c r="S94" s="28"/>
      <c r="T94" s="22"/>
      <c r="U94" s="22"/>
      <c r="V94" s="29"/>
    </row>
    <row r="95" spans="4:22" ht="15" thickBot="1" x14ac:dyDescent="0.4">
      <c r="D95" s="19"/>
      <c r="E95" s="20"/>
      <c r="F95" s="21"/>
      <c r="G95" s="22"/>
      <c r="H95" s="21"/>
      <c r="I95" s="22"/>
      <c r="J95" s="23"/>
      <c r="K95" s="21"/>
      <c r="L95" s="24"/>
      <c r="M95" s="25"/>
      <c r="N95" s="26"/>
      <c r="O95" s="26"/>
      <c r="P95" s="22"/>
      <c r="Q95" s="21"/>
      <c r="R95" s="27"/>
      <c r="S95" s="28"/>
      <c r="T95" s="22"/>
      <c r="U95" s="34"/>
      <c r="V95" s="29"/>
    </row>
    <row r="96" spans="4:22" ht="15" thickBot="1" x14ac:dyDescent="0.4">
      <c r="D96" s="19"/>
      <c r="E96" s="20"/>
      <c r="F96" s="21"/>
      <c r="G96" s="22"/>
      <c r="H96" s="21"/>
      <c r="I96" s="22"/>
      <c r="J96" s="23"/>
      <c r="K96" s="21"/>
      <c r="L96" s="24"/>
      <c r="M96" s="25"/>
      <c r="N96" s="26"/>
      <c r="O96" s="26"/>
      <c r="P96" s="22"/>
      <c r="Q96" s="21"/>
      <c r="R96" s="27"/>
      <c r="S96" s="28"/>
      <c r="T96" s="22"/>
      <c r="U96" s="22"/>
      <c r="V96" s="29"/>
    </row>
    <row r="97" spans="4:22" ht="15" thickBot="1" x14ac:dyDescent="0.4">
      <c r="D97" s="19"/>
      <c r="E97" s="20"/>
      <c r="F97" s="21"/>
      <c r="G97" s="22"/>
      <c r="H97" s="21"/>
      <c r="I97" s="22"/>
      <c r="J97" s="23"/>
      <c r="K97" s="21"/>
      <c r="L97" s="24"/>
      <c r="M97" s="25"/>
      <c r="N97" s="26"/>
      <c r="O97" s="26"/>
      <c r="P97" s="22"/>
      <c r="Q97" s="21"/>
      <c r="R97" s="27"/>
      <c r="S97" s="28"/>
      <c r="T97" s="22"/>
      <c r="U97" s="22"/>
      <c r="V97" s="35"/>
    </row>
    <row r="98" spans="4:22" ht="15" thickBot="1" x14ac:dyDescent="0.4">
      <c r="D98" s="19"/>
      <c r="E98" s="20"/>
      <c r="F98" s="21"/>
      <c r="G98" s="22"/>
      <c r="H98" s="21"/>
      <c r="I98" s="22"/>
      <c r="J98" s="23"/>
      <c r="K98" s="21"/>
      <c r="L98" s="24"/>
      <c r="M98" s="25"/>
      <c r="N98" s="26"/>
      <c r="O98" s="26"/>
      <c r="P98" s="22"/>
      <c r="Q98" s="21"/>
      <c r="R98" s="27"/>
      <c r="S98" s="28"/>
      <c r="T98" s="22"/>
      <c r="U98" s="22"/>
      <c r="V98" s="29"/>
    </row>
    <row r="99" spans="4:22" ht="15" thickBot="1" x14ac:dyDescent="0.4">
      <c r="D99" s="19"/>
      <c r="E99" s="20"/>
      <c r="F99" s="21"/>
      <c r="G99" s="22"/>
      <c r="H99" s="21"/>
      <c r="I99" s="22"/>
      <c r="J99" s="23"/>
      <c r="K99" s="21"/>
      <c r="L99" s="24"/>
      <c r="M99" s="25"/>
      <c r="N99" s="26"/>
      <c r="O99" s="26"/>
      <c r="P99" s="22"/>
      <c r="Q99" s="21"/>
      <c r="R99" s="27"/>
      <c r="S99" s="28"/>
      <c r="T99" s="22"/>
      <c r="U99" s="34"/>
      <c r="V99" s="29"/>
    </row>
    <row r="100" spans="4:22" ht="15" thickBot="1" x14ac:dyDescent="0.4">
      <c r="D100" s="19"/>
      <c r="E100" s="20"/>
      <c r="F100" s="21"/>
      <c r="G100" s="22"/>
      <c r="H100" s="21"/>
      <c r="I100" s="22"/>
      <c r="J100" s="23"/>
      <c r="K100" s="21"/>
      <c r="L100" s="24"/>
      <c r="M100" s="25"/>
      <c r="N100" s="26"/>
      <c r="O100" s="26"/>
      <c r="P100" s="22"/>
      <c r="Q100" s="21"/>
      <c r="R100" s="27"/>
      <c r="S100" s="28"/>
      <c r="T100" s="22"/>
      <c r="U100" s="22"/>
      <c r="V100" s="29"/>
    </row>
    <row r="101" spans="4:22" ht="15" thickBot="1" x14ac:dyDescent="0.4">
      <c r="D101" s="19"/>
      <c r="E101" s="20"/>
      <c r="F101" s="21"/>
      <c r="G101" s="22"/>
      <c r="H101" s="21"/>
      <c r="I101" s="22"/>
      <c r="J101" s="23"/>
      <c r="K101" s="21"/>
      <c r="L101" s="24"/>
      <c r="M101" s="25"/>
      <c r="N101" s="26"/>
      <c r="O101" s="26"/>
      <c r="P101" s="22"/>
      <c r="Q101" s="21"/>
      <c r="R101" s="27"/>
      <c r="S101" s="28"/>
      <c r="T101" s="22"/>
      <c r="U101" s="22"/>
      <c r="V101" s="29"/>
    </row>
    <row r="102" spans="4:22" ht="15" thickBot="1" x14ac:dyDescent="0.4">
      <c r="D102" s="19"/>
      <c r="E102" s="20"/>
      <c r="F102" s="21"/>
      <c r="G102" s="22"/>
      <c r="H102" s="21"/>
      <c r="I102" s="22"/>
      <c r="J102" s="23"/>
      <c r="K102" s="21"/>
      <c r="L102" s="24"/>
      <c r="M102" s="25"/>
      <c r="N102" s="26"/>
      <c r="O102" s="26"/>
      <c r="P102" s="22"/>
      <c r="Q102" s="21"/>
      <c r="R102" s="27"/>
      <c r="S102" s="28"/>
      <c r="T102" s="22"/>
      <c r="U102" s="22"/>
      <c r="V102" s="29"/>
    </row>
    <row r="103" spans="4:22" ht="15" thickBot="1" x14ac:dyDescent="0.4">
      <c r="D103" s="19"/>
      <c r="E103" s="20"/>
      <c r="F103" s="21"/>
      <c r="G103" s="22"/>
      <c r="H103" s="21"/>
      <c r="I103" s="22"/>
      <c r="J103" s="23"/>
      <c r="K103" s="21"/>
      <c r="L103" s="24"/>
      <c r="M103" s="25"/>
      <c r="N103" s="26"/>
      <c r="O103" s="26"/>
      <c r="P103" s="22"/>
      <c r="Q103" s="21"/>
      <c r="R103" s="27"/>
      <c r="S103" s="28"/>
      <c r="T103" s="22"/>
      <c r="U103" s="34"/>
      <c r="V103" s="29"/>
    </row>
    <row r="104" spans="4:22" ht="15" thickBot="1" x14ac:dyDescent="0.4">
      <c r="D104" s="19"/>
      <c r="E104" s="20"/>
      <c r="F104" s="21"/>
      <c r="G104" s="22"/>
      <c r="H104" s="21"/>
      <c r="I104" s="22"/>
      <c r="J104" s="23"/>
      <c r="K104" s="21"/>
      <c r="L104" s="24"/>
      <c r="M104" s="25"/>
      <c r="N104" s="26"/>
      <c r="O104" s="26"/>
      <c r="P104" s="22"/>
      <c r="Q104" s="21"/>
      <c r="R104" s="27"/>
      <c r="S104" s="28"/>
      <c r="T104" s="22"/>
      <c r="U104" s="34"/>
      <c r="V104" s="29"/>
    </row>
    <row r="105" spans="4:22" ht="15" thickBot="1" x14ac:dyDescent="0.4">
      <c r="D105" s="19"/>
      <c r="E105" s="20"/>
      <c r="F105" s="21"/>
      <c r="G105" s="22"/>
      <c r="H105" s="21"/>
      <c r="I105" s="22"/>
      <c r="J105" s="23"/>
      <c r="K105" s="21"/>
      <c r="L105" s="24"/>
      <c r="M105" s="25"/>
      <c r="N105" s="26"/>
      <c r="O105" s="26"/>
      <c r="P105" s="22"/>
      <c r="Q105" s="21"/>
      <c r="R105" s="27"/>
      <c r="S105" s="28"/>
      <c r="T105" s="22"/>
      <c r="U105" s="34"/>
      <c r="V105" s="35"/>
    </row>
    <row r="106" spans="4:22" ht="15" thickBot="1" x14ac:dyDescent="0.4">
      <c r="D106" s="19"/>
      <c r="E106" s="20"/>
      <c r="F106" s="21"/>
      <c r="G106" s="22"/>
      <c r="H106" s="21"/>
      <c r="I106" s="22"/>
      <c r="J106" s="23"/>
      <c r="K106" s="21"/>
      <c r="L106" s="24"/>
      <c r="M106" s="25"/>
      <c r="N106" s="26"/>
      <c r="O106" s="26"/>
      <c r="P106" s="22"/>
      <c r="Q106" s="21"/>
      <c r="R106" s="27"/>
      <c r="S106" s="28"/>
      <c r="T106" s="22"/>
      <c r="U106" s="22"/>
      <c r="V106" s="29"/>
    </row>
    <row r="107" spans="4:22" ht="15" thickBot="1" x14ac:dyDescent="0.4">
      <c r="D107" s="19"/>
      <c r="E107" s="20"/>
      <c r="F107" s="21"/>
      <c r="G107" s="22"/>
      <c r="H107" s="21"/>
      <c r="I107" s="22"/>
      <c r="J107" s="23"/>
      <c r="K107" s="21"/>
      <c r="L107" s="24"/>
      <c r="M107" s="25"/>
      <c r="N107" s="26"/>
      <c r="O107" s="26"/>
      <c r="P107" s="22"/>
      <c r="Q107" s="21"/>
      <c r="R107" s="27"/>
      <c r="S107" s="28"/>
      <c r="T107" s="22"/>
      <c r="U107" s="22"/>
      <c r="V107" s="29"/>
    </row>
    <row r="108" spans="4:22" ht="15" thickBot="1" x14ac:dyDescent="0.4">
      <c r="D108" s="19"/>
      <c r="E108" s="20"/>
      <c r="F108" s="21"/>
      <c r="G108" s="22"/>
      <c r="H108" s="21"/>
      <c r="I108" s="22"/>
      <c r="J108" s="23"/>
      <c r="K108" s="21"/>
      <c r="L108" s="24"/>
      <c r="M108" s="25"/>
      <c r="N108" s="26"/>
      <c r="O108" s="26"/>
      <c r="P108" s="22"/>
      <c r="Q108" s="21"/>
      <c r="R108" s="27"/>
      <c r="S108" s="28"/>
      <c r="T108" s="22"/>
      <c r="U108" s="22"/>
      <c r="V108" s="29"/>
    </row>
    <row r="109" spans="4:22" ht="15" thickBot="1" x14ac:dyDescent="0.4">
      <c r="D109" s="19"/>
      <c r="E109" s="20"/>
      <c r="F109" s="21"/>
      <c r="G109" s="22"/>
      <c r="H109" s="21"/>
      <c r="I109" s="22"/>
      <c r="J109" s="23"/>
      <c r="K109" s="21"/>
      <c r="L109" s="24"/>
      <c r="M109" s="25"/>
      <c r="N109" s="26"/>
      <c r="O109" s="26"/>
      <c r="P109" s="22"/>
      <c r="Q109" s="21"/>
      <c r="R109" s="27"/>
      <c r="S109" s="28"/>
      <c r="T109" s="22"/>
      <c r="U109" s="34"/>
      <c r="V109" s="29"/>
    </row>
    <row r="110" spans="4:22" ht="15" thickBot="1" x14ac:dyDescent="0.4">
      <c r="D110" s="19"/>
      <c r="E110" s="20"/>
      <c r="F110" s="21"/>
      <c r="G110" s="22"/>
      <c r="H110" s="21"/>
      <c r="I110" s="22"/>
      <c r="J110" s="23"/>
      <c r="K110" s="21"/>
      <c r="L110" s="24"/>
      <c r="M110" s="25"/>
      <c r="N110" s="26"/>
      <c r="O110" s="26"/>
      <c r="P110" s="22"/>
      <c r="Q110" s="21"/>
      <c r="R110" s="27"/>
      <c r="S110" s="28"/>
      <c r="T110" s="22"/>
      <c r="U110" s="22"/>
      <c r="V110" s="29"/>
    </row>
    <row r="111" spans="4:22" ht="15" thickBot="1" x14ac:dyDescent="0.4">
      <c r="D111" s="19"/>
      <c r="E111" s="20"/>
      <c r="F111" s="21"/>
      <c r="G111" s="22"/>
      <c r="H111" s="21"/>
      <c r="I111" s="22"/>
      <c r="J111" s="23"/>
      <c r="K111" s="21"/>
      <c r="L111" s="24"/>
      <c r="M111" s="25"/>
      <c r="N111" s="26"/>
      <c r="O111" s="26"/>
      <c r="P111" s="22"/>
      <c r="Q111" s="21"/>
      <c r="R111" s="27"/>
      <c r="S111" s="28"/>
      <c r="T111" s="22"/>
      <c r="U111" s="22"/>
      <c r="V111" s="29"/>
    </row>
    <row r="112" spans="4:22" ht="15" thickBot="1" x14ac:dyDescent="0.4">
      <c r="D112" s="19"/>
      <c r="E112" s="20"/>
      <c r="F112" s="21"/>
      <c r="G112" s="22"/>
      <c r="H112" s="21"/>
      <c r="I112" s="22"/>
      <c r="J112" s="23"/>
      <c r="K112" s="21"/>
      <c r="L112" s="24"/>
      <c r="M112" s="25"/>
      <c r="N112" s="26"/>
      <c r="O112" s="26"/>
      <c r="P112" s="22"/>
      <c r="Q112" s="21"/>
      <c r="R112" s="27"/>
      <c r="S112" s="28"/>
      <c r="T112" s="22"/>
      <c r="U112" s="31"/>
      <c r="V112" s="29"/>
    </row>
    <row r="113" spans="4:22" ht="15" thickBot="1" x14ac:dyDescent="0.4">
      <c r="D113" s="19"/>
      <c r="E113" s="20"/>
      <c r="F113" s="21"/>
      <c r="G113" s="22"/>
      <c r="H113" s="21"/>
      <c r="I113" s="22"/>
      <c r="J113" s="23"/>
      <c r="K113" s="21"/>
      <c r="L113" s="24"/>
      <c r="M113" s="25"/>
      <c r="N113" s="26"/>
      <c r="O113" s="26"/>
      <c r="P113" s="22"/>
      <c r="Q113" s="21"/>
      <c r="R113" s="27"/>
      <c r="S113" s="28"/>
      <c r="T113" s="22"/>
      <c r="U113" s="30"/>
      <c r="V113" s="29"/>
    </row>
    <row r="114" spans="4:22" ht="15" thickBot="1" x14ac:dyDescent="0.4">
      <c r="D114" s="19"/>
      <c r="E114" s="20"/>
      <c r="F114" s="21"/>
      <c r="G114" s="22"/>
      <c r="H114" s="21"/>
      <c r="I114" s="22"/>
      <c r="J114" s="23"/>
      <c r="K114" s="21"/>
      <c r="L114" s="24"/>
      <c r="M114" s="25"/>
      <c r="N114" s="26"/>
      <c r="O114" s="26"/>
      <c r="P114" s="22"/>
      <c r="Q114" s="21"/>
      <c r="R114" s="27"/>
      <c r="S114" s="28"/>
      <c r="T114" s="22"/>
      <c r="U114" s="31"/>
      <c r="V114" s="29"/>
    </row>
    <row r="115" spans="4:22" ht="15" thickBot="1" x14ac:dyDescent="0.4">
      <c r="D115" s="19"/>
      <c r="E115" s="20"/>
      <c r="F115" s="21"/>
      <c r="G115" s="22"/>
      <c r="H115" s="21"/>
      <c r="I115" s="22"/>
      <c r="J115" s="23"/>
      <c r="K115" s="21"/>
      <c r="L115" s="24"/>
      <c r="M115" s="25"/>
      <c r="N115" s="26"/>
      <c r="O115" s="26"/>
      <c r="P115" s="22"/>
      <c r="Q115" s="21"/>
      <c r="R115" s="27"/>
      <c r="S115" s="28"/>
      <c r="T115" s="22"/>
      <c r="U115" s="31"/>
      <c r="V115" s="35"/>
    </row>
    <row r="116" spans="4:22" ht="15" thickBot="1" x14ac:dyDescent="0.4">
      <c r="D116" s="19"/>
      <c r="E116" s="20"/>
      <c r="F116" s="21"/>
      <c r="G116" s="22"/>
      <c r="H116" s="21"/>
      <c r="I116" s="22"/>
      <c r="J116" s="23"/>
      <c r="K116" s="21"/>
      <c r="L116" s="24"/>
      <c r="M116" s="25"/>
      <c r="N116" s="26"/>
      <c r="O116" s="26"/>
      <c r="P116" s="22"/>
      <c r="Q116" s="21"/>
      <c r="R116" s="27"/>
      <c r="S116" s="28"/>
      <c r="T116" s="22"/>
      <c r="U116" s="31"/>
      <c r="V116" s="29"/>
    </row>
    <row r="117" spans="4:22" ht="15" thickBot="1" x14ac:dyDescent="0.4">
      <c r="D117" s="19"/>
      <c r="E117" s="20"/>
      <c r="F117" s="21"/>
      <c r="G117" s="22"/>
      <c r="H117" s="21"/>
      <c r="I117" s="22"/>
      <c r="J117" s="23"/>
      <c r="K117" s="21"/>
      <c r="L117" s="24"/>
      <c r="M117" s="25"/>
      <c r="N117" s="26"/>
      <c r="O117" s="26"/>
      <c r="P117" s="22"/>
      <c r="Q117" s="21"/>
      <c r="R117" s="27"/>
      <c r="S117" s="28"/>
      <c r="T117" s="22"/>
      <c r="U117" s="31"/>
      <c r="V117" s="29"/>
    </row>
    <row r="118" spans="4:22" ht="15" thickBot="1" x14ac:dyDescent="0.4">
      <c r="D118" s="19"/>
      <c r="E118" s="20"/>
      <c r="F118" s="21"/>
      <c r="G118" s="22"/>
      <c r="H118" s="21"/>
      <c r="I118" s="22"/>
      <c r="J118" s="23"/>
      <c r="K118" s="21"/>
      <c r="L118" s="24"/>
      <c r="M118" s="25"/>
      <c r="N118" s="26"/>
      <c r="O118" s="26"/>
      <c r="P118" s="22"/>
      <c r="Q118" s="21"/>
      <c r="R118" s="27"/>
      <c r="S118" s="28"/>
      <c r="T118" s="22"/>
      <c r="U118" s="30"/>
      <c r="V118" s="29"/>
    </row>
    <row r="119" spans="4:22" ht="15" thickBot="1" x14ac:dyDescent="0.4">
      <c r="D119" s="19"/>
      <c r="E119" s="20"/>
      <c r="F119" s="21"/>
      <c r="G119" s="22"/>
      <c r="H119" s="21"/>
      <c r="I119" s="22"/>
      <c r="J119" s="23"/>
      <c r="K119" s="21"/>
      <c r="L119" s="24"/>
      <c r="M119" s="25"/>
      <c r="N119" s="26"/>
      <c r="O119" s="26"/>
      <c r="P119" s="22"/>
      <c r="Q119" s="21"/>
      <c r="R119" s="27"/>
      <c r="S119" s="28"/>
      <c r="T119" s="22"/>
      <c r="U119" s="31"/>
      <c r="V119" s="29"/>
    </row>
    <row r="120" spans="4:22" ht="15" thickBot="1" x14ac:dyDescent="0.4">
      <c r="D120" s="19"/>
      <c r="E120" s="20"/>
      <c r="F120" s="21"/>
      <c r="G120" s="22"/>
      <c r="H120" s="21"/>
      <c r="I120" s="22"/>
      <c r="J120" s="23"/>
      <c r="K120" s="21"/>
      <c r="L120" s="24"/>
      <c r="M120" s="25"/>
      <c r="N120" s="26"/>
      <c r="O120" s="26"/>
      <c r="P120" s="22"/>
      <c r="Q120" s="21"/>
      <c r="R120" s="27"/>
      <c r="S120" s="28"/>
      <c r="T120" s="22"/>
      <c r="U120" s="31"/>
      <c r="V120" s="29"/>
    </row>
    <row r="121" spans="4:22" ht="15" thickBot="1" x14ac:dyDescent="0.4">
      <c r="D121" s="19"/>
      <c r="E121" s="20"/>
      <c r="F121" s="21"/>
      <c r="G121" s="22"/>
      <c r="H121" s="21"/>
      <c r="I121" s="22"/>
      <c r="J121" s="23"/>
      <c r="K121" s="21"/>
      <c r="L121" s="24"/>
      <c r="M121" s="25"/>
      <c r="N121" s="26"/>
      <c r="O121" s="26"/>
      <c r="P121" s="22"/>
      <c r="Q121" s="21"/>
      <c r="R121" s="27"/>
      <c r="S121" s="28"/>
      <c r="T121" s="22"/>
      <c r="U121" s="30"/>
      <c r="V121" s="29"/>
    </row>
    <row r="122" spans="4:22" ht="15" thickBot="1" x14ac:dyDescent="0.4">
      <c r="D122" s="19"/>
      <c r="E122" s="20"/>
      <c r="F122" s="21"/>
      <c r="G122" s="22"/>
      <c r="H122" s="21"/>
      <c r="I122" s="22"/>
      <c r="J122" s="23"/>
      <c r="K122" s="21"/>
      <c r="L122" s="24"/>
      <c r="M122" s="25"/>
      <c r="N122" s="26"/>
      <c r="O122" s="26"/>
      <c r="P122" s="22"/>
      <c r="Q122" s="21"/>
      <c r="R122" s="27"/>
      <c r="S122" s="28"/>
      <c r="T122" s="22"/>
      <c r="U122" s="30"/>
      <c r="V122" s="29"/>
    </row>
    <row r="123" spans="4:22" ht="15" thickBot="1" x14ac:dyDescent="0.4">
      <c r="D123" s="19"/>
      <c r="E123" s="20"/>
      <c r="F123" s="21"/>
      <c r="G123" s="22"/>
      <c r="H123" s="21"/>
      <c r="I123" s="22"/>
      <c r="J123" s="23"/>
      <c r="K123" s="21"/>
      <c r="L123" s="24"/>
      <c r="M123" s="25"/>
      <c r="N123" s="26"/>
      <c r="O123" s="26"/>
      <c r="P123" s="22"/>
      <c r="Q123" s="21"/>
      <c r="R123" s="27"/>
      <c r="S123" s="28"/>
      <c r="T123" s="22"/>
      <c r="U123" s="31"/>
      <c r="V123" s="29"/>
    </row>
    <row r="124" spans="4:22" ht="15" thickBot="1" x14ac:dyDescent="0.4">
      <c r="D124" s="19"/>
      <c r="E124" s="20"/>
      <c r="F124" s="21"/>
      <c r="G124" s="22"/>
      <c r="H124" s="21"/>
      <c r="I124" s="22"/>
      <c r="J124" s="23"/>
      <c r="K124" s="21"/>
      <c r="L124" s="24"/>
      <c r="M124" s="25"/>
      <c r="N124" s="26"/>
      <c r="O124" s="26"/>
      <c r="P124" s="22"/>
      <c r="Q124" s="21"/>
      <c r="R124" s="27"/>
      <c r="S124" s="28"/>
      <c r="T124" s="22"/>
      <c r="U124" s="30"/>
      <c r="V124" s="29"/>
    </row>
    <row r="125" spans="4:22" ht="15" thickBot="1" x14ac:dyDescent="0.4">
      <c r="D125" s="19"/>
      <c r="E125" s="20"/>
      <c r="F125" s="21"/>
      <c r="G125" s="22"/>
      <c r="H125" s="21"/>
      <c r="I125" s="22"/>
      <c r="J125" s="23"/>
      <c r="K125" s="21"/>
      <c r="L125" s="24"/>
      <c r="M125" s="25"/>
      <c r="N125" s="26"/>
      <c r="O125" s="26"/>
      <c r="P125" s="22"/>
      <c r="Q125" s="21"/>
      <c r="R125" s="27"/>
      <c r="S125" s="28"/>
      <c r="T125" s="22"/>
      <c r="U125" s="30"/>
      <c r="V125" s="29"/>
    </row>
    <row r="126" spans="4:22" ht="15" thickBot="1" x14ac:dyDescent="0.4">
      <c r="D126" s="19"/>
      <c r="E126" s="20"/>
      <c r="F126" s="21"/>
      <c r="G126" s="22"/>
      <c r="H126" s="21"/>
      <c r="I126" s="22"/>
      <c r="J126" s="23"/>
      <c r="K126" s="21"/>
      <c r="L126" s="24"/>
      <c r="M126" s="25"/>
      <c r="N126" s="26"/>
      <c r="O126" s="26"/>
      <c r="P126" s="22"/>
      <c r="Q126" s="21"/>
      <c r="R126" s="27"/>
      <c r="S126" s="28"/>
      <c r="T126" s="22"/>
      <c r="U126" s="30"/>
      <c r="V126" s="29"/>
    </row>
    <row r="127" spans="4:22" ht="15" thickBot="1" x14ac:dyDescent="0.4">
      <c r="D127" s="19"/>
      <c r="E127" s="20"/>
      <c r="F127" s="21"/>
      <c r="G127" s="22"/>
      <c r="H127" s="21"/>
      <c r="I127" s="22"/>
      <c r="J127" s="23"/>
      <c r="K127" s="21"/>
      <c r="L127" s="24"/>
      <c r="M127" s="25"/>
      <c r="N127" s="26"/>
      <c r="O127" s="26"/>
      <c r="P127" s="22"/>
      <c r="Q127" s="21"/>
      <c r="R127" s="27"/>
      <c r="S127" s="28"/>
      <c r="T127" s="22"/>
      <c r="U127" s="31"/>
      <c r="V127" s="29"/>
    </row>
    <row r="128" spans="4:22" ht="15" thickBot="1" x14ac:dyDescent="0.4">
      <c r="D128" s="19"/>
      <c r="E128" s="20"/>
      <c r="F128" s="21"/>
      <c r="G128" s="22"/>
      <c r="H128" s="21"/>
      <c r="I128" s="22"/>
      <c r="J128" s="23"/>
      <c r="K128" s="21"/>
      <c r="L128" s="24"/>
      <c r="M128" s="25"/>
      <c r="N128" s="26"/>
      <c r="O128" s="26"/>
      <c r="P128" s="22"/>
      <c r="Q128" s="21"/>
      <c r="R128" s="27"/>
      <c r="S128" s="28"/>
      <c r="T128" s="22"/>
      <c r="U128" s="30"/>
      <c r="V128" s="35"/>
    </row>
    <row r="129" spans="4:22" ht="15" thickBot="1" x14ac:dyDescent="0.4">
      <c r="D129" s="19"/>
      <c r="E129" s="20"/>
      <c r="F129" s="21"/>
      <c r="G129" s="22"/>
      <c r="H129" s="21"/>
      <c r="I129" s="22"/>
      <c r="J129" s="23"/>
      <c r="K129" s="21"/>
      <c r="L129" s="24"/>
      <c r="M129" s="25"/>
      <c r="N129" s="26"/>
      <c r="O129" s="26"/>
      <c r="P129" s="22"/>
      <c r="Q129" s="21"/>
      <c r="R129" s="27"/>
      <c r="S129" s="28"/>
      <c r="T129" s="22"/>
      <c r="U129" s="30"/>
      <c r="V129" s="29"/>
    </row>
    <row r="130" spans="4:22" ht="15" thickBot="1" x14ac:dyDescent="0.4">
      <c r="D130" s="19"/>
      <c r="E130" s="20"/>
      <c r="F130" s="21"/>
      <c r="G130" s="22"/>
      <c r="H130" s="21"/>
      <c r="I130" s="22"/>
      <c r="J130" s="23"/>
      <c r="K130" s="21"/>
      <c r="L130" s="24"/>
      <c r="M130" s="25"/>
      <c r="N130" s="26"/>
      <c r="O130" s="26"/>
      <c r="P130" s="22"/>
      <c r="Q130" s="21"/>
      <c r="R130" s="27"/>
      <c r="S130" s="28"/>
      <c r="T130" s="22"/>
      <c r="U130" s="30"/>
      <c r="V130" s="29"/>
    </row>
    <row r="131" spans="4:22" ht="15" thickBot="1" x14ac:dyDescent="0.4">
      <c r="D131" s="19"/>
      <c r="E131" s="20"/>
      <c r="F131" s="21"/>
      <c r="G131" s="22"/>
      <c r="H131" s="21"/>
      <c r="I131" s="22"/>
      <c r="J131" s="23"/>
      <c r="K131" s="21"/>
      <c r="L131" s="24"/>
      <c r="M131" s="25"/>
      <c r="N131" s="26"/>
      <c r="O131" s="26"/>
      <c r="P131" s="22"/>
      <c r="Q131" s="21"/>
      <c r="R131" s="27"/>
      <c r="S131" s="28"/>
      <c r="T131" s="22"/>
      <c r="U131" s="31"/>
      <c r="V131" s="29"/>
    </row>
    <row r="132" spans="4:22" ht="15" thickBot="1" x14ac:dyDescent="0.4">
      <c r="D132" s="19"/>
      <c r="E132" s="20"/>
      <c r="F132" s="21"/>
      <c r="G132" s="22"/>
      <c r="H132" s="21"/>
      <c r="I132" s="22"/>
      <c r="J132" s="23"/>
      <c r="K132" s="21"/>
      <c r="L132" s="24"/>
      <c r="M132" s="25"/>
      <c r="N132" s="26"/>
      <c r="O132" s="26"/>
      <c r="P132" s="22"/>
      <c r="Q132" s="21"/>
      <c r="R132" s="27"/>
      <c r="S132" s="28"/>
      <c r="T132" s="22"/>
      <c r="U132" s="31"/>
      <c r="V132" s="29"/>
    </row>
    <row r="133" spans="4:22" ht="15" thickBot="1" x14ac:dyDescent="0.4">
      <c r="D133" s="19"/>
      <c r="E133" s="20"/>
      <c r="F133" s="21"/>
      <c r="G133" s="22"/>
      <c r="H133" s="21"/>
      <c r="I133" s="22"/>
      <c r="J133" s="23"/>
      <c r="K133" s="21"/>
      <c r="L133" s="24"/>
      <c r="M133" s="25"/>
      <c r="N133" s="26"/>
      <c r="O133" s="26"/>
      <c r="P133" s="22"/>
      <c r="Q133" s="21"/>
      <c r="R133" s="27"/>
      <c r="S133" s="28"/>
      <c r="T133" s="22"/>
      <c r="U133" s="33"/>
      <c r="V133" s="29"/>
    </row>
    <row r="134" spans="4:22" ht="15" thickBot="1" x14ac:dyDescent="0.4">
      <c r="D134" s="19"/>
      <c r="E134" s="20"/>
      <c r="F134" s="21"/>
      <c r="G134" s="22"/>
      <c r="H134" s="21"/>
      <c r="I134" s="22"/>
      <c r="J134" s="23"/>
      <c r="K134" s="21"/>
      <c r="L134" s="24"/>
      <c r="M134" s="25"/>
      <c r="N134" s="26"/>
      <c r="O134" s="26"/>
      <c r="P134" s="22"/>
      <c r="Q134" s="21"/>
      <c r="R134" s="27"/>
      <c r="S134" s="28"/>
      <c r="T134" s="22"/>
      <c r="U134" s="33"/>
      <c r="V134" s="29"/>
    </row>
    <row r="135" spans="4:22" ht="15" thickBot="1" x14ac:dyDescent="0.4">
      <c r="D135" s="19"/>
      <c r="E135" s="20"/>
      <c r="F135" s="21"/>
      <c r="G135" s="22"/>
      <c r="H135" s="21"/>
      <c r="I135" s="22"/>
      <c r="J135" s="23"/>
      <c r="K135" s="21"/>
      <c r="L135" s="24"/>
      <c r="M135" s="25"/>
      <c r="N135" s="26"/>
      <c r="O135" s="26"/>
      <c r="P135" s="22"/>
      <c r="Q135" s="21"/>
      <c r="R135" s="27"/>
      <c r="S135" s="28"/>
      <c r="T135" s="22"/>
      <c r="U135" s="32"/>
      <c r="V135" s="29"/>
    </row>
    <row r="136" spans="4:22" ht="15" thickBot="1" x14ac:dyDescent="0.4">
      <c r="D136" s="19"/>
      <c r="E136" s="20"/>
      <c r="F136" s="21"/>
      <c r="G136" s="22"/>
      <c r="H136" s="21"/>
      <c r="I136" s="22"/>
      <c r="J136" s="23"/>
      <c r="K136" s="21"/>
      <c r="L136" s="24"/>
      <c r="M136" s="25"/>
      <c r="N136" s="26"/>
      <c r="O136" s="26"/>
      <c r="P136" s="22"/>
      <c r="Q136" s="21"/>
      <c r="R136" s="27"/>
      <c r="S136" s="28"/>
      <c r="T136" s="22"/>
      <c r="U136" s="33"/>
      <c r="V136" s="29"/>
    </row>
    <row r="137" spans="4:22" ht="15" thickBot="1" x14ac:dyDescent="0.4">
      <c r="D137" s="19"/>
      <c r="E137" s="20"/>
      <c r="F137" s="21"/>
      <c r="G137" s="22"/>
      <c r="H137" s="21"/>
      <c r="I137" s="22"/>
      <c r="J137" s="23"/>
      <c r="K137" s="21"/>
      <c r="L137" s="24"/>
      <c r="M137" s="25"/>
      <c r="N137" s="26"/>
      <c r="O137" s="26"/>
      <c r="P137" s="22"/>
      <c r="Q137" s="21"/>
      <c r="R137" s="27"/>
      <c r="S137" s="28"/>
      <c r="T137" s="22"/>
      <c r="U137" s="33"/>
      <c r="V137" s="29"/>
    </row>
    <row r="138" spans="4:22" ht="15" thickBot="1" x14ac:dyDescent="0.4">
      <c r="D138" s="19"/>
      <c r="E138" s="20"/>
      <c r="F138" s="21"/>
      <c r="G138" s="22"/>
      <c r="H138" s="21"/>
      <c r="I138" s="22"/>
      <c r="J138" s="23"/>
      <c r="K138" s="21"/>
      <c r="L138" s="24"/>
      <c r="M138" s="25"/>
      <c r="N138" s="26"/>
      <c r="O138" s="26"/>
      <c r="P138" s="22"/>
      <c r="Q138" s="21"/>
      <c r="R138" s="27"/>
      <c r="S138" s="28"/>
      <c r="T138" s="22"/>
      <c r="U138" s="32"/>
      <c r="V138" s="29"/>
    </row>
    <row r="139" spans="4:22" ht="15" thickBot="1" x14ac:dyDescent="0.4">
      <c r="D139" s="19"/>
      <c r="E139" s="20"/>
      <c r="F139" s="21"/>
      <c r="G139" s="22"/>
      <c r="H139" s="21"/>
      <c r="I139" s="22"/>
      <c r="J139" s="23"/>
      <c r="K139" s="21"/>
      <c r="L139" s="24"/>
      <c r="M139" s="25"/>
      <c r="N139" s="26"/>
      <c r="O139" s="26"/>
      <c r="P139" s="22"/>
      <c r="Q139" s="21"/>
      <c r="R139" s="27"/>
      <c r="S139" s="28"/>
      <c r="T139" s="22"/>
      <c r="U139" s="33"/>
      <c r="V139" s="29"/>
    </row>
    <row r="140" spans="4:22" ht="15" thickBot="1" x14ac:dyDescent="0.4">
      <c r="D140" s="19"/>
      <c r="E140" s="20"/>
      <c r="F140" s="21"/>
      <c r="G140" s="22"/>
      <c r="H140" s="21"/>
      <c r="I140" s="22"/>
      <c r="J140" s="23"/>
      <c r="K140" s="21"/>
      <c r="L140" s="24"/>
      <c r="M140" s="25"/>
      <c r="N140" s="26"/>
      <c r="O140" s="26"/>
      <c r="P140" s="22"/>
      <c r="Q140" s="21"/>
      <c r="R140" s="27"/>
      <c r="S140" s="28"/>
      <c r="T140" s="22"/>
      <c r="U140" s="33"/>
      <c r="V140" s="29"/>
    </row>
    <row r="141" spans="4:22" ht="15" thickBot="1" x14ac:dyDescent="0.4">
      <c r="D141" s="19"/>
      <c r="E141" s="20"/>
      <c r="F141" s="21"/>
      <c r="G141" s="22"/>
      <c r="H141" s="21"/>
      <c r="I141" s="22"/>
      <c r="J141" s="23"/>
      <c r="K141" s="21"/>
      <c r="L141" s="24"/>
      <c r="M141" s="25"/>
      <c r="N141" s="26"/>
      <c r="O141" s="26"/>
      <c r="P141" s="22"/>
      <c r="Q141" s="21"/>
      <c r="R141" s="27"/>
      <c r="S141" s="28"/>
      <c r="T141" s="22"/>
      <c r="U141" s="33"/>
      <c r="V141" s="29"/>
    </row>
    <row r="142" spans="4:22" ht="15" thickBot="1" x14ac:dyDescent="0.4">
      <c r="D142" s="19"/>
      <c r="E142" s="20"/>
      <c r="F142" s="21"/>
      <c r="G142" s="22"/>
      <c r="H142" s="21"/>
      <c r="I142" s="22"/>
      <c r="J142" s="23"/>
      <c r="K142" s="21"/>
      <c r="L142" s="24"/>
      <c r="M142" s="25"/>
      <c r="N142" s="26"/>
      <c r="O142" s="26"/>
      <c r="P142" s="22"/>
      <c r="Q142" s="21"/>
      <c r="R142" s="27"/>
      <c r="S142" s="28"/>
      <c r="T142" s="22"/>
      <c r="U142" s="33"/>
      <c r="V142" s="29"/>
    </row>
    <row r="143" spans="4:22" ht="15" thickBot="1" x14ac:dyDescent="0.4">
      <c r="D143" s="19"/>
      <c r="E143" s="20"/>
      <c r="F143" s="21"/>
      <c r="G143" s="22"/>
      <c r="H143" s="21"/>
      <c r="I143" s="22"/>
      <c r="J143" s="23"/>
      <c r="K143" s="21"/>
      <c r="L143" s="24"/>
      <c r="M143" s="25"/>
      <c r="N143" s="26"/>
      <c r="O143" s="26"/>
      <c r="P143" s="22"/>
      <c r="Q143" s="21"/>
      <c r="R143" s="27"/>
      <c r="S143" s="28"/>
      <c r="T143" s="22"/>
      <c r="U143" s="33"/>
      <c r="V143" s="29"/>
    </row>
    <row r="144" spans="4:22" ht="15" thickBot="1" x14ac:dyDescent="0.4">
      <c r="D144" s="19"/>
      <c r="E144" s="20"/>
      <c r="F144" s="21"/>
      <c r="G144" s="22"/>
      <c r="H144" s="21"/>
      <c r="I144" s="22"/>
      <c r="J144" s="23"/>
      <c r="K144" s="21"/>
      <c r="L144" s="24"/>
      <c r="M144" s="25"/>
      <c r="N144" s="26"/>
      <c r="O144" s="26"/>
      <c r="P144" s="22"/>
      <c r="Q144" s="21"/>
      <c r="R144" s="27"/>
      <c r="S144" s="28"/>
      <c r="T144" s="22"/>
      <c r="U144" s="33"/>
      <c r="V144" s="35"/>
    </row>
    <row r="145" spans="4:22" ht="15" thickBot="1" x14ac:dyDescent="0.4">
      <c r="D145" s="19"/>
      <c r="E145" s="20"/>
      <c r="F145" s="21"/>
      <c r="G145" s="22"/>
      <c r="H145" s="21"/>
      <c r="I145" s="22"/>
      <c r="J145" s="23"/>
      <c r="K145" s="21"/>
      <c r="L145" s="24"/>
      <c r="M145" s="25"/>
      <c r="N145" s="26"/>
      <c r="O145" s="26"/>
      <c r="P145" s="22"/>
      <c r="Q145" s="21"/>
      <c r="R145" s="27"/>
      <c r="S145" s="28"/>
      <c r="T145" s="22"/>
      <c r="U145" s="32"/>
      <c r="V145" s="29"/>
    </row>
    <row r="146" spans="4:22" ht="15" thickBot="1" x14ac:dyDescent="0.4">
      <c r="D146" s="19"/>
      <c r="E146" s="20"/>
      <c r="F146" s="21"/>
      <c r="G146" s="22"/>
      <c r="H146" s="21"/>
      <c r="I146" s="22"/>
      <c r="J146" s="23"/>
      <c r="K146" s="21"/>
      <c r="L146" s="24"/>
      <c r="M146" s="25"/>
      <c r="N146" s="26"/>
      <c r="O146" s="26"/>
      <c r="P146" s="22"/>
      <c r="Q146" s="21"/>
      <c r="R146" s="27"/>
      <c r="S146" s="28"/>
      <c r="T146" s="22"/>
      <c r="U146" s="32"/>
      <c r="V146" s="35"/>
    </row>
    <row r="147" spans="4:22" ht="15" thickBot="1" x14ac:dyDescent="0.4">
      <c r="D147" s="19"/>
      <c r="E147" s="20"/>
      <c r="F147" s="21"/>
      <c r="G147" s="22"/>
      <c r="H147" s="21"/>
      <c r="I147" s="22"/>
      <c r="J147" s="23"/>
      <c r="K147" s="21"/>
      <c r="L147" s="24"/>
      <c r="M147" s="25"/>
      <c r="N147" s="26"/>
      <c r="O147" s="26"/>
      <c r="P147" s="22"/>
      <c r="Q147" s="21"/>
      <c r="R147" s="27"/>
      <c r="S147" s="28"/>
      <c r="T147" s="22"/>
      <c r="U147" s="33"/>
      <c r="V147" s="29"/>
    </row>
    <row r="148" spans="4:22" ht="15" thickBot="1" x14ac:dyDescent="0.4">
      <c r="D148" s="19"/>
      <c r="E148" s="20"/>
      <c r="F148" s="21"/>
      <c r="G148" s="22"/>
      <c r="H148" s="21"/>
      <c r="I148" s="22"/>
      <c r="J148" s="23"/>
      <c r="K148" s="21"/>
      <c r="L148" s="24"/>
      <c r="M148" s="25"/>
      <c r="N148" s="26"/>
      <c r="O148" s="26"/>
      <c r="P148" s="22"/>
      <c r="Q148" s="21"/>
      <c r="R148" s="27"/>
      <c r="S148" s="28"/>
      <c r="T148" s="22"/>
      <c r="U148" s="33"/>
      <c r="V148" s="29"/>
    </row>
    <row r="149" spans="4:22" ht="15" thickBot="1" x14ac:dyDescent="0.4">
      <c r="D149" s="19"/>
      <c r="E149" s="20"/>
      <c r="F149" s="21"/>
      <c r="G149" s="22"/>
      <c r="H149" s="21"/>
      <c r="I149" s="22"/>
      <c r="J149" s="23"/>
      <c r="K149" s="21"/>
      <c r="L149" s="24"/>
      <c r="M149" s="25"/>
      <c r="N149" s="26"/>
      <c r="O149" s="26"/>
      <c r="P149" s="22"/>
      <c r="Q149" s="21"/>
      <c r="R149" s="27"/>
      <c r="S149" s="28"/>
      <c r="T149" s="22"/>
      <c r="U149" s="32"/>
      <c r="V149" s="35"/>
    </row>
    <row r="150" spans="4:22" ht="15" thickBot="1" x14ac:dyDescent="0.4">
      <c r="D150" s="19"/>
      <c r="E150" s="20"/>
      <c r="F150" s="21"/>
      <c r="G150" s="22"/>
      <c r="H150" s="21"/>
      <c r="I150" s="22"/>
      <c r="J150" s="23"/>
      <c r="K150" s="21"/>
      <c r="L150" s="24"/>
      <c r="M150" s="25"/>
      <c r="N150" s="26"/>
      <c r="O150" s="26"/>
      <c r="P150" s="22"/>
      <c r="Q150" s="21"/>
      <c r="R150" s="27"/>
      <c r="S150" s="28"/>
      <c r="T150" s="22"/>
      <c r="U150" s="33"/>
      <c r="V150" s="35"/>
    </row>
    <row r="151" spans="4:22" ht="15" thickBot="1" x14ac:dyDescent="0.4">
      <c r="D151" s="19"/>
      <c r="E151" s="20"/>
      <c r="F151" s="21"/>
      <c r="G151" s="22"/>
      <c r="H151" s="21"/>
      <c r="I151" s="22"/>
      <c r="J151" s="23"/>
      <c r="K151" s="21"/>
      <c r="L151" s="24"/>
      <c r="M151" s="25"/>
      <c r="N151" s="26"/>
      <c r="O151" s="26"/>
      <c r="P151" s="22"/>
      <c r="Q151" s="21"/>
      <c r="R151" s="27"/>
      <c r="S151" s="28"/>
      <c r="T151" s="22"/>
      <c r="U151" s="32"/>
      <c r="V151" s="35"/>
    </row>
    <row r="152" spans="4:22" ht="15" thickBot="1" x14ac:dyDescent="0.4">
      <c r="D152" s="19"/>
      <c r="E152" s="20"/>
      <c r="F152" s="21"/>
      <c r="G152" s="22"/>
      <c r="H152" s="21"/>
      <c r="I152" s="22"/>
      <c r="J152" s="23"/>
      <c r="K152" s="21"/>
      <c r="L152" s="24"/>
      <c r="M152" s="25"/>
      <c r="N152" s="26"/>
      <c r="O152" s="26"/>
      <c r="P152" s="22"/>
      <c r="Q152" s="21"/>
      <c r="R152" s="27"/>
      <c r="S152" s="28"/>
      <c r="T152" s="22"/>
      <c r="U152" s="32"/>
      <c r="V152" s="35"/>
    </row>
    <row r="153" spans="4:22" ht="15" thickBot="1" x14ac:dyDescent="0.4">
      <c r="D153" s="19"/>
      <c r="E153" s="20"/>
      <c r="F153" s="21"/>
      <c r="G153" s="22"/>
      <c r="H153" s="21"/>
      <c r="I153" s="22"/>
      <c r="J153" s="23"/>
      <c r="K153" s="21"/>
      <c r="L153" s="24"/>
      <c r="M153" s="25"/>
      <c r="N153" s="26"/>
      <c r="O153" s="26"/>
      <c r="P153" s="22"/>
      <c r="Q153" s="21"/>
      <c r="R153" s="27"/>
      <c r="S153" s="28"/>
      <c r="T153" s="22"/>
      <c r="U153" s="33"/>
      <c r="V153" s="35"/>
    </row>
    <row r="154" spans="4:22" ht="15" thickBot="1" x14ac:dyDescent="0.4">
      <c r="D154" s="19"/>
      <c r="E154" s="20"/>
      <c r="F154" s="21"/>
      <c r="G154" s="22"/>
      <c r="H154" s="21"/>
      <c r="I154" s="22"/>
      <c r="J154" s="23"/>
      <c r="K154" s="21"/>
      <c r="L154" s="24"/>
      <c r="M154" s="25"/>
      <c r="N154" s="26"/>
      <c r="O154" s="26"/>
      <c r="P154" s="22"/>
      <c r="Q154" s="21"/>
      <c r="R154" s="27"/>
      <c r="S154" s="28"/>
      <c r="T154" s="22"/>
      <c r="U154" s="32"/>
      <c r="V154" s="35"/>
    </row>
    <row r="155" spans="4:22" ht="15" thickBot="1" x14ac:dyDescent="0.4">
      <c r="D155" s="19"/>
      <c r="E155" s="20"/>
      <c r="F155" s="21"/>
      <c r="G155" s="22"/>
      <c r="H155" s="21"/>
      <c r="I155" s="22"/>
      <c r="J155" s="23"/>
      <c r="K155" s="21"/>
      <c r="L155" s="24"/>
      <c r="M155" s="25"/>
      <c r="N155" s="26"/>
      <c r="O155" s="26"/>
      <c r="P155" s="22"/>
      <c r="Q155" s="21"/>
      <c r="R155" s="27"/>
      <c r="S155" s="28"/>
      <c r="T155" s="22"/>
      <c r="U155" s="33"/>
      <c r="V155" s="29"/>
    </row>
    <row r="156" spans="4:22" ht="15" thickBot="1" x14ac:dyDescent="0.4">
      <c r="D156" s="19"/>
      <c r="E156" s="20"/>
      <c r="F156" s="21"/>
      <c r="G156" s="22"/>
      <c r="H156" s="21"/>
      <c r="I156" s="22"/>
      <c r="J156" s="23"/>
      <c r="K156" s="21"/>
      <c r="L156" s="24"/>
      <c r="M156" s="25"/>
      <c r="N156" s="26"/>
      <c r="O156" s="26"/>
      <c r="P156" s="22"/>
      <c r="Q156" s="21"/>
      <c r="R156" s="27"/>
      <c r="S156" s="28"/>
      <c r="T156" s="22"/>
      <c r="U156" s="32"/>
      <c r="V156" s="35"/>
    </row>
    <row r="157" spans="4:22" ht="15" thickBot="1" x14ac:dyDescent="0.4">
      <c r="D157" s="19"/>
      <c r="E157" s="20"/>
      <c r="F157" s="21"/>
      <c r="G157" s="22"/>
      <c r="H157" s="21"/>
      <c r="I157" s="22"/>
      <c r="J157" s="23"/>
      <c r="K157" s="21"/>
      <c r="L157" s="24"/>
      <c r="M157" s="25"/>
      <c r="N157" s="26"/>
      <c r="O157" s="26"/>
      <c r="P157" s="22"/>
      <c r="Q157" s="21"/>
      <c r="R157" s="27"/>
      <c r="S157" s="28"/>
      <c r="T157" s="22"/>
      <c r="U157" s="33"/>
      <c r="V157" s="35"/>
    </row>
    <row r="158" spans="4:22" ht="15" thickBot="1" x14ac:dyDescent="0.4">
      <c r="D158" s="19"/>
      <c r="E158" s="20"/>
      <c r="F158" s="21"/>
      <c r="G158" s="22"/>
      <c r="H158" s="21"/>
      <c r="I158" s="22"/>
      <c r="J158" s="23"/>
      <c r="K158" s="21"/>
      <c r="L158" s="24"/>
      <c r="M158" s="25"/>
      <c r="N158" s="26"/>
      <c r="O158" s="26"/>
      <c r="P158" s="22"/>
      <c r="Q158" s="21"/>
      <c r="R158" s="27"/>
      <c r="S158" s="28"/>
      <c r="T158" s="22"/>
      <c r="U158" s="33"/>
      <c r="V158" s="35"/>
    </row>
    <row r="159" spans="4:22" ht="15" thickBot="1" x14ac:dyDescent="0.4">
      <c r="D159" s="19"/>
      <c r="E159" s="36"/>
      <c r="F159" s="21"/>
      <c r="G159" s="22"/>
      <c r="H159" s="21"/>
      <c r="I159" s="22"/>
      <c r="J159" s="23"/>
      <c r="K159" s="21"/>
      <c r="L159" s="24"/>
      <c r="M159" s="25"/>
      <c r="N159" s="26"/>
      <c r="O159" s="26"/>
      <c r="P159" s="22"/>
      <c r="Q159" s="21"/>
      <c r="R159" s="27"/>
      <c r="S159" s="28"/>
      <c r="T159" s="22"/>
      <c r="U159" s="33"/>
      <c r="V159" s="29"/>
    </row>
    <row r="160" spans="4:22" ht="15" thickBot="1" x14ac:dyDescent="0.4">
      <c r="D160" s="19"/>
      <c r="E160" s="36"/>
      <c r="F160" s="21"/>
      <c r="G160" s="22"/>
      <c r="H160" s="21"/>
      <c r="I160" s="22"/>
      <c r="J160" s="23"/>
      <c r="K160" s="21"/>
      <c r="L160" s="24"/>
      <c r="M160" s="25"/>
      <c r="N160" s="26"/>
      <c r="O160" s="26"/>
      <c r="P160" s="22"/>
      <c r="Q160" s="21"/>
      <c r="R160" s="27"/>
      <c r="S160" s="28"/>
      <c r="T160" s="22"/>
      <c r="U160" s="33"/>
      <c r="V160" s="35"/>
    </row>
    <row r="161" spans="4:22" ht="15" thickBot="1" x14ac:dyDescent="0.4">
      <c r="D161" s="19"/>
      <c r="E161" s="36"/>
      <c r="F161" s="21"/>
      <c r="G161" s="22"/>
      <c r="H161" s="21"/>
      <c r="I161" s="22"/>
      <c r="J161" s="23"/>
      <c r="K161" s="21"/>
      <c r="L161" s="24"/>
      <c r="M161" s="25"/>
      <c r="N161" s="26"/>
      <c r="O161" s="26"/>
      <c r="P161" s="22"/>
      <c r="Q161" s="21"/>
      <c r="R161" s="27"/>
      <c r="S161" s="28"/>
      <c r="T161" s="22"/>
      <c r="U161" s="32"/>
      <c r="V161" s="35"/>
    </row>
    <row r="162" spans="4:22" ht="15" thickBot="1" x14ac:dyDescent="0.4">
      <c r="D162" s="19"/>
      <c r="E162" s="36"/>
      <c r="F162" s="21"/>
      <c r="G162" s="22"/>
      <c r="H162" s="21"/>
      <c r="I162" s="22"/>
      <c r="J162" s="23"/>
      <c r="K162" s="21"/>
      <c r="L162" s="24"/>
      <c r="M162" s="25"/>
      <c r="N162" s="26"/>
      <c r="O162" s="26"/>
      <c r="P162" s="22"/>
      <c r="Q162" s="21"/>
      <c r="R162" s="27"/>
      <c r="S162" s="28"/>
      <c r="T162" s="22"/>
      <c r="U162" s="32"/>
      <c r="V162" s="35"/>
    </row>
    <row r="163" spans="4:22" ht="15" thickBot="1" x14ac:dyDescent="0.4">
      <c r="D163" s="19"/>
      <c r="E163" s="36"/>
      <c r="F163" s="21"/>
      <c r="G163" s="22"/>
      <c r="H163" s="21"/>
      <c r="I163" s="22"/>
      <c r="J163" s="23"/>
      <c r="K163" s="21"/>
      <c r="L163" s="24"/>
      <c r="M163" s="25"/>
      <c r="N163" s="26"/>
      <c r="O163" s="26"/>
      <c r="P163" s="22"/>
      <c r="Q163" s="21"/>
      <c r="R163" s="27"/>
      <c r="S163" s="28"/>
      <c r="T163" s="22"/>
      <c r="U163" s="33"/>
      <c r="V163" s="29"/>
    </row>
    <row r="164" spans="4:22" ht="15" thickBot="1" x14ac:dyDescent="0.4">
      <c r="D164" s="19"/>
      <c r="E164" s="36"/>
      <c r="F164" s="21"/>
      <c r="G164" s="22"/>
      <c r="H164" s="21"/>
      <c r="I164" s="22"/>
      <c r="J164" s="23"/>
      <c r="K164" s="21"/>
      <c r="L164" s="24"/>
      <c r="M164" s="25"/>
      <c r="N164" s="26"/>
      <c r="O164" s="26"/>
      <c r="P164" s="22"/>
      <c r="Q164" s="21"/>
      <c r="R164" s="27"/>
      <c r="S164" s="28"/>
      <c r="T164" s="22"/>
      <c r="U164" s="33"/>
      <c r="V164" s="35"/>
    </row>
    <row r="165" spans="4:22" ht="15" thickBot="1" x14ac:dyDescent="0.4">
      <c r="D165" s="19"/>
      <c r="E165" s="36"/>
      <c r="F165" s="21"/>
      <c r="G165" s="22"/>
      <c r="H165" s="21"/>
      <c r="I165" s="22"/>
      <c r="J165" s="23"/>
      <c r="K165" s="21"/>
      <c r="L165" s="24"/>
      <c r="M165" s="25"/>
      <c r="N165" s="26"/>
      <c r="O165" s="26"/>
      <c r="P165" s="22"/>
      <c r="Q165" s="21"/>
      <c r="R165" s="27"/>
      <c r="S165" s="28"/>
      <c r="T165" s="22"/>
      <c r="U165" s="32"/>
      <c r="V165" s="35"/>
    </row>
    <row r="166" spans="4:22" ht="15" thickBot="1" x14ac:dyDescent="0.4">
      <c r="D166" s="19"/>
      <c r="E166" s="36"/>
      <c r="F166" s="21"/>
      <c r="G166" s="22"/>
      <c r="H166" s="21"/>
      <c r="I166" s="22"/>
      <c r="J166" s="23"/>
      <c r="K166" s="21"/>
      <c r="L166" s="24"/>
      <c r="M166" s="25"/>
      <c r="N166" s="26"/>
      <c r="O166" s="26"/>
      <c r="P166" s="22"/>
      <c r="Q166" s="21"/>
      <c r="R166" s="27"/>
      <c r="S166" s="28"/>
      <c r="T166" s="22"/>
      <c r="U166" s="33"/>
      <c r="V166" s="35"/>
    </row>
    <row r="167" spans="4:22" ht="15" thickBot="1" x14ac:dyDescent="0.4">
      <c r="D167" s="19"/>
      <c r="E167" s="36"/>
      <c r="F167" s="21"/>
      <c r="G167" s="22"/>
      <c r="H167" s="21"/>
      <c r="I167" s="22"/>
      <c r="J167" s="23"/>
      <c r="K167" s="21"/>
      <c r="L167" s="24"/>
      <c r="M167" s="25"/>
      <c r="N167" s="26"/>
      <c r="O167" s="26"/>
      <c r="P167" s="22"/>
      <c r="Q167" s="21"/>
      <c r="R167" s="27"/>
      <c r="S167" s="28"/>
      <c r="T167" s="22"/>
      <c r="U167" s="33"/>
      <c r="V167" s="29"/>
    </row>
    <row r="168" spans="4:22" ht="15" thickBot="1" x14ac:dyDescent="0.4">
      <c r="D168" s="19"/>
      <c r="E168" s="36"/>
      <c r="F168" s="21"/>
      <c r="G168" s="22"/>
      <c r="H168" s="21"/>
      <c r="I168" s="22"/>
      <c r="J168" s="23"/>
      <c r="K168" s="21"/>
      <c r="L168" s="24"/>
      <c r="M168" s="25"/>
      <c r="N168" s="26"/>
      <c r="O168" s="26"/>
      <c r="P168" s="22"/>
      <c r="Q168" s="21"/>
      <c r="R168" s="27"/>
      <c r="S168" s="28"/>
      <c r="T168" s="22"/>
      <c r="U168" s="33"/>
      <c r="V168" s="35"/>
    </row>
    <row r="169" spans="4:22" ht="15" thickBot="1" x14ac:dyDescent="0.4">
      <c r="D169" s="19"/>
      <c r="E169" s="36"/>
      <c r="F169" s="21"/>
      <c r="G169" s="22"/>
      <c r="H169" s="21"/>
      <c r="I169" s="22"/>
      <c r="J169" s="23"/>
      <c r="K169" s="21"/>
      <c r="L169" s="24"/>
      <c r="M169" s="25"/>
      <c r="N169" s="26"/>
      <c r="O169" s="26"/>
      <c r="P169" s="22"/>
      <c r="Q169" s="21"/>
      <c r="R169" s="27"/>
      <c r="S169" s="28"/>
      <c r="T169" s="22"/>
      <c r="U169" s="33"/>
      <c r="V169" s="35"/>
    </row>
    <row r="170" spans="4:22" ht="15" thickBot="1" x14ac:dyDescent="0.4">
      <c r="D170" s="19"/>
      <c r="E170" s="36"/>
      <c r="F170" s="21"/>
      <c r="G170" s="22"/>
      <c r="H170" s="21"/>
      <c r="I170" s="22"/>
      <c r="J170" s="23"/>
      <c r="K170" s="21"/>
      <c r="L170" s="24"/>
      <c r="M170" s="25"/>
      <c r="N170" s="26"/>
      <c r="O170" s="26"/>
      <c r="P170" s="22"/>
      <c r="Q170" s="21"/>
      <c r="R170" s="27"/>
      <c r="S170" s="28"/>
      <c r="T170" s="22"/>
      <c r="U170" s="32"/>
      <c r="V170" s="29"/>
    </row>
    <row r="171" spans="4:22" ht="15" thickBot="1" x14ac:dyDescent="0.4">
      <c r="D171" s="19"/>
      <c r="E171" s="36"/>
      <c r="F171" s="21"/>
      <c r="G171" s="22"/>
      <c r="H171" s="21"/>
      <c r="I171" s="22"/>
      <c r="J171" s="23"/>
      <c r="K171" s="21"/>
      <c r="L171" s="24"/>
      <c r="M171" s="25"/>
      <c r="N171" s="26"/>
      <c r="O171" s="26"/>
      <c r="P171" s="22"/>
      <c r="Q171" s="21"/>
      <c r="R171" s="27"/>
      <c r="S171" s="28"/>
      <c r="T171" s="22"/>
      <c r="U171" s="32"/>
      <c r="V171" s="35"/>
    </row>
    <row r="172" spans="4:22" ht="15" thickBot="1" x14ac:dyDescent="0.4">
      <c r="D172" s="19"/>
      <c r="E172" s="36"/>
      <c r="F172" s="21"/>
      <c r="G172" s="22"/>
      <c r="H172" s="21"/>
      <c r="I172" s="22"/>
      <c r="J172" s="23"/>
      <c r="K172" s="21"/>
      <c r="L172" s="24"/>
      <c r="M172" s="25"/>
      <c r="N172" s="26"/>
      <c r="O172" s="26"/>
      <c r="P172" s="22"/>
      <c r="Q172" s="21"/>
      <c r="R172" s="27"/>
      <c r="S172" s="28"/>
      <c r="T172" s="22"/>
      <c r="U172" s="32"/>
      <c r="V172" s="35"/>
    </row>
    <row r="173" spans="4:22" ht="15" thickBot="1" x14ac:dyDescent="0.4">
      <c r="D173" s="19"/>
      <c r="E173" s="36"/>
      <c r="F173" s="21"/>
      <c r="G173" s="22"/>
      <c r="H173" s="21"/>
      <c r="I173" s="22"/>
      <c r="J173" s="23"/>
      <c r="K173" s="21"/>
      <c r="L173" s="24"/>
      <c r="M173" s="25"/>
      <c r="N173" s="26"/>
      <c r="O173" s="26"/>
      <c r="P173" s="22"/>
      <c r="Q173" s="21"/>
      <c r="R173" s="27"/>
      <c r="S173" s="28"/>
      <c r="T173" s="22"/>
      <c r="U173" s="33"/>
      <c r="V173" s="35"/>
    </row>
    <row r="174" spans="4:22" ht="15" thickBot="1" x14ac:dyDescent="0.4">
      <c r="D174" s="19"/>
      <c r="E174" s="36"/>
      <c r="F174" s="21"/>
      <c r="G174" s="22"/>
      <c r="H174" s="21"/>
      <c r="I174" s="22"/>
      <c r="J174" s="23"/>
      <c r="K174" s="21"/>
      <c r="L174" s="24"/>
      <c r="M174" s="25"/>
      <c r="N174" s="26"/>
      <c r="O174" s="26"/>
      <c r="P174" s="22"/>
      <c r="Q174" s="21"/>
      <c r="R174" s="27"/>
      <c r="S174" s="28"/>
      <c r="T174" s="22"/>
      <c r="U174" s="32"/>
      <c r="V174" s="35"/>
    </row>
    <row r="175" spans="4:22" ht="15" thickBot="1" x14ac:dyDescent="0.4">
      <c r="D175" s="19"/>
      <c r="E175" s="36"/>
      <c r="F175" s="21"/>
      <c r="G175" s="22"/>
      <c r="H175" s="21"/>
      <c r="I175" s="22"/>
      <c r="J175" s="23"/>
      <c r="K175" s="21"/>
      <c r="L175" s="24"/>
      <c r="M175" s="25"/>
      <c r="N175" s="26"/>
      <c r="O175" s="26"/>
      <c r="P175" s="22"/>
      <c r="Q175" s="21"/>
      <c r="R175" s="27"/>
      <c r="S175" s="28"/>
      <c r="T175" s="22"/>
      <c r="U175" s="33"/>
      <c r="V175" s="35"/>
    </row>
    <row r="176" spans="4:22" ht="15" thickBot="1" x14ac:dyDescent="0.4">
      <c r="D176" s="19"/>
      <c r="E176" s="36"/>
      <c r="F176" s="21"/>
      <c r="G176" s="22"/>
      <c r="H176" s="21"/>
      <c r="I176" s="22"/>
      <c r="J176" s="23"/>
      <c r="K176" s="21"/>
      <c r="L176" s="24"/>
      <c r="M176" s="25"/>
      <c r="N176" s="26"/>
      <c r="O176" s="26"/>
      <c r="P176" s="22"/>
      <c r="Q176" s="21"/>
      <c r="R176" s="27"/>
      <c r="S176" s="28"/>
      <c r="T176" s="22"/>
      <c r="U176" s="33"/>
      <c r="V176" s="29"/>
    </row>
    <row r="177" spans="4:22" ht="15" thickBot="1" x14ac:dyDescent="0.4">
      <c r="D177" s="19"/>
      <c r="E177" s="36"/>
      <c r="F177" s="21"/>
      <c r="G177" s="22"/>
      <c r="H177" s="21"/>
      <c r="I177" s="22"/>
      <c r="J177" s="23"/>
      <c r="K177" s="21"/>
      <c r="L177" s="24"/>
      <c r="M177" s="25"/>
      <c r="N177" s="26"/>
      <c r="O177" s="26"/>
      <c r="P177" s="22"/>
      <c r="Q177" s="21"/>
      <c r="R177" s="27"/>
      <c r="S177" s="28"/>
      <c r="T177" s="22"/>
      <c r="U177" s="33"/>
      <c r="V177" s="35"/>
    </row>
    <row r="178" spans="4:22" ht="15" thickBot="1" x14ac:dyDescent="0.4">
      <c r="D178" s="19"/>
      <c r="F178" s="21"/>
      <c r="G178" s="22"/>
      <c r="H178" s="21"/>
      <c r="I178" s="22"/>
      <c r="J178" s="23"/>
      <c r="K178" s="21"/>
      <c r="L178" s="24"/>
      <c r="M178" s="25"/>
      <c r="N178" s="26"/>
      <c r="O178" s="26"/>
      <c r="P178" s="22"/>
      <c r="Q178" s="21"/>
      <c r="R178" s="27"/>
      <c r="S178" s="28"/>
      <c r="T178" s="22"/>
      <c r="U178" s="33"/>
      <c r="V178" s="29"/>
    </row>
    <row r="179" spans="4:22" ht="15" thickBot="1" x14ac:dyDescent="0.4">
      <c r="D179" s="19"/>
      <c r="E179" s="36"/>
      <c r="F179" s="21"/>
      <c r="G179" s="22"/>
      <c r="H179" s="21"/>
      <c r="I179" s="22"/>
      <c r="J179" s="23"/>
      <c r="K179" s="21"/>
      <c r="L179" s="24"/>
      <c r="M179" s="25"/>
      <c r="N179" s="26"/>
      <c r="O179" s="26"/>
      <c r="P179" s="22"/>
      <c r="Q179" s="21"/>
      <c r="R179" s="27"/>
      <c r="S179" s="28"/>
      <c r="T179" s="22"/>
      <c r="U179" s="33"/>
      <c r="V179" s="35"/>
    </row>
    <row r="180" spans="4:22" ht="15" thickBot="1" x14ac:dyDescent="0.4">
      <c r="D180" s="19"/>
      <c r="F180" s="21"/>
      <c r="G180" s="22"/>
      <c r="H180" s="21"/>
      <c r="I180" s="22"/>
      <c r="J180" s="23"/>
      <c r="K180" s="21"/>
      <c r="L180" s="24"/>
      <c r="M180" s="25"/>
      <c r="N180" s="26"/>
      <c r="O180" s="26"/>
      <c r="P180" s="22"/>
      <c r="Q180" s="21"/>
      <c r="R180" s="27"/>
      <c r="S180" s="28"/>
      <c r="T180" s="22"/>
      <c r="U180" s="32"/>
      <c r="V180" s="35"/>
    </row>
    <row r="181" spans="4:22" ht="15" thickBot="1" x14ac:dyDescent="0.4">
      <c r="D181" s="19"/>
      <c r="E181" s="36"/>
      <c r="F181" s="21"/>
      <c r="G181" s="22"/>
      <c r="H181" s="21"/>
      <c r="I181" s="22"/>
      <c r="J181" s="23"/>
      <c r="K181" s="21"/>
      <c r="L181" s="24"/>
      <c r="M181" s="25"/>
      <c r="N181" s="26"/>
      <c r="O181" s="26"/>
      <c r="P181" s="22"/>
      <c r="Q181" s="21"/>
      <c r="R181" s="27"/>
      <c r="S181" s="28"/>
      <c r="T181" s="22"/>
      <c r="U181" s="32"/>
      <c r="V181" s="35"/>
    </row>
    <row r="182" spans="4:22" ht="15" thickBot="1" x14ac:dyDescent="0.4">
      <c r="D182" s="19"/>
      <c r="E182" s="36"/>
      <c r="F182" s="21"/>
      <c r="G182" s="22"/>
      <c r="H182" s="21"/>
      <c r="I182" s="22"/>
      <c r="J182" s="23"/>
      <c r="K182" s="21"/>
      <c r="L182" s="24"/>
      <c r="M182" s="25"/>
      <c r="N182" s="26"/>
      <c r="O182" s="26"/>
      <c r="P182" s="22"/>
      <c r="Q182" s="21"/>
      <c r="R182" s="27"/>
      <c r="S182" s="28"/>
      <c r="T182" s="22"/>
      <c r="U182" s="33"/>
      <c r="V182" s="35"/>
    </row>
    <row r="183" spans="4:22" ht="15" thickBot="1" x14ac:dyDescent="0.4">
      <c r="D183" s="19"/>
      <c r="E183" s="36"/>
      <c r="F183" s="21"/>
      <c r="G183" s="22"/>
      <c r="H183" s="21"/>
      <c r="I183" s="22"/>
      <c r="J183" s="23"/>
      <c r="K183" s="21"/>
      <c r="L183" s="24"/>
      <c r="M183" s="25"/>
      <c r="N183" s="26"/>
      <c r="O183" s="26"/>
      <c r="P183" s="22"/>
      <c r="Q183" s="21"/>
      <c r="R183" s="27"/>
      <c r="S183" s="28"/>
      <c r="T183" s="22"/>
      <c r="U183" s="33"/>
      <c r="V183" s="29"/>
    </row>
    <row r="184" spans="4:22" ht="15" thickBot="1" x14ac:dyDescent="0.4">
      <c r="D184" s="19"/>
      <c r="E184" s="36"/>
      <c r="F184" s="21"/>
      <c r="G184" s="22"/>
      <c r="H184" s="21"/>
      <c r="I184" s="22"/>
      <c r="J184" s="23"/>
      <c r="K184" s="21"/>
      <c r="L184" s="24"/>
      <c r="M184" s="25"/>
      <c r="N184" s="26"/>
      <c r="O184" s="26"/>
      <c r="P184" s="22"/>
      <c r="Q184" s="21"/>
      <c r="R184" s="27"/>
      <c r="S184" s="28"/>
      <c r="T184" s="22"/>
      <c r="U184" s="32"/>
      <c r="V184" s="35"/>
    </row>
    <row r="185" spans="4:22" ht="15" thickBot="1" x14ac:dyDescent="0.4">
      <c r="D185" s="19"/>
      <c r="E185" s="36"/>
      <c r="F185" s="21"/>
      <c r="G185" s="22"/>
      <c r="H185" s="21"/>
      <c r="I185" s="22"/>
      <c r="J185" s="23"/>
      <c r="K185" s="21"/>
      <c r="L185" s="24"/>
      <c r="M185" s="25"/>
      <c r="N185" s="26"/>
      <c r="O185" s="26"/>
      <c r="P185" s="22"/>
      <c r="Q185" s="21"/>
      <c r="R185" s="27"/>
      <c r="S185" s="28"/>
      <c r="T185" s="22"/>
      <c r="U185" s="32"/>
      <c r="V185" s="35"/>
    </row>
    <row r="186" spans="4:22" ht="15" thickBot="1" x14ac:dyDescent="0.4">
      <c r="D186" s="19"/>
      <c r="E186" s="36"/>
      <c r="F186" s="21"/>
      <c r="G186" s="22"/>
      <c r="H186" s="21"/>
      <c r="I186" s="22"/>
      <c r="J186" s="23"/>
      <c r="K186" s="21"/>
      <c r="L186" s="24"/>
      <c r="M186" s="25"/>
      <c r="N186" s="26"/>
      <c r="O186" s="26"/>
      <c r="P186" s="22"/>
      <c r="Q186" s="21"/>
      <c r="R186" s="27"/>
      <c r="S186" s="28"/>
      <c r="T186" s="22"/>
      <c r="U186" s="32"/>
      <c r="V186" s="35"/>
    </row>
    <row r="187" spans="4:22" ht="15" thickBot="1" x14ac:dyDescent="0.4">
      <c r="D187" s="19"/>
      <c r="E187" s="36"/>
      <c r="F187" s="21"/>
      <c r="G187" s="22"/>
      <c r="H187" s="21"/>
      <c r="I187" s="22"/>
      <c r="J187" s="23"/>
      <c r="K187" s="21"/>
      <c r="L187" s="24"/>
      <c r="M187" s="25"/>
      <c r="N187" s="26"/>
      <c r="O187" s="26"/>
      <c r="P187" s="22"/>
      <c r="Q187" s="21"/>
      <c r="R187" s="27"/>
      <c r="S187" s="28"/>
      <c r="T187" s="22"/>
      <c r="U187" s="33"/>
      <c r="V187" s="35"/>
    </row>
    <row r="188" spans="4:22" ht="15" thickBot="1" x14ac:dyDescent="0.4">
      <c r="D188" s="19"/>
      <c r="E188" s="36"/>
      <c r="F188" s="21"/>
      <c r="G188" s="22"/>
      <c r="H188" s="21"/>
      <c r="I188" s="22"/>
      <c r="J188" s="23"/>
      <c r="K188" s="21"/>
      <c r="L188" s="24"/>
      <c r="M188" s="25"/>
      <c r="N188" s="26"/>
      <c r="O188" s="26"/>
      <c r="P188" s="22"/>
      <c r="Q188" s="21"/>
      <c r="R188" s="27"/>
      <c r="S188" s="28"/>
      <c r="T188" s="22"/>
      <c r="U188" s="32"/>
      <c r="V188" s="35"/>
    </row>
    <row r="189" spans="4:22" ht="15" thickBot="1" x14ac:dyDescent="0.4">
      <c r="D189" s="19"/>
      <c r="E189" s="36"/>
      <c r="F189" s="21"/>
      <c r="G189" s="22"/>
      <c r="H189" s="21"/>
      <c r="I189" s="22"/>
      <c r="J189" s="23"/>
      <c r="K189" s="21"/>
      <c r="L189" s="24"/>
      <c r="M189" s="25"/>
      <c r="N189" s="26"/>
      <c r="O189" s="26"/>
      <c r="P189" s="22"/>
      <c r="Q189" s="21"/>
      <c r="R189" s="27"/>
      <c r="S189" s="28"/>
      <c r="T189" s="22"/>
      <c r="U189" s="34"/>
      <c r="V189" s="35"/>
    </row>
    <row r="190" spans="4:22" ht="15" thickBot="1" x14ac:dyDescent="0.4">
      <c r="D190" s="19"/>
      <c r="E190" s="36"/>
      <c r="F190" s="21"/>
      <c r="G190" s="22"/>
      <c r="H190" s="21"/>
      <c r="I190" s="22"/>
      <c r="J190" s="23"/>
      <c r="K190" s="21"/>
      <c r="L190" s="24"/>
      <c r="M190" s="25"/>
      <c r="N190" s="26"/>
      <c r="O190" s="26"/>
      <c r="P190" s="22"/>
      <c r="Q190" s="21"/>
      <c r="R190" s="27"/>
      <c r="S190" s="28"/>
      <c r="T190" s="22"/>
      <c r="U190" s="34"/>
      <c r="V190" s="35"/>
    </row>
    <row r="191" spans="4:22" ht="15" thickBot="1" x14ac:dyDescent="0.4">
      <c r="D191" s="19"/>
      <c r="F191" s="21"/>
      <c r="G191" s="22"/>
      <c r="H191" s="21"/>
      <c r="I191" s="22"/>
      <c r="J191" s="23"/>
      <c r="K191" s="21"/>
      <c r="L191" s="24"/>
      <c r="M191" s="25"/>
      <c r="N191" s="26"/>
      <c r="O191" s="26"/>
      <c r="P191" s="22"/>
      <c r="Q191" s="21"/>
      <c r="R191" s="27"/>
      <c r="S191" s="28"/>
      <c r="T191" s="22"/>
      <c r="U191" s="22"/>
      <c r="V191" s="35"/>
    </row>
    <row r="192" spans="4:22" ht="15" thickBot="1" x14ac:dyDescent="0.4">
      <c r="D192" s="19"/>
      <c r="E192" s="36"/>
      <c r="F192" s="21"/>
      <c r="G192" s="22"/>
      <c r="H192" s="21"/>
      <c r="I192" s="22"/>
      <c r="J192" s="23"/>
      <c r="K192" s="21"/>
      <c r="L192" s="24"/>
      <c r="M192" s="25"/>
      <c r="N192" s="26"/>
      <c r="O192" s="26"/>
      <c r="P192" s="22"/>
      <c r="Q192" s="21"/>
      <c r="R192" s="27"/>
      <c r="S192" s="28"/>
      <c r="T192" s="22"/>
      <c r="U192" s="34"/>
      <c r="V192" s="35"/>
    </row>
    <row r="193" spans="4:22" ht="15" thickBot="1" x14ac:dyDescent="0.4">
      <c r="D193" s="19"/>
      <c r="E193" s="36"/>
      <c r="F193" s="21"/>
      <c r="G193" s="22"/>
      <c r="H193" s="21"/>
      <c r="I193" s="22"/>
      <c r="J193" s="23"/>
      <c r="K193" s="21"/>
      <c r="L193" s="24"/>
      <c r="M193" s="25"/>
      <c r="N193" s="26"/>
      <c r="O193" s="26"/>
      <c r="P193" s="22"/>
      <c r="Q193" s="21"/>
      <c r="R193" s="27"/>
      <c r="S193" s="28"/>
      <c r="T193" s="22"/>
      <c r="U193" s="22"/>
      <c r="V193" s="35"/>
    </row>
    <row r="194" spans="4:22" ht="15" thickBot="1" x14ac:dyDescent="0.4">
      <c r="D194" s="19"/>
      <c r="E194" s="36"/>
      <c r="F194" s="21"/>
      <c r="G194" s="22"/>
      <c r="H194" s="21"/>
      <c r="I194" s="22"/>
      <c r="J194" s="23"/>
      <c r="K194" s="21"/>
      <c r="L194" s="24"/>
      <c r="M194" s="25"/>
      <c r="N194" s="26"/>
      <c r="O194" s="26"/>
      <c r="P194" s="22"/>
      <c r="Q194" s="21"/>
      <c r="R194" s="27"/>
      <c r="S194" s="28"/>
      <c r="T194" s="22"/>
      <c r="U194" s="34"/>
      <c r="V194" s="35"/>
    </row>
    <row r="195" spans="4:22" ht="15" thickBot="1" x14ac:dyDescent="0.4">
      <c r="D195" s="19"/>
      <c r="E195" s="20"/>
      <c r="F195" s="21"/>
      <c r="G195" s="22"/>
      <c r="H195" s="21"/>
      <c r="I195" s="22"/>
      <c r="J195" s="23"/>
      <c r="K195" s="21"/>
      <c r="L195" s="24"/>
      <c r="M195" s="25"/>
      <c r="N195" s="26"/>
      <c r="O195" s="26"/>
      <c r="P195" s="22"/>
      <c r="Q195" s="21"/>
      <c r="R195" s="27"/>
      <c r="S195" s="28"/>
      <c r="T195" s="22"/>
      <c r="U195" s="22"/>
      <c r="V195" s="35"/>
    </row>
    <row r="196" spans="4:22" ht="15" thickBot="1" x14ac:dyDescent="0.4">
      <c r="D196" s="19"/>
      <c r="E196" s="20"/>
      <c r="F196" s="21"/>
      <c r="G196" s="22"/>
      <c r="H196" s="21"/>
      <c r="I196" s="22"/>
      <c r="J196" s="23"/>
      <c r="K196" s="21"/>
      <c r="L196" s="24"/>
      <c r="M196" s="25"/>
      <c r="N196" s="26"/>
      <c r="O196" s="26"/>
      <c r="P196" s="22"/>
      <c r="Q196" s="21"/>
      <c r="R196" s="27"/>
      <c r="S196" s="28"/>
      <c r="T196" s="22"/>
      <c r="U196" s="22"/>
      <c r="V196" s="35"/>
    </row>
    <row r="197" spans="4:22" ht="15" thickBot="1" x14ac:dyDescent="0.4">
      <c r="D197" s="19"/>
      <c r="E197" s="20"/>
      <c r="F197" s="21"/>
      <c r="G197" s="22"/>
      <c r="H197" s="21"/>
      <c r="I197" s="22"/>
      <c r="J197" s="23"/>
      <c r="K197" s="21"/>
      <c r="L197" s="24"/>
      <c r="M197" s="25"/>
      <c r="N197" s="26"/>
      <c r="O197" s="26"/>
      <c r="P197" s="22"/>
      <c r="Q197" s="21"/>
      <c r="R197" s="27"/>
      <c r="S197" s="28"/>
      <c r="T197" s="22"/>
      <c r="U197" s="22"/>
      <c r="V197" s="35"/>
    </row>
    <row r="198" spans="4:22" ht="15" thickBot="1" x14ac:dyDescent="0.4">
      <c r="D198" s="19"/>
      <c r="E198" s="20"/>
      <c r="F198" s="21"/>
      <c r="G198" s="22"/>
      <c r="H198" s="21"/>
      <c r="I198" s="22"/>
      <c r="J198" s="23"/>
      <c r="K198" s="21"/>
      <c r="L198" s="24"/>
      <c r="M198" s="25"/>
      <c r="N198" s="26"/>
      <c r="O198" s="26"/>
      <c r="P198" s="22"/>
      <c r="Q198" s="21"/>
      <c r="R198" s="27"/>
      <c r="S198" s="28"/>
      <c r="T198" s="22"/>
      <c r="U198" s="22"/>
      <c r="V198" s="35"/>
    </row>
    <row r="199" spans="4:22" ht="15" thickBot="1" x14ac:dyDescent="0.4">
      <c r="D199" s="19"/>
      <c r="E199" s="20"/>
      <c r="F199" s="21"/>
      <c r="G199" s="22"/>
      <c r="H199" s="21"/>
      <c r="I199" s="22"/>
      <c r="J199" s="23"/>
      <c r="K199" s="21"/>
      <c r="L199" s="24"/>
      <c r="M199" s="25"/>
      <c r="N199" s="26"/>
      <c r="O199" s="26"/>
      <c r="P199" s="22"/>
      <c r="Q199" s="21"/>
      <c r="R199" s="27"/>
      <c r="S199" s="28"/>
      <c r="T199" s="22"/>
      <c r="U199" s="34"/>
      <c r="V199" s="35"/>
    </row>
    <row r="200" spans="4:22" ht="15" thickBot="1" x14ac:dyDescent="0.4">
      <c r="D200" s="19"/>
      <c r="E200" s="20"/>
      <c r="F200" s="21"/>
      <c r="G200" s="22"/>
      <c r="H200" s="21"/>
      <c r="I200" s="22"/>
      <c r="J200" s="23"/>
      <c r="K200" s="21"/>
      <c r="L200" s="24"/>
      <c r="M200" s="25"/>
      <c r="N200" s="26"/>
      <c r="O200" s="26"/>
      <c r="P200" s="22"/>
      <c r="Q200" s="21"/>
      <c r="R200" s="27"/>
      <c r="S200" s="28"/>
      <c r="T200" s="22"/>
      <c r="U200" s="34"/>
      <c r="V200" s="35"/>
    </row>
    <row r="201" spans="4:22" ht="15" thickBot="1" x14ac:dyDescent="0.4">
      <c r="D201" s="19"/>
      <c r="E201" s="20"/>
      <c r="F201" s="21"/>
      <c r="G201" s="22"/>
      <c r="H201" s="21"/>
      <c r="I201" s="22"/>
      <c r="J201" s="23"/>
      <c r="K201" s="21"/>
      <c r="L201" s="24"/>
      <c r="M201" s="25"/>
      <c r="N201" s="26"/>
      <c r="O201" s="26"/>
      <c r="P201" s="22"/>
      <c r="Q201" s="21"/>
      <c r="R201" s="27"/>
      <c r="S201" s="28"/>
      <c r="T201" s="22"/>
      <c r="U201" s="22"/>
      <c r="V201" s="35"/>
    </row>
    <row r="202" spans="4:22" ht="15" thickBot="1" x14ac:dyDescent="0.4">
      <c r="D202" s="19"/>
      <c r="E202" s="20"/>
      <c r="F202" s="21"/>
      <c r="G202" s="22"/>
      <c r="H202" s="21"/>
      <c r="I202" s="22"/>
      <c r="J202" s="23"/>
      <c r="K202" s="21"/>
      <c r="L202" s="24"/>
      <c r="M202" s="25"/>
      <c r="N202" s="26"/>
      <c r="O202" s="26"/>
      <c r="P202" s="22"/>
      <c r="Q202" s="21"/>
      <c r="R202" s="27"/>
      <c r="S202" s="28"/>
      <c r="T202" s="22"/>
      <c r="U202" s="22"/>
      <c r="V202" s="35"/>
    </row>
    <row r="203" spans="4:22" ht="15" thickBot="1" x14ac:dyDescent="0.4">
      <c r="D203" s="19"/>
      <c r="E203" s="20"/>
      <c r="F203" s="21"/>
      <c r="G203" s="22"/>
      <c r="H203" s="21"/>
      <c r="I203" s="22"/>
      <c r="J203" s="23"/>
      <c r="K203" s="21"/>
      <c r="L203" s="24"/>
      <c r="M203" s="25"/>
      <c r="N203" s="26"/>
      <c r="O203" s="26"/>
      <c r="P203" s="22"/>
      <c r="Q203" s="21"/>
      <c r="R203" s="27"/>
      <c r="S203" s="28"/>
      <c r="T203" s="22"/>
      <c r="U203" s="34"/>
      <c r="V203" s="35"/>
    </row>
    <row r="204" spans="4:22" ht="15" thickBot="1" x14ac:dyDescent="0.4">
      <c r="D204" s="19"/>
      <c r="E204" s="20"/>
      <c r="F204" s="21"/>
      <c r="G204" s="22"/>
      <c r="H204" s="21"/>
      <c r="I204" s="22"/>
      <c r="J204" s="23"/>
      <c r="K204" s="21"/>
      <c r="L204" s="24"/>
      <c r="M204" s="25"/>
      <c r="N204" s="26"/>
      <c r="O204" s="26"/>
      <c r="P204" s="22"/>
      <c r="Q204" s="21"/>
      <c r="R204" s="27"/>
      <c r="S204" s="28"/>
      <c r="T204" s="22"/>
      <c r="U204" s="34"/>
      <c r="V204" s="35"/>
    </row>
    <row r="205" spans="4:22" ht="15" thickBot="1" x14ac:dyDescent="0.4">
      <c r="D205" s="19"/>
      <c r="E205" s="20"/>
      <c r="F205" s="21"/>
      <c r="G205" s="22"/>
      <c r="H205" s="21"/>
      <c r="I205" s="22"/>
      <c r="J205" s="23"/>
      <c r="K205" s="21"/>
      <c r="L205" s="24"/>
      <c r="M205" s="25"/>
      <c r="N205" s="26"/>
      <c r="O205" s="26"/>
      <c r="P205" s="22"/>
      <c r="Q205" s="21"/>
      <c r="R205" s="27"/>
      <c r="S205" s="28"/>
      <c r="T205" s="22"/>
      <c r="U205" s="34"/>
      <c r="V205" s="35"/>
    </row>
    <row r="206" spans="4:22" ht="15" thickBot="1" x14ac:dyDescent="0.4">
      <c r="D206" s="19"/>
      <c r="E206" s="20"/>
      <c r="F206" s="21"/>
      <c r="G206" s="22"/>
      <c r="H206" s="21"/>
      <c r="I206" s="22"/>
      <c r="J206" s="23"/>
      <c r="K206" s="21"/>
      <c r="L206" s="24"/>
      <c r="M206" s="25"/>
      <c r="N206" s="26"/>
      <c r="O206" s="26"/>
      <c r="P206" s="22"/>
      <c r="Q206" s="21"/>
      <c r="R206" s="27"/>
      <c r="S206" s="28"/>
      <c r="T206" s="22"/>
      <c r="U206" s="22"/>
      <c r="V206" s="35"/>
    </row>
    <row r="207" spans="4:22" ht="15" thickBot="1" x14ac:dyDescent="0.4">
      <c r="D207" s="19"/>
      <c r="E207" s="20"/>
      <c r="F207" s="21"/>
      <c r="G207" s="22"/>
      <c r="H207" s="21"/>
      <c r="I207" s="22"/>
      <c r="J207" s="23"/>
      <c r="K207" s="21"/>
      <c r="L207" s="24"/>
      <c r="M207" s="25"/>
      <c r="N207" s="26"/>
      <c r="O207" s="26"/>
      <c r="P207" s="22"/>
      <c r="Q207" s="21"/>
      <c r="R207" s="27"/>
      <c r="S207" s="28"/>
      <c r="T207" s="22"/>
      <c r="U207" s="22"/>
      <c r="V207" s="35"/>
    </row>
    <row r="208" spans="4:22" ht="15" thickBot="1" x14ac:dyDescent="0.4">
      <c r="D208" s="19"/>
      <c r="E208" s="20"/>
      <c r="F208" s="21"/>
      <c r="G208" s="22"/>
      <c r="H208" s="21"/>
      <c r="I208" s="22"/>
      <c r="J208" s="23"/>
      <c r="K208" s="21"/>
      <c r="L208" s="24"/>
      <c r="M208" s="25"/>
      <c r="N208" s="26"/>
      <c r="O208" s="26"/>
      <c r="P208" s="22"/>
      <c r="Q208" s="21"/>
      <c r="R208" s="27"/>
      <c r="S208" s="28"/>
      <c r="T208" s="22"/>
      <c r="U208" s="34"/>
      <c r="V208" s="35"/>
    </row>
    <row r="209" spans="4:22" ht="15" thickBot="1" x14ac:dyDescent="0.4">
      <c r="D209" s="19"/>
      <c r="E209" s="20"/>
      <c r="F209" s="21"/>
      <c r="G209" s="22"/>
      <c r="H209" s="21"/>
      <c r="I209" s="22"/>
      <c r="J209" s="23"/>
      <c r="K209" s="21"/>
      <c r="L209" s="24"/>
      <c r="M209" s="25"/>
      <c r="N209" s="26"/>
      <c r="O209" s="26"/>
      <c r="P209" s="22"/>
      <c r="Q209" s="21"/>
      <c r="R209" s="27"/>
      <c r="S209" s="28"/>
      <c r="T209" s="22"/>
      <c r="U209" s="22"/>
      <c r="V209" s="35"/>
    </row>
    <row r="210" spans="4:22" ht="15" thickBot="1" x14ac:dyDescent="0.4">
      <c r="D210" s="19"/>
      <c r="E210" s="20"/>
      <c r="F210" s="21"/>
      <c r="G210" s="22"/>
      <c r="H210" s="21"/>
      <c r="I210" s="22"/>
      <c r="J210" s="23"/>
      <c r="K210" s="21"/>
      <c r="L210" s="24"/>
      <c r="M210" s="25"/>
      <c r="N210" s="26"/>
      <c r="O210" s="26"/>
      <c r="P210" s="22"/>
      <c r="Q210" s="21"/>
      <c r="R210" s="27"/>
      <c r="S210" s="28"/>
      <c r="T210" s="22"/>
      <c r="U210" s="22"/>
      <c r="V210" s="35"/>
    </row>
    <row r="211" spans="4:22" ht="15" thickBot="1" x14ac:dyDescent="0.4">
      <c r="D211" s="19"/>
      <c r="E211" s="20"/>
      <c r="F211" s="21"/>
      <c r="G211" s="22"/>
      <c r="H211" s="21"/>
      <c r="I211" s="22"/>
      <c r="J211" s="23"/>
      <c r="K211" s="21"/>
      <c r="L211" s="24"/>
      <c r="M211" s="25"/>
      <c r="N211" s="26"/>
      <c r="O211" s="26"/>
      <c r="P211" s="22"/>
      <c r="Q211" s="21"/>
      <c r="R211" s="27"/>
      <c r="S211" s="28"/>
      <c r="T211" s="22"/>
      <c r="U211" s="34"/>
      <c r="V211" s="35"/>
    </row>
    <row r="212" spans="4:22" ht="15" thickBot="1" x14ac:dyDescent="0.4">
      <c r="D212" s="19"/>
      <c r="E212" s="20"/>
      <c r="F212" s="21"/>
      <c r="G212" s="22"/>
      <c r="H212" s="21"/>
      <c r="I212" s="22"/>
      <c r="J212" s="23"/>
      <c r="K212" s="21"/>
      <c r="L212" s="24"/>
      <c r="M212" s="25"/>
      <c r="N212" s="26"/>
      <c r="O212" s="26"/>
      <c r="P212" s="22"/>
      <c r="Q212" s="21"/>
      <c r="R212" s="27"/>
      <c r="S212" s="28"/>
      <c r="T212" s="22"/>
      <c r="U212" s="34"/>
      <c r="V212" s="35"/>
    </row>
    <row r="213" spans="4:22" ht="15" thickBot="1" x14ac:dyDescent="0.4">
      <c r="D213" s="19"/>
      <c r="E213" s="20"/>
      <c r="F213" s="21"/>
      <c r="G213" s="22"/>
      <c r="H213" s="21"/>
      <c r="I213" s="22"/>
      <c r="J213" s="23"/>
      <c r="K213" s="21"/>
      <c r="L213" s="24"/>
      <c r="M213" s="25"/>
      <c r="N213" s="26"/>
      <c r="O213" s="26"/>
      <c r="P213" s="22"/>
      <c r="Q213" s="21"/>
      <c r="R213" s="27"/>
      <c r="S213" s="28"/>
      <c r="T213" s="22"/>
      <c r="U213" s="22"/>
      <c r="V213" s="35"/>
    </row>
    <row r="214" spans="4:22" ht="15" thickBot="1" x14ac:dyDescent="0.4">
      <c r="D214" s="19"/>
      <c r="E214" s="20"/>
      <c r="F214" s="21"/>
      <c r="G214" s="22"/>
      <c r="H214" s="21"/>
      <c r="I214" s="22"/>
      <c r="J214" s="23"/>
      <c r="K214" s="21"/>
      <c r="L214" s="24"/>
      <c r="M214" s="25"/>
      <c r="N214" s="26"/>
      <c r="O214" s="26"/>
      <c r="P214" s="22"/>
      <c r="Q214" s="21"/>
      <c r="R214" s="27"/>
      <c r="S214" s="28"/>
      <c r="T214" s="22"/>
      <c r="U214" s="34"/>
      <c r="V214" s="35"/>
    </row>
    <row r="215" spans="4:22" ht="15" thickBot="1" x14ac:dyDescent="0.4">
      <c r="D215" s="19"/>
      <c r="E215" s="20"/>
      <c r="F215" s="21"/>
      <c r="G215" s="22"/>
      <c r="H215" s="21"/>
      <c r="I215" s="22"/>
      <c r="J215" s="23"/>
      <c r="K215" s="21"/>
      <c r="L215" s="24"/>
      <c r="M215" s="25"/>
      <c r="N215" s="26"/>
      <c r="O215" s="26"/>
      <c r="P215" s="22"/>
      <c r="Q215" s="21"/>
      <c r="R215" s="27"/>
      <c r="S215" s="28"/>
      <c r="T215" s="22"/>
      <c r="U215" s="22"/>
      <c r="V215" s="35"/>
    </row>
    <row r="216" spans="4:22" ht="15" thickBot="1" x14ac:dyDescent="0.4">
      <c r="D216" s="19"/>
      <c r="E216" s="20"/>
      <c r="F216" s="21"/>
      <c r="G216" s="22"/>
      <c r="H216" s="21"/>
      <c r="I216" s="22"/>
      <c r="J216" s="23"/>
      <c r="K216" s="21"/>
      <c r="L216" s="24"/>
      <c r="M216" s="25"/>
      <c r="N216" s="26"/>
      <c r="O216" s="26"/>
      <c r="P216" s="22"/>
      <c r="Q216" s="21"/>
      <c r="R216" s="27"/>
      <c r="S216" s="28"/>
      <c r="T216" s="22"/>
      <c r="U216" s="22"/>
      <c r="V216" s="35"/>
    </row>
    <row r="217" spans="4:22" ht="15" thickBot="1" x14ac:dyDescent="0.4">
      <c r="D217" s="19"/>
      <c r="E217" s="20"/>
      <c r="F217" s="21"/>
      <c r="G217" s="22"/>
      <c r="H217" s="21"/>
      <c r="I217" s="22"/>
      <c r="J217" s="23"/>
      <c r="K217" s="21"/>
      <c r="L217" s="24"/>
      <c r="M217" s="25"/>
      <c r="N217" s="26"/>
      <c r="O217" s="26"/>
      <c r="P217" s="22"/>
      <c r="Q217" s="21"/>
      <c r="R217" s="27"/>
      <c r="S217" s="28"/>
      <c r="T217" s="22"/>
      <c r="U217" s="22"/>
      <c r="V217" s="35"/>
    </row>
    <row r="218" spans="4:22" ht="15" thickBot="1" x14ac:dyDescent="0.4">
      <c r="D218" s="19"/>
      <c r="E218" s="20"/>
      <c r="F218" s="21"/>
      <c r="G218" s="22"/>
      <c r="H218" s="21"/>
      <c r="I218" s="22"/>
      <c r="J218" s="23"/>
      <c r="K218" s="21"/>
      <c r="L218" s="24"/>
      <c r="M218" s="25"/>
      <c r="N218" s="26"/>
      <c r="O218" s="26"/>
      <c r="P218" s="22"/>
      <c r="Q218" s="21"/>
      <c r="R218" s="27"/>
      <c r="S218" s="28"/>
      <c r="T218" s="22"/>
      <c r="U218" s="22"/>
      <c r="V218" s="35"/>
    </row>
    <row r="219" spans="4:22" ht="15" thickBot="1" x14ac:dyDescent="0.4">
      <c r="D219" s="19"/>
      <c r="E219" s="20"/>
      <c r="F219" s="21"/>
      <c r="G219" s="22"/>
      <c r="H219" s="21"/>
      <c r="I219" s="22"/>
      <c r="J219" s="23"/>
      <c r="K219" s="21"/>
      <c r="L219" s="24"/>
      <c r="M219" s="25"/>
      <c r="N219" s="26"/>
      <c r="O219" s="26"/>
      <c r="P219" s="22"/>
      <c r="Q219" s="21"/>
      <c r="R219" s="27"/>
      <c r="S219" s="28"/>
      <c r="T219" s="22"/>
      <c r="U219" s="22"/>
      <c r="V219" s="35"/>
    </row>
    <row r="220" spans="4:22" ht="15" thickBot="1" x14ac:dyDescent="0.4">
      <c r="D220" s="19"/>
      <c r="E220" s="20"/>
      <c r="F220" s="21"/>
      <c r="G220" s="22"/>
      <c r="H220" s="21"/>
      <c r="I220" s="22"/>
      <c r="J220" s="23"/>
      <c r="K220" s="21"/>
      <c r="L220" s="24"/>
      <c r="M220" s="25"/>
      <c r="N220" s="26"/>
      <c r="O220" s="26"/>
      <c r="P220" s="22"/>
      <c r="Q220" s="21"/>
      <c r="R220" s="27"/>
      <c r="S220" s="28"/>
      <c r="T220" s="22"/>
      <c r="U220" s="22"/>
      <c r="V220" s="35"/>
    </row>
    <row r="221" spans="4:22" ht="15" thickBot="1" x14ac:dyDescent="0.4">
      <c r="D221" s="19"/>
      <c r="E221" s="20"/>
      <c r="F221" s="21"/>
      <c r="G221" s="22"/>
      <c r="H221" s="21"/>
      <c r="I221" s="22"/>
      <c r="J221" s="23"/>
      <c r="K221" s="21"/>
      <c r="L221" s="24"/>
      <c r="M221" s="25"/>
      <c r="N221" s="26"/>
      <c r="O221" s="26"/>
      <c r="P221" s="22"/>
      <c r="Q221" s="21"/>
      <c r="R221" s="27"/>
      <c r="S221" s="28"/>
      <c r="T221" s="22"/>
      <c r="U221" s="34"/>
      <c r="V221" s="35"/>
    </row>
    <row r="222" spans="4:22" ht="15" thickBot="1" x14ac:dyDescent="0.4">
      <c r="D222" s="19"/>
      <c r="E222" s="20"/>
      <c r="F222" s="21"/>
      <c r="G222" s="22"/>
      <c r="H222" s="21"/>
      <c r="I222" s="22"/>
      <c r="J222" s="23"/>
      <c r="K222" s="21"/>
      <c r="L222" s="24"/>
      <c r="M222" s="25"/>
      <c r="N222" s="26"/>
      <c r="O222" s="26"/>
      <c r="P222" s="22"/>
      <c r="Q222" s="21"/>
      <c r="R222" s="27"/>
      <c r="S222" s="28"/>
      <c r="T222" s="22"/>
      <c r="U222" s="22"/>
      <c r="V222" s="35"/>
    </row>
    <row r="223" spans="4:22" ht="15" thickBot="1" x14ac:dyDescent="0.4">
      <c r="D223" s="19"/>
      <c r="E223" s="20"/>
      <c r="F223" s="21"/>
      <c r="G223" s="22"/>
      <c r="H223" s="21"/>
      <c r="I223" s="22"/>
      <c r="J223" s="23"/>
      <c r="K223" s="21"/>
      <c r="L223" s="24"/>
      <c r="M223" s="25"/>
      <c r="N223" s="26"/>
      <c r="O223" s="26"/>
      <c r="P223" s="22"/>
      <c r="Q223" s="21"/>
      <c r="R223" s="27"/>
      <c r="S223" s="28"/>
      <c r="T223" s="22"/>
      <c r="U223" s="22"/>
      <c r="V223" s="35"/>
    </row>
    <row r="224" spans="4:22" ht="15" thickBot="1" x14ac:dyDescent="0.4">
      <c r="D224" s="19"/>
      <c r="E224" s="20"/>
      <c r="F224" s="21"/>
      <c r="G224" s="22"/>
      <c r="H224" s="21"/>
      <c r="I224" s="22"/>
      <c r="J224" s="23"/>
      <c r="K224" s="21"/>
      <c r="L224" s="24"/>
      <c r="M224" s="25"/>
      <c r="N224" s="26"/>
      <c r="O224" s="26"/>
      <c r="P224" s="22"/>
      <c r="Q224" s="21"/>
      <c r="R224" s="27"/>
      <c r="S224" s="28"/>
      <c r="T224" s="22"/>
      <c r="U224" s="22"/>
      <c r="V224" s="35"/>
    </row>
    <row r="225" spans="4:22" ht="15" thickBot="1" x14ac:dyDescent="0.4">
      <c r="D225" s="19"/>
      <c r="E225" s="20"/>
      <c r="F225" s="21"/>
      <c r="G225" s="22"/>
      <c r="H225" s="21"/>
      <c r="I225" s="22"/>
      <c r="J225" s="23"/>
      <c r="K225" s="21"/>
      <c r="L225" s="24"/>
      <c r="M225" s="25"/>
      <c r="N225" s="26"/>
      <c r="O225" s="26"/>
      <c r="P225" s="22"/>
      <c r="Q225" s="21"/>
      <c r="R225" s="27"/>
      <c r="S225" s="28"/>
      <c r="T225" s="22"/>
      <c r="U225" s="22"/>
      <c r="V225" s="35"/>
    </row>
    <row r="226" spans="4:22" ht="15" thickBot="1" x14ac:dyDescent="0.4">
      <c r="D226" s="19"/>
      <c r="E226" s="20"/>
      <c r="F226" s="21"/>
      <c r="G226" s="22"/>
      <c r="H226" s="21"/>
      <c r="I226" s="22"/>
      <c r="J226" s="23"/>
      <c r="K226" s="21"/>
      <c r="L226" s="24"/>
      <c r="M226" s="25"/>
      <c r="N226" s="26"/>
      <c r="O226" s="26"/>
      <c r="P226" s="22"/>
      <c r="Q226" s="21"/>
      <c r="R226" s="27"/>
      <c r="S226" s="28"/>
      <c r="T226" s="22"/>
      <c r="U226" s="22"/>
      <c r="V226" s="35"/>
    </row>
    <row r="227" spans="4:22" ht="15" thickBot="1" x14ac:dyDescent="0.4">
      <c r="D227" s="19"/>
      <c r="E227" s="20"/>
      <c r="F227" s="21"/>
      <c r="G227" s="22"/>
      <c r="H227" s="21"/>
      <c r="I227" s="22"/>
      <c r="J227" s="23"/>
      <c r="K227" s="21"/>
      <c r="L227" s="24"/>
      <c r="M227" s="25"/>
      <c r="N227" s="26"/>
      <c r="O227" s="26"/>
      <c r="P227" s="22"/>
      <c r="Q227" s="21"/>
      <c r="R227" s="27"/>
      <c r="S227" s="28"/>
      <c r="T227" s="22"/>
      <c r="U227" s="34"/>
      <c r="V227" s="35"/>
    </row>
    <row r="228" spans="4:22" ht="15" thickBot="1" x14ac:dyDescent="0.4">
      <c r="D228" s="19"/>
      <c r="E228" s="20"/>
      <c r="F228" s="21"/>
      <c r="G228" s="22"/>
      <c r="H228" s="21"/>
      <c r="I228" s="22"/>
      <c r="J228" s="23"/>
      <c r="K228" s="21"/>
      <c r="L228" s="24"/>
      <c r="M228" s="25"/>
      <c r="N228" s="26"/>
      <c r="O228" s="26"/>
      <c r="P228" s="22"/>
      <c r="Q228" s="21"/>
      <c r="R228" s="27"/>
      <c r="S228" s="28"/>
      <c r="T228" s="22"/>
      <c r="U228" s="34"/>
      <c r="V228" s="35"/>
    </row>
    <row r="229" spans="4:22" ht="15" thickBot="1" x14ac:dyDescent="0.4">
      <c r="D229" s="19"/>
      <c r="E229" s="20"/>
      <c r="F229" s="21"/>
      <c r="G229" s="22"/>
      <c r="H229" s="21"/>
      <c r="I229" s="22"/>
      <c r="J229" s="23"/>
      <c r="K229" s="21"/>
      <c r="L229" s="24"/>
      <c r="M229" s="25"/>
      <c r="N229" s="26"/>
      <c r="O229" s="26"/>
      <c r="P229" s="22"/>
      <c r="Q229" s="21"/>
      <c r="R229" s="27"/>
      <c r="S229" s="28"/>
      <c r="T229" s="22"/>
      <c r="U229" s="22"/>
      <c r="V229" s="35"/>
    </row>
    <row r="230" spans="4:22" ht="15" thickBot="1" x14ac:dyDescent="0.4">
      <c r="D230" s="19"/>
      <c r="E230" s="20"/>
      <c r="F230" s="21"/>
      <c r="G230" s="22"/>
      <c r="H230" s="21"/>
      <c r="I230" s="22"/>
      <c r="J230" s="23"/>
      <c r="K230" s="21"/>
      <c r="L230" s="24"/>
      <c r="M230" s="25"/>
      <c r="N230" s="26"/>
      <c r="O230" s="26"/>
      <c r="P230" s="22"/>
      <c r="Q230" s="21"/>
      <c r="R230" s="27"/>
      <c r="S230" s="28"/>
      <c r="T230" s="22"/>
      <c r="U230" s="22"/>
      <c r="V230" s="35"/>
    </row>
    <row r="231" spans="4:22" ht="15" thickBot="1" x14ac:dyDescent="0.4">
      <c r="D231" s="19"/>
      <c r="E231" s="20"/>
      <c r="F231" s="21"/>
      <c r="G231" s="22"/>
      <c r="H231" s="21"/>
      <c r="I231" s="22"/>
      <c r="J231" s="23"/>
      <c r="K231" s="21"/>
      <c r="L231" s="24"/>
      <c r="M231" s="25"/>
      <c r="N231" s="26"/>
      <c r="O231" s="26"/>
      <c r="P231" s="22"/>
      <c r="Q231" s="21"/>
      <c r="R231" s="27"/>
      <c r="S231" s="28"/>
      <c r="T231" s="22"/>
      <c r="U231" s="34"/>
      <c r="V231" s="35"/>
    </row>
    <row r="232" spans="4:22" ht="15" thickBot="1" x14ac:dyDescent="0.4">
      <c r="D232" s="19"/>
      <c r="E232" s="20"/>
      <c r="F232" s="21"/>
      <c r="G232" s="22"/>
      <c r="H232" s="21"/>
      <c r="I232" s="22"/>
      <c r="J232" s="23"/>
      <c r="K232" s="21"/>
      <c r="L232" s="24"/>
      <c r="M232" s="25"/>
      <c r="N232" s="26"/>
      <c r="O232" s="26"/>
      <c r="P232" s="22"/>
      <c r="Q232" s="21"/>
      <c r="R232" s="27"/>
      <c r="S232" s="28"/>
      <c r="T232" s="22"/>
      <c r="U232" s="34"/>
      <c r="V232" s="35"/>
    </row>
    <row r="233" spans="4:22" ht="15" thickBot="1" x14ac:dyDescent="0.4">
      <c r="D233" s="19"/>
      <c r="E233" s="20"/>
      <c r="F233" s="21"/>
      <c r="G233" s="22"/>
      <c r="H233" s="21"/>
      <c r="I233" s="22"/>
      <c r="J233" s="23"/>
      <c r="K233" s="21"/>
      <c r="L233" s="24"/>
      <c r="M233" s="25"/>
      <c r="N233" s="26"/>
      <c r="O233" s="26"/>
      <c r="P233" s="22"/>
      <c r="Q233" s="21"/>
      <c r="R233" s="27"/>
      <c r="S233" s="28"/>
      <c r="T233" s="22"/>
      <c r="U233" s="22"/>
      <c r="V233" s="35"/>
    </row>
    <row r="234" spans="4:22" ht="15" thickBot="1" x14ac:dyDescent="0.4">
      <c r="D234" s="19"/>
      <c r="E234" s="20"/>
      <c r="F234" s="21"/>
      <c r="G234" s="22"/>
      <c r="H234" s="21"/>
      <c r="I234" s="22"/>
      <c r="J234" s="23"/>
      <c r="K234" s="21"/>
      <c r="L234" s="24"/>
      <c r="M234" s="25"/>
      <c r="N234" s="26"/>
      <c r="O234" s="26"/>
      <c r="P234" s="22"/>
      <c r="Q234" s="21"/>
      <c r="R234" s="27"/>
      <c r="S234" s="28"/>
      <c r="T234" s="22"/>
      <c r="U234" s="22"/>
      <c r="V234" s="35"/>
    </row>
    <row r="235" spans="4:22" ht="15" thickBot="1" x14ac:dyDescent="0.4">
      <c r="D235" s="19"/>
      <c r="E235" s="20"/>
      <c r="F235" s="21"/>
      <c r="G235" s="22"/>
      <c r="H235" s="21"/>
      <c r="I235" s="22"/>
      <c r="J235" s="23"/>
      <c r="K235" s="21"/>
      <c r="L235" s="24"/>
      <c r="M235" s="25"/>
      <c r="N235" s="26"/>
      <c r="O235" s="26"/>
      <c r="P235" s="22"/>
      <c r="Q235" s="21"/>
      <c r="R235" s="27"/>
      <c r="S235" s="28"/>
      <c r="T235" s="22"/>
      <c r="U235" s="22"/>
      <c r="V235" s="35"/>
    </row>
    <row r="236" spans="4:22" ht="15" thickBot="1" x14ac:dyDescent="0.4">
      <c r="D236" s="19"/>
      <c r="E236" s="20"/>
      <c r="F236" s="21"/>
      <c r="G236" s="22"/>
      <c r="H236" s="21"/>
      <c r="I236" s="22"/>
      <c r="J236" s="23"/>
      <c r="K236" s="21"/>
      <c r="L236" s="24"/>
      <c r="M236" s="25"/>
      <c r="N236" s="26"/>
      <c r="O236" s="26"/>
      <c r="P236" s="22"/>
      <c r="Q236" s="21"/>
      <c r="R236" s="27"/>
      <c r="S236" s="28"/>
      <c r="T236" s="22"/>
      <c r="U236" s="22"/>
      <c r="V236" s="35"/>
    </row>
    <row r="237" spans="4:22" ht="15" thickBot="1" x14ac:dyDescent="0.4">
      <c r="D237" s="19"/>
      <c r="E237" s="20"/>
      <c r="F237" s="21"/>
      <c r="G237" s="22"/>
      <c r="H237" s="21"/>
      <c r="I237" s="22"/>
      <c r="J237" s="23"/>
      <c r="K237" s="21"/>
      <c r="L237" s="24"/>
      <c r="M237" s="25"/>
      <c r="N237" s="26"/>
      <c r="O237" s="26"/>
      <c r="P237" s="22"/>
      <c r="Q237" s="21"/>
      <c r="R237" s="27"/>
      <c r="S237" s="28"/>
      <c r="T237" s="22"/>
      <c r="U237" s="22"/>
      <c r="V237" s="35"/>
    </row>
    <row r="238" spans="4:22" ht="15" thickBot="1" x14ac:dyDescent="0.4">
      <c r="D238" s="19"/>
      <c r="E238" s="20"/>
      <c r="F238" s="21"/>
      <c r="G238" s="22"/>
      <c r="H238" s="21"/>
      <c r="I238" s="22"/>
      <c r="J238" s="23"/>
      <c r="K238" s="21"/>
      <c r="L238" s="24"/>
      <c r="M238" s="25"/>
      <c r="N238" s="26"/>
      <c r="O238" s="26"/>
      <c r="P238" s="22"/>
      <c r="Q238" s="21"/>
      <c r="R238" s="27"/>
      <c r="S238" s="28"/>
      <c r="T238" s="22"/>
      <c r="U238" s="34"/>
      <c r="V238" s="35"/>
    </row>
    <row r="239" spans="4:22" ht="15" thickBot="1" x14ac:dyDescent="0.4">
      <c r="D239" s="19"/>
      <c r="E239" s="20"/>
      <c r="F239" s="21"/>
      <c r="G239" s="22"/>
      <c r="H239" s="21"/>
      <c r="I239" s="22"/>
      <c r="J239" s="23"/>
      <c r="K239" s="21"/>
      <c r="L239" s="24"/>
      <c r="M239" s="25"/>
      <c r="N239" s="26"/>
      <c r="O239" s="26"/>
      <c r="P239" s="22"/>
      <c r="Q239" s="21"/>
      <c r="R239" s="27"/>
      <c r="S239" s="28"/>
      <c r="T239" s="22"/>
      <c r="U239" s="34"/>
      <c r="V239" s="35"/>
    </row>
    <row r="240" spans="4:22" ht="15" thickBot="1" x14ac:dyDescent="0.4">
      <c r="D240" s="19"/>
      <c r="E240" s="20"/>
      <c r="F240" s="21"/>
      <c r="G240" s="22"/>
      <c r="H240" s="21"/>
      <c r="I240" s="22"/>
      <c r="J240" s="23"/>
      <c r="K240" s="21"/>
      <c r="L240" s="24"/>
      <c r="M240" s="25"/>
      <c r="N240" s="26"/>
      <c r="O240" s="26"/>
      <c r="P240" s="22"/>
      <c r="Q240" s="21"/>
      <c r="R240" s="27"/>
      <c r="S240" s="28"/>
      <c r="T240" s="22"/>
      <c r="U240" s="34"/>
      <c r="V240" s="35"/>
    </row>
    <row r="241" spans="4:24" ht="15" thickBot="1" x14ac:dyDescent="0.4">
      <c r="D241" s="19"/>
      <c r="E241" s="20"/>
      <c r="F241" s="21"/>
      <c r="G241" s="22"/>
      <c r="H241" s="21"/>
      <c r="I241" s="22"/>
      <c r="J241" s="23"/>
      <c r="K241" s="21"/>
      <c r="L241" s="24"/>
      <c r="M241" s="25"/>
      <c r="N241" s="26"/>
      <c r="O241" s="26"/>
      <c r="P241" s="22"/>
      <c r="Q241" s="21"/>
      <c r="R241" s="27"/>
      <c r="S241" s="28"/>
      <c r="T241" s="22"/>
      <c r="U241" s="22"/>
      <c r="V241" s="35"/>
    </row>
    <row r="242" spans="4:24" ht="15" thickBot="1" x14ac:dyDescent="0.4">
      <c r="D242" s="19"/>
      <c r="E242" s="20"/>
      <c r="F242" s="21"/>
      <c r="G242" s="22"/>
      <c r="H242" s="21"/>
      <c r="I242" s="22"/>
      <c r="J242" s="23"/>
      <c r="K242" s="21"/>
      <c r="L242" s="24"/>
      <c r="M242" s="25"/>
      <c r="N242" s="26"/>
      <c r="O242" s="26"/>
      <c r="P242" s="22"/>
      <c r="Q242" s="21"/>
      <c r="R242" s="27"/>
      <c r="S242" s="28"/>
      <c r="T242" s="22"/>
      <c r="U242" s="22"/>
      <c r="V242" s="35"/>
    </row>
    <row r="243" spans="4:24" ht="15" thickBot="1" x14ac:dyDescent="0.4">
      <c r="D243" s="19"/>
      <c r="E243" s="20"/>
      <c r="F243" s="21"/>
      <c r="G243" s="22"/>
      <c r="H243" s="21"/>
      <c r="I243" s="22"/>
      <c r="J243" s="23"/>
      <c r="K243" s="21"/>
      <c r="L243" s="24"/>
      <c r="M243" s="25"/>
      <c r="N243" s="26"/>
      <c r="O243" s="26"/>
      <c r="P243" s="22"/>
      <c r="Q243" s="21"/>
      <c r="R243" s="27"/>
      <c r="S243" s="28"/>
      <c r="T243" s="22"/>
      <c r="U243" s="34"/>
      <c r="V243" s="35"/>
    </row>
    <row r="244" spans="4:24" ht="15" thickBot="1" x14ac:dyDescent="0.4">
      <c r="D244" s="19"/>
      <c r="E244" s="20"/>
      <c r="F244" s="21"/>
      <c r="G244" s="22"/>
      <c r="H244" s="21"/>
      <c r="I244" s="22"/>
      <c r="J244" s="23"/>
      <c r="K244" s="21"/>
      <c r="L244" s="24"/>
      <c r="M244" s="25"/>
      <c r="N244" s="26"/>
      <c r="O244" s="26"/>
      <c r="P244" s="22"/>
      <c r="Q244" s="21"/>
      <c r="R244" s="27"/>
      <c r="S244" s="28"/>
      <c r="T244" s="22"/>
      <c r="U244" s="34"/>
      <c r="V244" s="35"/>
    </row>
    <row r="245" spans="4:24" ht="15" thickBot="1" x14ac:dyDescent="0.4">
      <c r="D245" s="19"/>
      <c r="E245" s="20"/>
      <c r="F245" s="21"/>
      <c r="G245" s="22"/>
      <c r="H245" s="21"/>
      <c r="I245" s="22"/>
      <c r="J245" s="23"/>
      <c r="K245" s="21"/>
      <c r="L245" s="24"/>
      <c r="M245" s="25"/>
      <c r="N245" s="26"/>
      <c r="O245" s="26"/>
      <c r="P245" s="22"/>
      <c r="Q245" s="21"/>
      <c r="R245" s="27"/>
      <c r="S245" s="28"/>
      <c r="T245" s="22"/>
      <c r="U245" s="22"/>
      <c r="V245" s="35"/>
    </row>
    <row r="246" spans="4:24" ht="15" thickBot="1" x14ac:dyDescent="0.4">
      <c r="D246" s="19"/>
      <c r="E246" s="20"/>
      <c r="F246" s="21"/>
      <c r="G246" s="22"/>
      <c r="H246" s="21"/>
      <c r="I246" s="22"/>
      <c r="J246" s="23"/>
      <c r="K246" s="21"/>
      <c r="L246" s="24"/>
      <c r="M246" s="25"/>
      <c r="N246" s="26"/>
      <c r="O246" s="26"/>
      <c r="P246" s="22"/>
      <c r="Q246" s="21"/>
      <c r="R246" s="27"/>
      <c r="S246" s="28"/>
      <c r="T246" s="22"/>
      <c r="U246" s="22"/>
      <c r="V246" s="35"/>
    </row>
    <row r="247" spans="4:24" ht="15" thickBot="1" x14ac:dyDescent="0.4">
      <c r="D247" s="19"/>
      <c r="E247" s="20"/>
      <c r="F247" s="21"/>
      <c r="G247" s="22"/>
      <c r="H247" s="21"/>
      <c r="I247" s="22"/>
      <c r="J247" s="23"/>
      <c r="K247" s="21"/>
      <c r="L247" s="24"/>
      <c r="M247" s="25"/>
      <c r="N247" s="26"/>
      <c r="O247" s="26"/>
      <c r="P247" s="22"/>
      <c r="Q247" s="21"/>
      <c r="R247" s="27"/>
      <c r="S247" s="28"/>
      <c r="T247" s="22"/>
      <c r="U247" s="34"/>
      <c r="V247" s="35"/>
    </row>
    <row r="248" spans="4:24" ht="15" thickBot="1" x14ac:dyDescent="0.4">
      <c r="D248" s="19"/>
      <c r="E248" s="20"/>
      <c r="F248" s="21"/>
      <c r="G248" s="22"/>
      <c r="H248" s="21"/>
      <c r="I248" s="22"/>
      <c r="J248" s="23"/>
      <c r="K248" s="21"/>
      <c r="L248" s="24"/>
      <c r="M248" s="25"/>
      <c r="N248" s="26"/>
      <c r="O248" s="26"/>
      <c r="P248" s="22"/>
      <c r="Q248" s="21"/>
      <c r="R248" s="27"/>
      <c r="S248" s="28"/>
      <c r="T248" s="22"/>
      <c r="U248" s="22"/>
      <c r="V248" s="35"/>
    </row>
    <row r="249" spans="4:24" ht="15" thickBot="1" x14ac:dyDescent="0.4">
      <c r="D249" s="19"/>
      <c r="E249" s="20"/>
      <c r="F249" s="21"/>
      <c r="G249" s="22"/>
      <c r="H249" s="21"/>
      <c r="I249" s="22"/>
      <c r="J249" s="23"/>
      <c r="K249" s="21"/>
      <c r="L249" s="24"/>
      <c r="M249" s="25"/>
      <c r="N249" s="26"/>
      <c r="O249" s="26"/>
      <c r="P249" s="22"/>
      <c r="Q249" s="21"/>
      <c r="R249" s="27"/>
      <c r="S249" s="28"/>
      <c r="T249" s="22"/>
      <c r="U249" s="33"/>
      <c r="V249" s="35"/>
    </row>
    <row r="250" spans="4:24" ht="15" thickBot="1" x14ac:dyDescent="0.4">
      <c r="D250" s="19"/>
      <c r="E250" s="20"/>
      <c r="F250" s="21"/>
      <c r="G250" s="22"/>
      <c r="H250" s="21"/>
      <c r="I250" s="22"/>
      <c r="J250" s="23"/>
      <c r="K250" s="21"/>
      <c r="L250" s="24"/>
      <c r="M250" s="25"/>
      <c r="N250" s="26"/>
      <c r="O250" s="26"/>
      <c r="P250" s="22"/>
      <c r="Q250" s="21"/>
      <c r="R250" s="27"/>
      <c r="S250" s="28"/>
      <c r="T250" s="22"/>
      <c r="U250" s="32"/>
      <c r="V250" s="35"/>
    </row>
    <row r="251" spans="4:24" ht="15" thickBot="1" x14ac:dyDescent="0.4">
      <c r="D251" s="19"/>
      <c r="E251" s="20"/>
      <c r="F251" s="21"/>
      <c r="G251" s="22"/>
      <c r="H251" s="21"/>
      <c r="I251" s="22"/>
      <c r="J251" s="23"/>
      <c r="K251" s="21"/>
      <c r="L251" s="24"/>
      <c r="M251" s="25"/>
      <c r="N251" s="26"/>
      <c r="O251" s="26"/>
      <c r="P251" s="22"/>
      <c r="Q251" s="21"/>
      <c r="R251" s="27"/>
      <c r="S251" s="28"/>
      <c r="T251" s="22"/>
      <c r="U251" s="33"/>
      <c r="V251" s="35"/>
    </row>
    <row r="252" spans="4:24" ht="15" thickBot="1" x14ac:dyDescent="0.4">
      <c r="D252" s="19"/>
      <c r="E252" s="20"/>
      <c r="F252" s="21"/>
      <c r="G252" s="22"/>
      <c r="H252" s="21"/>
      <c r="I252" s="22"/>
      <c r="J252" s="23"/>
      <c r="K252" s="21"/>
      <c r="L252" s="24"/>
      <c r="M252" s="25"/>
      <c r="N252" s="26"/>
      <c r="O252" s="26"/>
      <c r="P252" s="22"/>
      <c r="Q252" s="21"/>
      <c r="R252" s="27"/>
      <c r="S252" s="28"/>
      <c r="T252" s="22"/>
      <c r="U252" s="33"/>
      <c r="V252" s="35"/>
      <c r="X252" s="22" t="e">
        <f>Y252*#REF!</f>
        <v>#REF!</v>
      </c>
    </row>
    <row r="253" spans="4:24" ht="15" thickBot="1" x14ac:dyDescent="0.4">
      <c r="D253" s="19"/>
      <c r="E253" s="20"/>
      <c r="F253" s="21"/>
      <c r="G253" s="22"/>
      <c r="H253" s="21"/>
      <c r="I253" s="22"/>
      <c r="J253" s="23"/>
      <c r="K253" s="21"/>
      <c r="L253" s="24"/>
      <c r="M253" s="25"/>
      <c r="N253" s="26"/>
      <c r="O253" s="26"/>
      <c r="P253" s="22"/>
      <c r="Q253" s="21"/>
      <c r="R253" s="27"/>
      <c r="S253" s="28"/>
      <c r="T253" s="22"/>
      <c r="U253" s="33"/>
      <c r="V253" s="35"/>
    </row>
    <row r="254" spans="4:24" ht="15" thickBot="1" x14ac:dyDescent="0.4">
      <c r="D254" s="19"/>
      <c r="E254" s="20"/>
      <c r="F254" s="21"/>
      <c r="G254" s="22"/>
      <c r="H254" s="21"/>
      <c r="I254" s="22"/>
      <c r="J254" s="23"/>
      <c r="K254" s="21"/>
      <c r="L254" s="24"/>
      <c r="M254" s="25"/>
      <c r="N254" s="26"/>
      <c r="O254" s="26"/>
      <c r="P254" s="22"/>
      <c r="Q254" s="21"/>
      <c r="R254" s="27"/>
      <c r="S254" s="28"/>
      <c r="T254" s="22"/>
      <c r="U254" s="32"/>
      <c r="V254" s="35"/>
    </row>
    <row r="255" spans="4:24" ht="15" thickBot="1" x14ac:dyDescent="0.4">
      <c r="D255" s="19"/>
      <c r="E255" s="20"/>
      <c r="F255" s="21"/>
      <c r="G255" s="22"/>
      <c r="H255" s="21"/>
      <c r="I255" s="22"/>
      <c r="J255" s="23"/>
      <c r="K255" s="21"/>
      <c r="L255" s="24"/>
      <c r="M255" s="25"/>
      <c r="N255" s="26"/>
      <c r="O255" s="26"/>
      <c r="P255" s="22"/>
      <c r="Q255" s="21"/>
      <c r="R255" s="27"/>
      <c r="S255" s="28"/>
      <c r="T255" s="22"/>
      <c r="U255" s="32"/>
      <c r="V255" s="35"/>
    </row>
    <row r="256" spans="4:24" ht="15" thickBot="1" x14ac:dyDescent="0.4">
      <c r="D256" s="19"/>
      <c r="E256" s="20"/>
      <c r="F256" s="21"/>
      <c r="G256" s="22"/>
      <c r="H256" s="21"/>
      <c r="I256" s="22"/>
      <c r="J256" s="23"/>
      <c r="K256" s="21"/>
      <c r="L256" s="24"/>
      <c r="M256" s="25"/>
      <c r="N256" s="26"/>
      <c r="O256" s="26"/>
      <c r="P256" s="22"/>
      <c r="Q256" s="21"/>
      <c r="R256" s="27"/>
      <c r="S256" s="28"/>
      <c r="T256" s="22"/>
      <c r="U256" s="33"/>
      <c r="V256" s="35"/>
    </row>
    <row r="257" spans="4:22" ht="15" thickBot="1" x14ac:dyDescent="0.4">
      <c r="D257" s="19"/>
      <c r="E257" s="20"/>
      <c r="F257" s="21"/>
      <c r="G257" s="22"/>
      <c r="H257" s="21"/>
      <c r="I257" s="22"/>
      <c r="J257" s="23"/>
      <c r="K257" s="21"/>
      <c r="L257" s="24"/>
      <c r="M257" s="25"/>
      <c r="N257" s="26"/>
      <c r="O257" s="26"/>
      <c r="P257" s="22"/>
      <c r="Q257" s="21"/>
      <c r="R257" s="27"/>
      <c r="S257" s="28"/>
      <c r="T257" s="22"/>
      <c r="U257" s="32"/>
      <c r="V257" s="35"/>
    </row>
    <row r="258" spans="4:22" ht="15" thickBot="1" x14ac:dyDescent="0.4">
      <c r="D258" s="19"/>
      <c r="E258" s="20"/>
      <c r="F258" s="21"/>
      <c r="G258" s="22"/>
      <c r="H258" s="21"/>
      <c r="I258" s="22"/>
      <c r="J258" s="23"/>
      <c r="K258" s="21"/>
      <c r="L258" s="24"/>
      <c r="M258" s="25"/>
      <c r="N258" s="26"/>
      <c r="O258" s="26"/>
      <c r="P258" s="22"/>
      <c r="Q258" s="21"/>
      <c r="R258" s="27"/>
      <c r="S258" s="28"/>
      <c r="T258" s="22"/>
      <c r="U258" s="32"/>
      <c r="V258" s="35"/>
    </row>
    <row r="259" spans="4:22" ht="15" thickBot="1" x14ac:dyDescent="0.4">
      <c r="D259" s="19"/>
      <c r="E259" s="20"/>
      <c r="F259" s="21"/>
      <c r="G259" s="22"/>
      <c r="H259" s="21"/>
      <c r="I259" s="22"/>
      <c r="J259" s="23"/>
      <c r="K259" s="21"/>
      <c r="L259" s="24"/>
      <c r="M259" s="25"/>
      <c r="N259" s="26"/>
      <c r="O259" s="26"/>
      <c r="P259" s="22"/>
      <c r="Q259" s="21"/>
      <c r="R259" s="27"/>
      <c r="S259" s="28"/>
      <c r="T259" s="22"/>
      <c r="U259" s="33"/>
      <c r="V259" s="35"/>
    </row>
    <row r="260" spans="4:22" ht="15" thickBot="1" x14ac:dyDescent="0.4">
      <c r="D260" s="19"/>
      <c r="E260" s="20"/>
      <c r="F260" s="21"/>
      <c r="G260" s="22"/>
      <c r="H260" s="21"/>
      <c r="I260" s="22"/>
      <c r="J260" s="23"/>
      <c r="K260" s="21"/>
      <c r="L260" s="24"/>
      <c r="M260" s="25"/>
      <c r="N260" s="26"/>
      <c r="O260" s="26"/>
      <c r="P260" s="22"/>
      <c r="Q260" s="21"/>
      <c r="R260" s="27"/>
      <c r="S260" s="28"/>
      <c r="T260" s="22"/>
      <c r="U260" s="32"/>
      <c r="V260" s="35"/>
    </row>
    <row r="261" spans="4:22" ht="15" thickBot="1" x14ac:dyDescent="0.4">
      <c r="D261" s="19"/>
      <c r="E261" s="20"/>
      <c r="F261" s="21"/>
      <c r="G261" s="22"/>
      <c r="H261" s="21"/>
      <c r="I261" s="22"/>
      <c r="J261" s="23"/>
      <c r="K261" s="21"/>
      <c r="L261" s="24"/>
      <c r="M261" s="25"/>
      <c r="N261" s="26"/>
      <c r="O261" s="26"/>
      <c r="P261" s="22"/>
      <c r="Q261" s="21"/>
      <c r="R261" s="27"/>
      <c r="S261" s="28"/>
      <c r="T261" s="22"/>
      <c r="U261" s="32"/>
      <c r="V261" s="35"/>
    </row>
    <row r="262" spans="4:22" ht="15" thickBot="1" x14ac:dyDescent="0.4">
      <c r="D262" s="19"/>
      <c r="E262" s="20"/>
      <c r="F262" s="21"/>
      <c r="G262" s="22"/>
      <c r="H262" s="21"/>
      <c r="I262" s="22"/>
      <c r="J262" s="23"/>
      <c r="K262" s="21"/>
      <c r="L262" s="24"/>
      <c r="M262" s="25"/>
      <c r="N262" s="26"/>
      <c r="O262" s="26"/>
      <c r="P262" s="22"/>
      <c r="Q262" s="21"/>
      <c r="R262" s="27"/>
      <c r="S262" s="28"/>
      <c r="T262" s="22"/>
      <c r="U262" s="32"/>
      <c r="V262" s="35"/>
    </row>
    <row r="263" spans="4:22" ht="15" thickBot="1" x14ac:dyDescent="0.4">
      <c r="D263" s="19"/>
      <c r="E263" s="20"/>
      <c r="F263" s="21"/>
      <c r="G263" s="22"/>
      <c r="H263" s="21"/>
      <c r="I263" s="22"/>
      <c r="J263" s="23"/>
      <c r="K263" s="21"/>
      <c r="L263" s="24"/>
      <c r="M263" s="25"/>
      <c r="N263" s="26"/>
      <c r="O263" s="26"/>
      <c r="P263" s="22"/>
      <c r="Q263" s="21"/>
      <c r="R263" s="27"/>
      <c r="S263" s="28"/>
      <c r="T263" s="22"/>
      <c r="U263" s="33"/>
      <c r="V263" s="35"/>
    </row>
    <row r="264" spans="4:22" ht="15" thickBot="1" x14ac:dyDescent="0.4">
      <c r="D264" s="19"/>
      <c r="E264" s="20"/>
      <c r="F264" s="21"/>
      <c r="G264" s="22"/>
      <c r="H264" s="21"/>
      <c r="I264" s="22"/>
      <c r="J264" s="23"/>
      <c r="K264" s="21"/>
      <c r="L264" s="24"/>
      <c r="M264" s="25"/>
      <c r="N264" s="26"/>
      <c r="O264" s="26"/>
      <c r="P264" s="22"/>
      <c r="Q264" s="21"/>
      <c r="R264" s="27"/>
      <c r="S264" s="28"/>
      <c r="T264" s="22"/>
      <c r="U264" s="32"/>
      <c r="V264" s="35"/>
    </row>
    <row r="265" spans="4:22" ht="15" thickBot="1" x14ac:dyDescent="0.4">
      <c r="D265" s="19"/>
      <c r="E265" s="20"/>
      <c r="F265" s="21"/>
      <c r="G265" s="22"/>
      <c r="H265" s="21"/>
      <c r="I265" s="22"/>
      <c r="J265" s="23"/>
      <c r="K265" s="21"/>
      <c r="L265" s="24"/>
      <c r="M265" s="25"/>
      <c r="N265" s="26"/>
      <c r="O265" s="26"/>
      <c r="P265" s="22"/>
      <c r="Q265" s="21"/>
      <c r="R265" s="27"/>
      <c r="S265" s="28"/>
      <c r="T265" s="22"/>
      <c r="U265" s="33"/>
      <c r="V265" s="35"/>
    </row>
    <row r="266" spans="4:22" ht="15" thickBot="1" x14ac:dyDescent="0.4">
      <c r="D266" s="19"/>
      <c r="E266" s="20"/>
      <c r="F266" s="21"/>
      <c r="G266" s="22"/>
      <c r="H266" s="21"/>
      <c r="I266" s="22"/>
      <c r="J266" s="23"/>
      <c r="K266" s="21"/>
      <c r="L266" s="24"/>
      <c r="M266" s="25"/>
      <c r="N266" s="26"/>
      <c r="O266" s="26"/>
      <c r="P266" s="22"/>
      <c r="Q266" s="21"/>
      <c r="R266" s="27"/>
      <c r="S266" s="28"/>
      <c r="T266" s="22"/>
      <c r="U266" s="33"/>
      <c r="V266" s="35"/>
    </row>
    <row r="267" spans="4:22" ht="15" thickBot="1" x14ac:dyDescent="0.4">
      <c r="D267" s="19"/>
      <c r="E267" s="20"/>
      <c r="F267" s="21"/>
      <c r="G267" s="22"/>
      <c r="H267" s="21"/>
      <c r="I267" s="22"/>
      <c r="J267" s="23"/>
      <c r="K267" s="21"/>
      <c r="L267" s="24"/>
      <c r="M267" s="25"/>
      <c r="N267" s="26"/>
      <c r="O267" s="26"/>
      <c r="P267" s="22"/>
      <c r="Q267" s="21"/>
      <c r="R267" s="27"/>
      <c r="S267" s="28"/>
      <c r="T267" s="22"/>
      <c r="U267" s="32"/>
      <c r="V267" s="35"/>
    </row>
    <row r="268" spans="4:22" ht="15" thickBot="1" x14ac:dyDescent="0.4">
      <c r="D268" s="19"/>
      <c r="E268" s="20"/>
      <c r="F268" s="21"/>
      <c r="G268" s="22"/>
      <c r="H268" s="21"/>
      <c r="I268" s="22"/>
      <c r="J268" s="23"/>
      <c r="K268" s="21"/>
      <c r="L268" s="24"/>
      <c r="M268" s="25"/>
      <c r="N268" s="26"/>
      <c r="O268" s="26"/>
      <c r="P268" s="22"/>
      <c r="Q268" s="21"/>
      <c r="R268" s="27"/>
      <c r="S268" s="28"/>
      <c r="T268" s="22"/>
      <c r="U268" s="33"/>
      <c r="V268" s="35"/>
    </row>
    <row r="269" spans="4:22" ht="15" thickBot="1" x14ac:dyDescent="0.4">
      <c r="D269" s="19"/>
      <c r="E269" s="20"/>
      <c r="F269" s="21"/>
      <c r="G269" s="22"/>
      <c r="H269" s="21"/>
      <c r="I269" s="22"/>
      <c r="J269" s="23"/>
      <c r="K269" s="21"/>
      <c r="L269" s="24"/>
      <c r="M269" s="25"/>
      <c r="N269" s="26"/>
      <c r="O269" s="26"/>
      <c r="P269" s="22"/>
      <c r="Q269" s="21"/>
      <c r="R269" s="27"/>
      <c r="S269" s="28"/>
      <c r="T269" s="22"/>
      <c r="U269" s="33"/>
      <c r="V269" s="35"/>
    </row>
    <row r="270" spans="4:22" ht="15" thickBot="1" x14ac:dyDescent="0.4">
      <c r="D270" s="19"/>
      <c r="E270" s="20"/>
      <c r="F270" s="21"/>
      <c r="G270" s="22"/>
      <c r="H270" s="21"/>
      <c r="I270" s="22"/>
      <c r="J270" s="23"/>
      <c r="K270" s="21"/>
      <c r="L270" s="24"/>
      <c r="M270" s="25"/>
      <c r="N270" s="26"/>
      <c r="O270" s="26"/>
      <c r="P270" s="22"/>
      <c r="Q270" s="21"/>
      <c r="R270" s="27"/>
      <c r="S270" s="28"/>
      <c r="T270" s="22"/>
      <c r="U270" s="32"/>
      <c r="V270" s="35"/>
    </row>
    <row r="271" spans="4:22" ht="15" thickBot="1" x14ac:dyDescent="0.4">
      <c r="D271" s="19"/>
      <c r="E271" s="20"/>
      <c r="F271" s="21"/>
      <c r="G271" s="22"/>
      <c r="H271" s="21"/>
      <c r="I271" s="22"/>
      <c r="J271" s="23"/>
      <c r="K271" s="21"/>
      <c r="L271" s="24"/>
      <c r="M271" s="25"/>
      <c r="N271" s="26"/>
      <c r="O271" s="26"/>
      <c r="P271" s="22"/>
      <c r="Q271" s="21"/>
      <c r="R271" s="27"/>
      <c r="S271" s="28"/>
      <c r="T271" s="22"/>
      <c r="U271" s="33"/>
      <c r="V271" s="35"/>
    </row>
    <row r="272" spans="4:22" ht="15" thickBot="1" x14ac:dyDescent="0.4">
      <c r="D272" s="19"/>
      <c r="E272" s="20"/>
      <c r="F272" s="21"/>
      <c r="G272" s="22"/>
      <c r="H272" s="21"/>
      <c r="I272" s="22"/>
      <c r="J272" s="23"/>
      <c r="K272" s="21"/>
      <c r="L272" s="24"/>
      <c r="M272" s="25"/>
      <c r="N272" s="26"/>
      <c r="O272" s="26"/>
      <c r="P272" s="22"/>
      <c r="Q272" s="21"/>
      <c r="R272" s="27"/>
      <c r="S272" s="28"/>
      <c r="T272" s="22"/>
      <c r="U272" s="32"/>
      <c r="V272" s="35"/>
    </row>
    <row r="273" spans="4:22" ht="15" thickBot="1" x14ac:dyDescent="0.4">
      <c r="D273" s="19"/>
      <c r="E273" s="20"/>
      <c r="F273" s="21"/>
      <c r="G273" s="22"/>
      <c r="H273" s="21"/>
      <c r="I273" s="22"/>
      <c r="J273" s="23"/>
      <c r="K273" s="21"/>
      <c r="L273" s="24"/>
      <c r="M273" s="25"/>
      <c r="N273" s="26"/>
      <c r="O273" s="26"/>
      <c r="P273" s="22"/>
      <c r="Q273" s="21"/>
      <c r="R273" s="27"/>
      <c r="S273" s="28"/>
      <c r="T273" s="22"/>
      <c r="U273" s="33"/>
      <c r="V273" s="35"/>
    </row>
    <row r="274" spans="4:22" ht="15" thickBot="1" x14ac:dyDescent="0.4">
      <c r="D274" s="19"/>
      <c r="E274" s="20"/>
      <c r="F274" s="21"/>
      <c r="G274" s="22"/>
      <c r="H274" s="21"/>
      <c r="I274" s="22"/>
      <c r="J274" s="23"/>
      <c r="K274" s="21"/>
      <c r="L274" s="24"/>
      <c r="M274" s="25"/>
      <c r="N274" s="26"/>
      <c r="O274" s="26"/>
      <c r="P274" s="22"/>
      <c r="Q274" s="21"/>
      <c r="R274" s="27"/>
      <c r="S274" s="28"/>
      <c r="T274" s="22"/>
      <c r="U274" s="33"/>
      <c r="V274" s="35"/>
    </row>
    <row r="275" spans="4:22" ht="15" thickBot="1" x14ac:dyDescent="0.4">
      <c r="D275" s="19"/>
      <c r="E275" s="20"/>
      <c r="F275" s="21"/>
      <c r="G275" s="22"/>
      <c r="H275" s="21"/>
      <c r="I275" s="22"/>
      <c r="J275" s="23"/>
      <c r="K275" s="21"/>
      <c r="L275" s="24"/>
      <c r="M275" s="25"/>
      <c r="N275" s="26"/>
      <c r="O275" s="26"/>
      <c r="P275" s="22"/>
      <c r="Q275" s="21"/>
      <c r="R275" s="27"/>
      <c r="S275" s="28"/>
      <c r="T275" s="22"/>
      <c r="U275" s="33"/>
      <c r="V275" s="35"/>
    </row>
    <row r="276" spans="4:22" ht="15" thickBot="1" x14ac:dyDescent="0.4">
      <c r="D276" s="19"/>
      <c r="E276" s="20"/>
      <c r="F276" s="21"/>
      <c r="G276" s="22"/>
      <c r="H276" s="21"/>
      <c r="I276" s="22"/>
      <c r="J276" s="23"/>
      <c r="K276" s="21"/>
      <c r="L276" s="24"/>
      <c r="M276" s="25"/>
      <c r="N276" s="26"/>
      <c r="O276" s="26"/>
      <c r="P276" s="22"/>
      <c r="Q276" s="21"/>
      <c r="R276" s="27"/>
      <c r="S276" s="28"/>
      <c r="T276" s="22"/>
      <c r="U276" s="33"/>
      <c r="V276" s="35"/>
    </row>
    <row r="277" spans="4:22" ht="15" thickBot="1" x14ac:dyDescent="0.4">
      <c r="D277" s="19"/>
      <c r="E277" s="20"/>
      <c r="F277" s="21"/>
      <c r="G277" s="22"/>
      <c r="H277" s="21"/>
      <c r="I277" s="22"/>
      <c r="J277" s="23"/>
      <c r="K277" s="21"/>
      <c r="L277" s="24"/>
      <c r="M277" s="25"/>
      <c r="N277" s="26"/>
      <c r="O277" s="26"/>
      <c r="P277" s="22"/>
      <c r="Q277" s="21"/>
      <c r="R277" s="27"/>
      <c r="S277" s="28"/>
      <c r="T277" s="22"/>
      <c r="U277" s="33"/>
      <c r="V277" s="35"/>
    </row>
    <row r="278" spans="4:22" ht="15" thickBot="1" x14ac:dyDescent="0.4">
      <c r="D278" s="19"/>
      <c r="E278" s="20"/>
      <c r="F278" s="21"/>
      <c r="G278" s="22"/>
      <c r="H278" s="21"/>
      <c r="I278" s="22"/>
      <c r="J278" s="23"/>
      <c r="K278" s="21"/>
      <c r="L278" s="24"/>
      <c r="M278" s="25"/>
      <c r="N278" s="26"/>
      <c r="O278" s="26"/>
      <c r="P278" s="22"/>
      <c r="Q278" s="21"/>
      <c r="R278" s="27"/>
      <c r="S278" s="28"/>
      <c r="T278" s="22"/>
      <c r="U278" s="32"/>
      <c r="V278" s="35"/>
    </row>
    <row r="279" spans="4:22" ht="15" thickBot="1" x14ac:dyDescent="0.4">
      <c r="D279" s="19"/>
      <c r="E279" s="20"/>
      <c r="F279" s="21"/>
      <c r="G279" s="22"/>
      <c r="H279" s="21"/>
      <c r="I279" s="22"/>
      <c r="J279" s="23"/>
      <c r="K279" s="21"/>
      <c r="L279" s="24"/>
      <c r="M279" s="25"/>
      <c r="N279" s="26"/>
      <c r="O279" s="26"/>
      <c r="P279" s="22"/>
      <c r="Q279" s="21"/>
      <c r="R279" s="27"/>
      <c r="S279" s="28"/>
      <c r="T279" s="22"/>
      <c r="U279" s="33"/>
      <c r="V279" s="35"/>
    </row>
    <row r="280" spans="4:22" ht="15" thickBot="1" x14ac:dyDescent="0.4">
      <c r="D280" s="19"/>
      <c r="E280" s="20"/>
      <c r="F280" s="21"/>
      <c r="G280" s="22"/>
      <c r="H280" s="21"/>
      <c r="I280" s="22"/>
      <c r="J280" s="23"/>
      <c r="K280" s="21"/>
      <c r="L280" s="24"/>
      <c r="M280" s="25"/>
      <c r="N280" s="26"/>
      <c r="O280" s="26"/>
      <c r="P280" s="22"/>
      <c r="Q280" s="21"/>
      <c r="R280" s="27"/>
      <c r="S280" s="28"/>
      <c r="T280" s="22"/>
      <c r="U280" s="32"/>
      <c r="V280" s="35"/>
    </row>
    <row r="281" spans="4:22" ht="15" thickBot="1" x14ac:dyDescent="0.4">
      <c r="D281" s="19"/>
      <c r="E281" s="20"/>
      <c r="F281" s="21"/>
      <c r="G281" s="22"/>
      <c r="H281" s="21"/>
      <c r="I281" s="22"/>
      <c r="J281" s="23"/>
      <c r="K281" s="21"/>
      <c r="L281" s="24"/>
      <c r="M281" s="25"/>
      <c r="N281" s="26"/>
      <c r="O281" s="26"/>
      <c r="P281" s="22"/>
      <c r="Q281" s="21"/>
      <c r="R281" s="27"/>
      <c r="S281" s="28"/>
      <c r="T281" s="22"/>
      <c r="U281" s="33"/>
      <c r="V281" s="35"/>
    </row>
    <row r="282" spans="4:22" ht="15" thickBot="1" x14ac:dyDescent="0.4">
      <c r="D282" s="19"/>
      <c r="E282" s="20"/>
      <c r="F282" s="21"/>
      <c r="G282" s="22"/>
      <c r="H282" s="21"/>
      <c r="I282" s="22"/>
      <c r="J282" s="23"/>
      <c r="K282" s="21"/>
      <c r="L282" s="24"/>
      <c r="M282" s="25"/>
      <c r="N282" s="26"/>
      <c r="O282" s="26"/>
      <c r="P282" s="22"/>
      <c r="Q282" s="21"/>
      <c r="R282" s="27"/>
      <c r="S282" s="28"/>
      <c r="T282" s="22"/>
      <c r="U282" s="33"/>
      <c r="V282" s="35"/>
    </row>
    <row r="283" spans="4:22" ht="15" thickBot="1" x14ac:dyDescent="0.4">
      <c r="D283" s="19"/>
      <c r="E283" s="20"/>
      <c r="F283" s="21"/>
      <c r="G283" s="22"/>
      <c r="H283" s="21"/>
      <c r="I283" s="22"/>
      <c r="J283" s="23"/>
      <c r="K283" s="21"/>
      <c r="L283" s="24"/>
      <c r="M283" s="25"/>
      <c r="N283" s="26"/>
      <c r="O283" s="26"/>
      <c r="P283" s="22"/>
      <c r="Q283" s="21"/>
      <c r="R283" s="27"/>
      <c r="S283" s="28"/>
      <c r="T283" s="22"/>
      <c r="U283" s="33"/>
      <c r="V283" s="35"/>
    </row>
    <row r="284" spans="4:22" ht="15" thickBot="1" x14ac:dyDescent="0.4">
      <c r="D284" s="19"/>
      <c r="E284" s="20"/>
      <c r="F284" s="21"/>
      <c r="G284" s="22"/>
      <c r="H284" s="21"/>
      <c r="I284" s="22"/>
      <c r="J284" s="23"/>
      <c r="K284" s="21"/>
      <c r="L284" s="24"/>
      <c r="M284" s="25"/>
      <c r="N284" s="26"/>
      <c r="O284" s="26"/>
      <c r="P284" s="22"/>
      <c r="Q284" s="21"/>
      <c r="R284" s="27"/>
      <c r="S284" s="28"/>
      <c r="T284" s="22"/>
      <c r="U284" s="32"/>
      <c r="V284" s="35"/>
    </row>
    <row r="285" spans="4:22" ht="15" thickBot="1" x14ac:dyDescent="0.4">
      <c r="D285" s="19"/>
      <c r="E285" s="20"/>
      <c r="F285" s="21"/>
      <c r="G285" s="22"/>
      <c r="H285" s="21"/>
      <c r="I285" s="22"/>
      <c r="J285" s="23"/>
      <c r="K285" s="21"/>
      <c r="L285" s="24"/>
      <c r="M285" s="25"/>
      <c r="N285" s="26"/>
      <c r="O285" s="26"/>
      <c r="P285" s="22"/>
      <c r="Q285" s="21"/>
      <c r="R285" s="27"/>
      <c r="S285" s="28"/>
      <c r="T285" s="22"/>
      <c r="U285" s="33"/>
      <c r="V285" s="35"/>
    </row>
    <row r="286" spans="4:22" ht="15" thickBot="1" x14ac:dyDescent="0.4">
      <c r="D286" s="19"/>
      <c r="E286" s="20"/>
      <c r="F286" s="21"/>
      <c r="G286" s="22"/>
      <c r="H286" s="21"/>
      <c r="I286" s="22"/>
      <c r="J286" s="23"/>
      <c r="K286" s="21"/>
      <c r="L286" s="24"/>
      <c r="M286" s="25"/>
      <c r="N286" s="26"/>
      <c r="O286" s="26"/>
      <c r="P286" s="22"/>
      <c r="Q286" s="21"/>
      <c r="R286" s="27"/>
      <c r="S286" s="28"/>
      <c r="T286" s="22"/>
      <c r="U286" s="32"/>
      <c r="V286" s="35"/>
    </row>
    <row r="287" spans="4:22" ht="15" thickBot="1" x14ac:dyDescent="0.4">
      <c r="D287" s="19"/>
      <c r="E287" s="20"/>
      <c r="F287" s="21"/>
      <c r="G287" s="22"/>
      <c r="H287" s="21"/>
      <c r="I287" s="22"/>
      <c r="J287" s="23"/>
      <c r="K287" s="21"/>
      <c r="L287" s="24"/>
      <c r="M287" s="25"/>
      <c r="N287" s="26"/>
      <c r="O287" s="26"/>
      <c r="P287" s="22"/>
      <c r="Q287" s="21"/>
      <c r="R287" s="27"/>
      <c r="S287" s="28"/>
      <c r="T287" s="22"/>
      <c r="U287" s="22"/>
      <c r="V287" s="35"/>
    </row>
    <row r="288" spans="4:22" ht="15" thickBot="1" x14ac:dyDescent="0.4">
      <c r="D288" s="19"/>
      <c r="E288" s="20"/>
      <c r="F288" s="21"/>
      <c r="G288" s="22"/>
      <c r="H288" s="21"/>
      <c r="I288" s="22"/>
      <c r="J288" s="23"/>
      <c r="K288" s="21"/>
      <c r="L288" s="24"/>
      <c r="M288" s="25"/>
      <c r="N288" s="26"/>
      <c r="O288" s="26"/>
      <c r="P288" s="22"/>
      <c r="Q288" s="21"/>
      <c r="R288" s="27"/>
      <c r="S288" s="28"/>
      <c r="T288" s="22"/>
      <c r="U288" s="22"/>
      <c r="V288" s="35"/>
    </row>
    <row r="289" spans="4:22" ht="15" thickBot="1" x14ac:dyDescent="0.4">
      <c r="D289" s="19"/>
      <c r="E289" s="20"/>
      <c r="F289" s="21"/>
      <c r="G289" s="22"/>
      <c r="H289" s="21"/>
      <c r="I289" s="22"/>
      <c r="J289" s="23"/>
      <c r="K289" s="21"/>
      <c r="L289" s="24"/>
      <c r="M289" s="25"/>
      <c r="N289" s="26"/>
      <c r="O289" s="26"/>
      <c r="P289" s="22"/>
      <c r="Q289" s="21"/>
      <c r="R289" s="27"/>
      <c r="S289" s="28"/>
      <c r="T289" s="22"/>
      <c r="U289" s="22"/>
      <c r="V289" s="35"/>
    </row>
    <row r="290" spans="4:22" ht="15" thickBot="1" x14ac:dyDescent="0.4">
      <c r="D290" s="19"/>
      <c r="E290" s="20"/>
      <c r="F290" s="21"/>
      <c r="G290" s="22"/>
      <c r="H290" s="21"/>
      <c r="I290" s="22"/>
      <c r="J290" s="23"/>
      <c r="K290" s="21"/>
      <c r="L290" s="24"/>
      <c r="M290" s="25"/>
      <c r="N290" s="26"/>
      <c r="O290" s="26"/>
      <c r="P290" s="22"/>
      <c r="Q290" s="21"/>
      <c r="R290" s="27"/>
      <c r="S290" s="28"/>
      <c r="T290" s="22"/>
      <c r="U290" s="34"/>
      <c r="V290" s="35"/>
    </row>
    <row r="291" spans="4:22" ht="15" thickBot="1" x14ac:dyDescent="0.4">
      <c r="D291" s="19"/>
      <c r="E291" s="20"/>
      <c r="F291" s="21"/>
      <c r="G291" s="22"/>
      <c r="H291" s="21"/>
      <c r="I291" s="22"/>
      <c r="J291" s="23"/>
      <c r="K291" s="21"/>
      <c r="L291" s="24"/>
      <c r="M291" s="25"/>
      <c r="N291" s="26"/>
      <c r="O291" s="26"/>
      <c r="P291" s="22"/>
      <c r="Q291" s="21"/>
      <c r="R291" s="27"/>
      <c r="S291" s="28"/>
      <c r="T291" s="22"/>
      <c r="U291" s="34"/>
      <c r="V291" s="35"/>
    </row>
    <row r="292" spans="4:22" ht="15" thickBot="1" x14ac:dyDescent="0.4">
      <c r="D292" s="19"/>
      <c r="E292" s="20"/>
      <c r="F292" s="21"/>
      <c r="G292" s="22"/>
      <c r="H292" s="21"/>
      <c r="I292" s="22"/>
      <c r="J292" s="23"/>
      <c r="K292" s="21"/>
      <c r="L292" s="24"/>
      <c r="M292" s="25"/>
      <c r="N292" s="26"/>
      <c r="O292" s="26"/>
      <c r="P292" s="22"/>
      <c r="Q292" s="21"/>
      <c r="R292" s="27"/>
      <c r="S292" s="28"/>
      <c r="T292" s="22"/>
      <c r="U292" s="34"/>
      <c r="V292" s="35"/>
    </row>
    <row r="293" spans="4:22" ht="15" thickBot="1" x14ac:dyDescent="0.4">
      <c r="D293" s="19"/>
      <c r="E293" s="20"/>
      <c r="F293" s="21"/>
      <c r="G293" s="22"/>
      <c r="H293" s="21"/>
      <c r="I293" s="22"/>
      <c r="J293" s="23"/>
      <c r="K293" s="21"/>
      <c r="L293" s="24"/>
      <c r="M293" s="25"/>
      <c r="N293" s="26"/>
      <c r="O293" s="26"/>
      <c r="P293" s="22"/>
      <c r="Q293" s="21"/>
      <c r="R293" s="27"/>
      <c r="S293" s="28"/>
      <c r="T293" s="22"/>
      <c r="U293" s="22"/>
      <c r="V293" s="35"/>
    </row>
    <row r="294" spans="4:22" ht="15" thickBot="1" x14ac:dyDescent="0.4">
      <c r="D294" s="19"/>
      <c r="E294" s="20"/>
      <c r="F294" s="21"/>
      <c r="G294" s="22"/>
      <c r="H294" s="21"/>
      <c r="I294" s="22"/>
      <c r="J294" s="23"/>
      <c r="K294" s="21"/>
      <c r="L294" s="24"/>
      <c r="M294" s="25"/>
      <c r="N294" s="26"/>
      <c r="O294" s="26"/>
      <c r="P294" s="22"/>
      <c r="Q294" s="21"/>
      <c r="R294" s="27"/>
      <c r="S294" s="28"/>
      <c r="T294" s="22"/>
      <c r="U294" s="22"/>
      <c r="V294" s="35"/>
    </row>
    <row r="295" spans="4:22" ht="15" thickBot="1" x14ac:dyDescent="0.4">
      <c r="D295" s="19"/>
      <c r="E295" s="20"/>
      <c r="F295" s="21"/>
      <c r="G295" s="22"/>
      <c r="H295" s="21"/>
      <c r="I295" s="22"/>
      <c r="J295" s="23"/>
      <c r="K295" s="21"/>
      <c r="L295" s="24"/>
      <c r="M295" s="25"/>
      <c r="N295" s="26"/>
      <c r="O295" s="26"/>
      <c r="P295" s="22"/>
      <c r="Q295" s="21"/>
      <c r="R295" s="27"/>
      <c r="S295" s="28"/>
      <c r="T295" s="22"/>
      <c r="U295" s="22"/>
      <c r="V295" s="35"/>
    </row>
    <row r="296" spans="4:22" ht="15" thickBot="1" x14ac:dyDescent="0.4">
      <c r="D296" s="19"/>
      <c r="E296" s="20"/>
      <c r="F296" s="21"/>
      <c r="G296" s="22"/>
      <c r="H296" s="21"/>
      <c r="I296" s="22"/>
      <c r="J296" s="23"/>
      <c r="K296" s="21"/>
      <c r="L296" s="24"/>
      <c r="M296" s="25"/>
      <c r="N296" s="26"/>
      <c r="O296" s="26"/>
      <c r="P296" s="22"/>
      <c r="Q296" s="21"/>
      <c r="R296" s="27"/>
      <c r="S296" s="28"/>
      <c r="T296" s="22"/>
      <c r="U296" s="22"/>
      <c r="V296" s="35"/>
    </row>
    <row r="297" spans="4:22" ht="15" thickBot="1" x14ac:dyDescent="0.4">
      <c r="D297" s="19"/>
      <c r="E297" s="20"/>
      <c r="F297" s="21"/>
      <c r="G297" s="22"/>
      <c r="H297" s="21"/>
      <c r="I297" s="22"/>
      <c r="J297" s="23"/>
      <c r="K297" s="21"/>
      <c r="L297" s="24"/>
      <c r="M297" s="25"/>
      <c r="N297" s="26"/>
      <c r="O297" s="26"/>
      <c r="P297" s="22"/>
      <c r="Q297" s="21"/>
      <c r="R297" s="27"/>
      <c r="S297" s="28"/>
      <c r="T297" s="22"/>
      <c r="U297" s="34"/>
      <c r="V297" s="35"/>
    </row>
    <row r="298" spans="4:22" ht="15" thickBot="1" x14ac:dyDescent="0.4">
      <c r="D298" s="19"/>
      <c r="E298" s="20"/>
      <c r="F298" s="21"/>
      <c r="G298" s="22"/>
      <c r="H298" s="21"/>
      <c r="I298" s="22"/>
      <c r="J298" s="23"/>
      <c r="K298" s="21"/>
      <c r="L298" s="24"/>
      <c r="M298" s="25"/>
      <c r="N298" s="26"/>
      <c r="O298" s="26"/>
      <c r="P298" s="22"/>
      <c r="Q298" s="21"/>
      <c r="R298" s="27"/>
      <c r="S298" s="28"/>
      <c r="T298" s="22"/>
      <c r="U298" s="22"/>
      <c r="V298" s="35"/>
    </row>
    <row r="299" spans="4:22" ht="15" thickBot="1" x14ac:dyDescent="0.4">
      <c r="D299" s="19"/>
      <c r="E299" s="20"/>
      <c r="F299" s="21"/>
      <c r="G299" s="22"/>
      <c r="H299" s="21"/>
      <c r="I299" s="22"/>
      <c r="J299" s="23"/>
      <c r="K299" s="21"/>
      <c r="L299" s="24"/>
      <c r="M299" s="25"/>
      <c r="N299" s="26"/>
      <c r="O299" s="26"/>
      <c r="P299" s="22"/>
      <c r="Q299" s="21"/>
      <c r="R299" s="27"/>
      <c r="S299" s="28"/>
      <c r="T299" s="22"/>
      <c r="U299" s="22"/>
      <c r="V299" s="35"/>
    </row>
    <row r="300" spans="4:22" ht="15" thickBot="1" x14ac:dyDescent="0.4">
      <c r="D300" s="19"/>
      <c r="E300" s="20"/>
      <c r="F300" s="21"/>
      <c r="G300" s="22"/>
      <c r="H300" s="21"/>
      <c r="I300" s="22"/>
      <c r="J300" s="23"/>
      <c r="K300" s="21"/>
      <c r="L300" s="24"/>
      <c r="M300" s="25"/>
      <c r="N300" s="26"/>
      <c r="O300" s="26"/>
      <c r="P300" s="22"/>
      <c r="Q300" s="21"/>
      <c r="R300" s="27"/>
      <c r="S300" s="28"/>
      <c r="T300" s="22"/>
      <c r="U300" s="22"/>
      <c r="V300" s="35"/>
    </row>
    <row r="301" spans="4:22" ht="15" thickBot="1" x14ac:dyDescent="0.4">
      <c r="D301" s="19"/>
      <c r="E301" s="20"/>
      <c r="F301" s="21"/>
      <c r="G301" s="22"/>
      <c r="H301" s="21"/>
      <c r="I301" s="22"/>
      <c r="J301" s="23"/>
      <c r="K301" s="21"/>
      <c r="L301" s="24"/>
      <c r="M301" s="25"/>
      <c r="N301" s="26"/>
      <c r="O301" s="26"/>
      <c r="P301" s="22"/>
      <c r="Q301" s="21"/>
      <c r="R301" s="27"/>
      <c r="S301" s="28"/>
      <c r="T301" s="22"/>
      <c r="U301" s="34"/>
      <c r="V301" s="35"/>
    </row>
    <row r="302" spans="4:22" ht="15" thickBot="1" x14ac:dyDescent="0.4">
      <c r="D302" s="19"/>
      <c r="E302" s="20"/>
      <c r="F302" s="21"/>
      <c r="G302" s="22"/>
      <c r="H302" s="21"/>
      <c r="I302" s="22"/>
      <c r="J302" s="23"/>
      <c r="K302" s="21"/>
      <c r="L302" s="24"/>
      <c r="M302" s="25"/>
      <c r="N302" s="26"/>
      <c r="O302" s="26"/>
      <c r="P302" s="22"/>
      <c r="Q302" s="21"/>
      <c r="R302" s="27"/>
      <c r="S302" s="28"/>
      <c r="T302" s="22"/>
      <c r="U302" s="22"/>
      <c r="V302" s="35"/>
    </row>
    <row r="303" spans="4:22" ht="15" thickBot="1" x14ac:dyDescent="0.4">
      <c r="D303" s="19"/>
      <c r="E303" s="20"/>
      <c r="F303" s="21"/>
      <c r="G303" s="22"/>
      <c r="H303" s="21"/>
      <c r="I303" s="22"/>
      <c r="J303" s="23"/>
      <c r="K303" s="21"/>
      <c r="L303" s="24"/>
      <c r="M303" s="25"/>
      <c r="N303" s="26"/>
      <c r="O303" s="26"/>
      <c r="P303" s="22"/>
      <c r="Q303" s="21"/>
      <c r="R303" s="27"/>
      <c r="S303" s="28"/>
      <c r="T303" s="22"/>
      <c r="U303" s="22"/>
      <c r="V303" s="35"/>
    </row>
    <row r="304" spans="4:22" ht="15" thickBot="1" x14ac:dyDescent="0.4">
      <c r="D304" s="19"/>
      <c r="E304" s="20"/>
      <c r="F304" s="21"/>
      <c r="G304" s="22"/>
      <c r="H304" s="21"/>
      <c r="I304" s="22"/>
      <c r="J304" s="23"/>
      <c r="K304" s="21"/>
      <c r="L304" s="24"/>
      <c r="M304" s="25"/>
      <c r="N304" s="26"/>
      <c r="O304" s="26"/>
      <c r="P304" s="22"/>
      <c r="Q304" s="21"/>
      <c r="R304" s="27"/>
      <c r="S304" s="28"/>
      <c r="T304" s="22"/>
      <c r="U304" s="22"/>
      <c r="V304" s="35"/>
    </row>
    <row r="305" spans="4:22" ht="15" thickBot="1" x14ac:dyDescent="0.4">
      <c r="D305" s="19"/>
      <c r="E305" s="20"/>
      <c r="F305" s="21"/>
      <c r="G305" s="22"/>
      <c r="H305" s="21"/>
      <c r="I305" s="22"/>
      <c r="J305" s="23"/>
      <c r="K305" s="21"/>
      <c r="L305" s="24"/>
      <c r="M305" s="25"/>
      <c r="N305" s="26"/>
      <c r="O305" s="26"/>
      <c r="P305" s="22"/>
      <c r="Q305" s="21"/>
      <c r="R305" s="27"/>
      <c r="S305" s="28"/>
      <c r="T305" s="22"/>
      <c r="U305" s="34"/>
      <c r="V305" s="35"/>
    </row>
    <row r="306" spans="4:22" ht="15" thickBot="1" x14ac:dyDescent="0.4">
      <c r="D306" s="19"/>
      <c r="E306" s="20"/>
      <c r="F306" s="21"/>
      <c r="G306" s="22"/>
      <c r="H306" s="21"/>
      <c r="I306" s="22"/>
      <c r="J306" s="23"/>
      <c r="K306" s="21"/>
      <c r="L306" s="24"/>
      <c r="M306" s="25"/>
      <c r="N306" s="26"/>
      <c r="O306" s="26"/>
      <c r="P306" s="22"/>
      <c r="Q306" s="21"/>
      <c r="R306" s="27"/>
      <c r="S306" s="28"/>
      <c r="T306" s="22"/>
      <c r="U306" s="22"/>
      <c r="V306" s="35"/>
    </row>
    <row r="307" spans="4:22" ht="15" thickBot="1" x14ac:dyDescent="0.4">
      <c r="D307" s="19"/>
      <c r="E307" s="20"/>
      <c r="F307" s="21"/>
      <c r="G307" s="22"/>
      <c r="H307" s="21"/>
      <c r="I307" s="22"/>
      <c r="J307" s="23"/>
      <c r="K307" s="21"/>
      <c r="L307" s="24"/>
      <c r="M307" s="25"/>
      <c r="N307" s="26"/>
      <c r="O307" s="26"/>
      <c r="P307" s="22"/>
      <c r="Q307" s="21"/>
      <c r="R307" s="27"/>
      <c r="S307" s="28"/>
      <c r="T307" s="22"/>
      <c r="U307" s="34"/>
      <c r="V307" s="35"/>
    </row>
    <row r="308" spans="4:22" ht="15" thickBot="1" x14ac:dyDescent="0.4">
      <c r="D308" s="19"/>
      <c r="E308" s="20"/>
      <c r="F308" s="21"/>
      <c r="G308" s="22"/>
      <c r="H308" s="21"/>
      <c r="I308" s="22"/>
      <c r="J308" s="23"/>
      <c r="K308" s="21"/>
      <c r="L308" s="24"/>
      <c r="M308" s="25"/>
      <c r="N308" s="26"/>
      <c r="O308" s="26"/>
      <c r="P308" s="22"/>
      <c r="Q308" s="21"/>
      <c r="R308" s="27"/>
      <c r="S308" s="28"/>
      <c r="T308" s="22"/>
      <c r="U308" s="34"/>
      <c r="V308" s="35"/>
    </row>
    <row r="309" spans="4:22" ht="15" thickBot="1" x14ac:dyDescent="0.4">
      <c r="D309" s="19"/>
      <c r="E309" s="20"/>
      <c r="F309" s="21"/>
      <c r="G309" s="22"/>
      <c r="H309" s="21"/>
      <c r="I309" s="22"/>
      <c r="J309" s="23"/>
      <c r="K309" s="21"/>
      <c r="L309" s="24"/>
      <c r="M309" s="25"/>
      <c r="N309" s="26"/>
      <c r="O309" s="26"/>
      <c r="P309" s="22"/>
      <c r="Q309" s="21"/>
      <c r="R309" s="27"/>
      <c r="S309" s="28"/>
      <c r="T309" s="22"/>
      <c r="U309" s="22"/>
      <c r="V309" s="35"/>
    </row>
    <row r="310" spans="4:22" ht="15" thickBot="1" x14ac:dyDescent="0.4">
      <c r="D310" s="19"/>
      <c r="E310" s="20"/>
      <c r="F310" s="21"/>
      <c r="G310" s="22"/>
      <c r="H310" s="21"/>
      <c r="I310" s="22"/>
      <c r="J310" s="23"/>
      <c r="K310" s="21"/>
      <c r="L310" s="24"/>
      <c r="M310" s="25"/>
      <c r="N310" s="26"/>
      <c r="O310" s="26"/>
      <c r="P310" s="22"/>
      <c r="Q310" s="21"/>
      <c r="R310" s="27"/>
      <c r="S310" s="28"/>
      <c r="T310" s="22"/>
      <c r="U310" s="31"/>
      <c r="V310" s="35"/>
    </row>
    <row r="311" spans="4:22" ht="15" thickBot="1" x14ac:dyDescent="0.4">
      <c r="D311" s="19"/>
      <c r="E311" s="20"/>
      <c r="F311" s="21"/>
      <c r="G311" s="22"/>
      <c r="H311" s="21"/>
      <c r="I311" s="22"/>
      <c r="J311" s="23"/>
      <c r="K311" s="21"/>
      <c r="L311" s="24"/>
      <c r="M311" s="25"/>
      <c r="N311" s="26"/>
      <c r="O311" s="26"/>
      <c r="P311" s="22"/>
      <c r="Q311" s="21"/>
      <c r="R311" s="27"/>
      <c r="S311" s="28"/>
      <c r="T311" s="22"/>
      <c r="U311" s="18"/>
      <c r="V311" s="35"/>
    </row>
    <row r="312" spans="4:22" ht="15" thickBot="1" x14ac:dyDescent="0.4">
      <c r="D312" s="19"/>
      <c r="E312" s="20"/>
      <c r="F312" s="21"/>
      <c r="G312" s="22"/>
      <c r="H312" s="21"/>
      <c r="I312" s="22"/>
      <c r="J312" s="23"/>
      <c r="K312" s="21"/>
      <c r="L312" s="24"/>
      <c r="M312" s="25"/>
      <c r="N312" s="26"/>
      <c r="O312" s="26"/>
      <c r="P312" s="22"/>
      <c r="Q312" s="21"/>
      <c r="R312" s="27"/>
      <c r="S312" s="28"/>
      <c r="T312" s="22"/>
      <c r="U312" s="37"/>
      <c r="V312" s="35"/>
    </row>
    <row r="313" spans="4:22" ht="15" thickBot="1" x14ac:dyDescent="0.4">
      <c r="D313" s="19"/>
      <c r="E313" s="20"/>
      <c r="F313" s="21"/>
      <c r="G313" s="22"/>
      <c r="H313" s="21"/>
      <c r="I313" s="22"/>
      <c r="J313" s="23"/>
      <c r="K313" s="21"/>
      <c r="L313" s="24"/>
      <c r="M313" s="25"/>
      <c r="N313" s="26"/>
      <c r="O313" s="26"/>
      <c r="P313" s="22"/>
      <c r="Q313" s="21"/>
      <c r="R313" s="27"/>
      <c r="S313" s="28"/>
      <c r="T313" s="22"/>
      <c r="U313" s="30"/>
      <c r="V313" s="35"/>
    </row>
    <row r="314" spans="4:22" ht="15" thickBot="1" x14ac:dyDescent="0.4">
      <c r="D314" s="19"/>
      <c r="E314" s="20"/>
      <c r="F314" s="21"/>
      <c r="G314" s="22"/>
      <c r="H314" s="21"/>
      <c r="I314" s="22"/>
      <c r="J314" s="23"/>
      <c r="K314" s="21"/>
      <c r="L314" s="24"/>
      <c r="M314" s="25"/>
      <c r="N314" s="26"/>
      <c r="O314" s="26"/>
      <c r="P314" s="22"/>
      <c r="Q314" s="21"/>
      <c r="R314" s="27"/>
      <c r="S314" s="28"/>
      <c r="T314" s="22"/>
      <c r="U314" s="30"/>
      <c r="V314" s="35"/>
    </row>
    <row r="315" spans="4:22" ht="15" thickBot="1" x14ac:dyDescent="0.4">
      <c r="D315" s="19"/>
      <c r="E315" s="20"/>
      <c r="F315" s="21"/>
      <c r="G315" s="22"/>
      <c r="H315" s="21"/>
      <c r="I315" s="22"/>
      <c r="J315" s="23"/>
      <c r="K315" s="21"/>
      <c r="L315" s="24"/>
      <c r="M315" s="25"/>
      <c r="N315" s="26"/>
      <c r="O315" s="26"/>
      <c r="P315" s="22"/>
      <c r="Q315" s="21"/>
      <c r="R315" s="27"/>
      <c r="S315" s="28"/>
      <c r="T315" s="22"/>
      <c r="U315" s="30"/>
      <c r="V315" s="35"/>
    </row>
    <row r="316" spans="4:22" ht="15" thickBot="1" x14ac:dyDescent="0.4">
      <c r="D316" s="19"/>
      <c r="E316" s="20"/>
      <c r="F316" s="21"/>
      <c r="G316" s="22"/>
      <c r="H316" s="21"/>
      <c r="I316" s="22"/>
      <c r="J316" s="23"/>
      <c r="K316" s="21"/>
      <c r="L316" s="24"/>
      <c r="M316" s="25"/>
      <c r="N316" s="26"/>
      <c r="O316" s="26"/>
      <c r="P316" s="22"/>
      <c r="Q316" s="21"/>
      <c r="R316" s="27"/>
      <c r="S316" s="28"/>
      <c r="T316" s="22"/>
      <c r="U316" s="31"/>
      <c r="V316" s="35"/>
    </row>
    <row r="317" spans="4:22" ht="15" thickBot="1" x14ac:dyDescent="0.4">
      <c r="D317" s="19"/>
      <c r="E317" s="20"/>
      <c r="F317" s="21"/>
      <c r="G317" s="22"/>
      <c r="H317" s="21"/>
      <c r="I317" s="22"/>
      <c r="J317" s="23"/>
      <c r="K317" s="21"/>
      <c r="L317" s="24"/>
      <c r="M317" s="25"/>
      <c r="N317" s="26"/>
      <c r="O317" s="26"/>
      <c r="P317" s="22"/>
      <c r="Q317" s="21"/>
      <c r="R317" s="27"/>
      <c r="S317" s="28"/>
      <c r="T317" s="22"/>
      <c r="U317" s="30"/>
      <c r="V317" s="35"/>
    </row>
    <row r="318" spans="4:22" ht="15" thickBot="1" x14ac:dyDescent="0.4">
      <c r="D318" s="19"/>
      <c r="E318" s="20"/>
      <c r="F318" s="21"/>
      <c r="G318" s="22"/>
      <c r="H318" s="21"/>
      <c r="I318" s="22"/>
      <c r="J318" s="23"/>
      <c r="K318" s="21"/>
      <c r="L318" s="24"/>
      <c r="M318" s="25"/>
      <c r="N318" s="26"/>
      <c r="O318" s="26"/>
      <c r="P318" s="22"/>
      <c r="Q318" s="21"/>
      <c r="R318" s="27"/>
      <c r="S318" s="28"/>
      <c r="T318" s="22"/>
      <c r="U318" s="30"/>
      <c r="V318" s="35"/>
    </row>
    <row r="319" spans="4:22" ht="15" thickBot="1" x14ac:dyDescent="0.4">
      <c r="D319" s="19"/>
      <c r="E319" s="20"/>
      <c r="F319" s="21"/>
      <c r="G319" s="22"/>
      <c r="H319" s="21"/>
      <c r="I319" s="22"/>
      <c r="J319" s="23"/>
      <c r="K319" s="21"/>
      <c r="L319" s="24"/>
      <c r="M319" s="25"/>
      <c r="N319" s="26"/>
      <c r="O319" s="26"/>
      <c r="P319" s="22"/>
      <c r="Q319" s="21"/>
      <c r="R319" s="27"/>
      <c r="S319" s="28"/>
      <c r="T319" s="22"/>
      <c r="U319" s="31"/>
      <c r="V319" s="35"/>
    </row>
    <row r="320" spans="4:22" ht="15" thickBot="1" x14ac:dyDescent="0.4">
      <c r="D320" s="19"/>
      <c r="E320" s="20"/>
      <c r="F320" s="21"/>
      <c r="G320" s="22"/>
      <c r="H320" s="21"/>
      <c r="I320" s="22"/>
      <c r="J320" s="23"/>
      <c r="K320" s="21"/>
      <c r="L320" s="24"/>
      <c r="M320" s="25"/>
      <c r="N320" s="26"/>
      <c r="O320" s="26"/>
      <c r="P320" s="22"/>
      <c r="Q320" s="21"/>
      <c r="R320" s="27"/>
      <c r="S320" s="28"/>
      <c r="T320" s="22"/>
      <c r="U320" s="30"/>
      <c r="V320" s="35"/>
    </row>
    <row r="321" spans="4:22" ht="15" thickBot="1" x14ac:dyDescent="0.4">
      <c r="D321" s="19"/>
      <c r="E321" s="20"/>
      <c r="F321" s="21"/>
      <c r="G321" s="22"/>
      <c r="H321" s="21"/>
      <c r="I321" s="22"/>
      <c r="J321" s="23"/>
      <c r="K321" s="21"/>
      <c r="L321" s="24"/>
      <c r="M321" s="25"/>
      <c r="N321" s="26"/>
      <c r="O321" s="26"/>
      <c r="P321" s="22"/>
      <c r="Q321" s="21"/>
      <c r="R321" s="27"/>
      <c r="S321" s="28"/>
      <c r="T321" s="22"/>
      <c r="U321" s="30"/>
      <c r="V321" s="35"/>
    </row>
    <row r="322" spans="4:22" ht="15" thickBot="1" x14ac:dyDescent="0.4">
      <c r="D322" s="19"/>
      <c r="E322" s="20"/>
      <c r="F322" s="21"/>
      <c r="G322" s="22"/>
      <c r="H322" s="21"/>
      <c r="I322" s="22"/>
      <c r="J322" s="23"/>
      <c r="K322" s="21"/>
      <c r="L322" s="24"/>
      <c r="M322" s="25"/>
      <c r="N322" s="26"/>
      <c r="O322" s="26"/>
      <c r="P322" s="22"/>
      <c r="Q322" s="21"/>
      <c r="R322" s="27"/>
      <c r="S322" s="28"/>
      <c r="T322" s="22"/>
      <c r="U322" s="30"/>
      <c r="V322" s="35"/>
    </row>
    <row r="323" spans="4:22" ht="15" thickBot="1" x14ac:dyDescent="0.4">
      <c r="D323" s="19"/>
      <c r="E323" s="20"/>
      <c r="F323" s="21"/>
      <c r="G323" s="22"/>
      <c r="H323" s="21"/>
      <c r="I323" s="22"/>
      <c r="J323" s="23"/>
      <c r="K323" s="21"/>
      <c r="L323" s="24"/>
      <c r="M323" s="25"/>
      <c r="N323" s="26"/>
      <c r="O323" s="26"/>
      <c r="P323" s="22"/>
      <c r="Q323" s="21"/>
      <c r="R323" s="27"/>
      <c r="S323" s="28"/>
      <c r="T323" s="22"/>
      <c r="U323" s="30"/>
      <c r="V323" s="35"/>
    </row>
    <row r="324" spans="4:22" ht="15" thickBot="1" x14ac:dyDescent="0.4">
      <c r="D324" s="19"/>
      <c r="E324" s="20"/>
      <c r="F324" s="21"/>
      <c r="G324" s="22"/>
      <c r="H324" s="21"/>
      <c r="I324" s="22"/>
      <c r="J324" s="23"/>
      <c r="K324" s="21"/>
      <c r="L324" s="24"/>
      <c r="M324" s="25"/>
      <c r="N324" s="26"/>
      <c r="O324" s="26"/>
      <c r="P324" s="22"/>
      <c r="Q324" s="21"/>
      <c r="R324" s="27"/>
      <c r="S324" s="28"/>
      <c r="T324" s="22"/>
      <c r="U324" s="30"/>
      <c r="V324" s="35"/>
    </row>
    <row r="325" spans="4:22" ht="15" thickBot="1" x14ac:dyDescent="0.4">
      <c r="D325" s="19"/>
      <c r="E325" s="20"/>
      <c r="F325" s="21"/>
      <c r="G325" s="22"/>
      <c r="H325" s="21"/>
      <c r="I325" s="22"/>
      <c r="J325" s="23"/>
      <c r="K325" s="21"/>
      <c r="L325" s="24"/>
      <c r="M325" s="25"/>
      <c r="N325" s="26"/>
      <c r="O325" s="26"/>
      <c r="P325" s="22"/>
      <c r="Q325" s="21"/>
      <c r="R325" s="27"/>
      <c r="S325" s="28"/>
      <c r="T325" s="22"/>
      <c r="U325" s="31"/>
      <c r="V325" s="35"/>
    </row>
    <row r="326" spans="4:22" ht="15" thickBot="1" x14ac:dyDescent="0.4">
      <c r="D326" s="19"/>
      <c r="E326" s="20"/>
      <c r="F326" s="21"/>
      <c r="G326" s="22"/>
      <c r="H326" s="21"/>
      <c r="I326" s="22"/>
      <c r="J326" s="23"/>
      <c r="K326" s="21"/>
      <c r="L326" s="24"/>
      <c r="M326" s="25"/>
      <c r="N326" s="26"/>
      <c r="O326" s="26"/>
      <c r="P326" s="22"/>
      <c r="Q326" s="21"/>
      <c r="R326" s="27"/>
      <c r="S326" s="28"/>
      <c r="T326" s="22"/>
      <c r="U326" s="30"/>
      <c r="V326" s="35"/>
    </row>
    <row r="327" spans="4:22" ht="15" thickBot="1" x14ac:dyDescent="0.4">
      <c r="D327" s="19"/>
      <c r="E327" s="20"/>
      <c r="F327" s="21"/>
      <c r="G327" s="22"/>
      <c r="H327" s="21"/>
      <c r="I327" s="22"/>
      <c r="J327" s="23"/>
      <c r="K327" s="21"/>
      <c r="L327" s="24"/>
      <c r="M327" s="25"/>
      <c r="N327" s="26"/>
      <c r="O327" s="26"/>
      <c r="P327" s="22"/>
      <c r="Q327" s="21"/>
      <c r="R327" s="27"/>
      <c r="S327" s="28"/>
      <c r="T327" s="22"/>
      <c r="U327" s="30"/>
      <c r="V327" s="35"/>
    </row>
    <row r="328" spans="4:22" ht="15" thickBot="1" x14ac:dyDescent="0.4">
      <c r="D328" s="19"/>
      <c r="E328" s="20"/>
      <c r="F328" s="21"/>
      <c r="G328" s="22"/>
      <c r="H328" s="21"/>
      <c r="I328" s="22"/>
      <c r="J328" s="23"/>
      <c r="K328" s="21"/>
      <c r="L328" s="24"/>
      <c r="M328" s="25"/>
      <c r="N328" s="26"/>
      <c r="O328" s="26"/>
      <c r="P328" s="22"/>
      <c r="Q328" s="21"/>
      <c r="R328" s="27"/>
      <c r="S328" s="28"/>
      <c r="T328" s="22"/>
      <c r="U328" s="31"/>
      <c r="V328" s="35"/>
    </row>
    <row r="329" spans="4:22" ht="15" thickBot="1" x14ac:dyDescent="0.4">
      <c r="D329" s="19"/>
      <c r="E329" s="20"/>
      <c r="F329" s="21"/>
      <c r="G329" s="22"/>
      <c r="H329" s="21"/>
      <c r="I329" s="22"/>
      <c r="J329" s="23"/>
      <c r="K329" s="21"/>
      <c r="L329" s="24"/>
      <c r="M329" s="25"/>
      <c r="N329" s="26"/>
      <c r="O329" s="26"/>
      <c r="P329" s="22"/>
      <c r="Q329" s="21"/>
      <c r="R329" s="27"/>
      <c r="S329" s="28"/>
      <c r="T329" s="22"/>
      <c r="U329" s="30"/>
      <c r="V329" s="35"/>
    </row>
    <row r="330" spans="4:22" ht="15" thickBot="1" x14ac:dyDescent="0.4">
      <c r="D330" s="19"/>
      <c r="E330" s="20"/>
      <c r="F330" s="21"/>
      <c r="G330" s="22"/>
      <c r="H330" s="21"/>
      <c r="I330" s="22"/>
      <c r="J330" s="23"/>
      <c r="K330" s="21"/>
      <c r="L330" s="24"/>
      <c r="M330" s="25"/>
      <c r="N330" s="26"/>
      <c r="O330" s="26"/>
      <c r="P330" s="22"/>
      <c r="Q330" s="21"/>
      <c r="R330" s="27"/>
      <c r="S330" s="28"/>
      <c r="T330" s="22"/>
      <c r="U330" s="30"/>
      <c r="V330" s="35"/>
    </row>
    <row r="331" spans="4:22" ht="15" thickBot="1" x14ac:dyDescent="0.4">
      <c r="D331" s="19"/>
      <c r="E331" s="20"/>
      <c r="F331" s="21"/>
      <c r="G331" s="22"/>
      <c r="H331" s="21"/>
      <c r="I331" s="22"/>
      <c r="J331" s="23"/>
      <c r="K331" s="21"/>
      <c r="L331" s="24"/>
      <c r="M331" s="25"/>
      <c r="N331" s="26"/>
      <c r="O331" s="26"/>
      <c r="P331" s="22"/>
      <c r="Q331" s="21"/>
      <c r="R331" s="27"/>
      <c r="S331" s="28"/>
      <c r="T331" s="22"/>
      <c r="U331" s="30"/>
      <c r="V331" s="35"/>
    </row>
    <row r="332" spans="4:22" ht="15" thickBot="1" x14ac:dyDescent="0.4">
      <c r="D332" s="19"/>
      <c r="E332" s="20"/>
      <c r="F332" s="21"/>
      <c r="G332" s="22"/>
      <c r="H332" s="21"/>
      <c r="I332" s="22"/>
      <c r="J332" s="23"/>
      <c r="K332" s="21"/>
      <c r="L332" s="24"/>
      <c r="M332" s="25"/>
      <c r="N332" s="26"/>
      <c r="O332" s="26"/>
      <c r="P332" s="22"/>
      <c r="Q332" s="21"/>
      <c r="R332" s="27"/>
      <c r="S332" s="28"/>
      <c r="T332" s="22"/>
      <c r="U332" s="30"/>
      <c r="V332" s="35"/>
    </row>
    <row r="333" spans="4:22" ht="15" thickBot="1" x14ac:dyDescent="0.4">
      <c r="D333" s="19"/>
      <c r="E333" s="20"/>
      <c r="F333" s="21"/>
      <c r="G333" s="22"/>
      <c r="H333" s="21"/>
      <c r="I333" s="22"/>
      <c r="J333" s="23"/>
      <c r="K333" s="21"/>
      <c r="L333" s="24"/>
      <c r="M333" s="25"/>
      <c r="N333" s="26"/>
      <c r="O333" s="26"/>
      <c r="P333" s="22"/>
      <c r="Q333" s="21"/>
      <c r="R333" s="27"/>
      <c r="S333" s="28"/>
      <c r="T333" s="22"/>
      <c r="U333" s="31"/>
      <c r="V333" s="35"/>
    </row>
    <row r="334" spans="4:22" ht="15" thickBot="1" x14ac:dyDescent="0.4">
      <c r="D334" s="19"/>
      <c r="E334" s="20"/>
      <c r="F334" s="21"/>
      <c r="G334" s="22"/>
      <c r="H334" s="21"/>
      <c r="I334" s="22"/>
      <c r="J334" s="23"/>
      <c r="K334" s="21"/>
      <c r="L334" s="24"/>
      <c r="M334" s="25"/>
      <c r="N334" s="26"/>
      <c r="O334" s="26"/>
      <c r="P334" s="22"/>
      <c r="Q334" s="21"/>
      <c r="R334" s="27"/>
      <c r="S334" s="28"/>
      <c r="T334" s="22"/>
      <c r="U334" s="30"/>
      <c r="V334" s="35"/>
    </row>
    <row r="335" spans="4:22" ht="15" thickBot="1" x14ac:dyDescent="0.4">
      <c r="D335" s="19"/>
      <c r="E335" s="20"/>
      <c r="F335" s="21"/>
      <c r="G335" s="22"/>
      <c r="H335" s="21"/>
      <c r="I335" s="22"/>
      <c r="J335" s="23"/>
      <c r="K335" s="21"/>
      <c r="L335" s="24"/>
      <c r="M335" s="25"/>
      <c r="N335" s="26"/>
      <c r="O335" s="26"/>
      <c r="P335" s="22"/>
      <c r="Q335" s="21"/>
      <c r="R335" s="27"/>
      <c r="S335" s="28"/>
      <c r="T335" s="22"/>
      <c r="U335" s="22"/>
      <c r="V335" s="35"/>
    </row>
    <row r="336" spans="4:22" ht="15" thickBot="1" x14ac:dyDescent="0.4">
      <c r="D336" s="19"/>
      <c r="E336" s="20"/>
      <c r="F336" s="21"/>
      <c r="G336" s="22"/>
      <c r="H336" s="21"/>
      <c r="I336" s="22"/>
      <c r="J336" s="23"/>
      <c r="K336" s="21"/>
      <c r="L336" s="24"/>
      <c r="M336" s="25"/>
      <c r="N336" s="26"/>
      <c r="O336" s="26"/>
      <c r="P336" s="22"/>
      <c r="Q336" s="21"/>
      <c r="R336" s="27"/>
      <c r="S336" s="28"/>
      <c r="T336" s="22"/>
      <c r="U336" s="34"/>
      <c r="V336" s="35"/>
    </row>
    <row r="337" spans="4:22" ht="15" thickBot="1" x14ac:dyDescent="0.4">
      <c r="D337" s="19"/>
      <c r="E337" s="20"/>
      <c r="F337" s="21"/>
      <c r="G337" s="22"/>
      <c r="H337" s="21"/>
      <c r="I337" s="22"/>
      <c r="J337" s="23"/>
      <c r="K337" s="21"/>
      <c r="L337" s="24"/>
      <c r="M337" s="25"/>
      <c r="N337" s="26"/>
      <c r="O337" s="26"/>
      <c r="P337" s="22"/>
      <c r="Q337" s="21"/>
      <c r="R337" s="27"/>
      <c r="S337" s="28"/>
      <c r="T337" s="22"/>
      <c r="U337" s="22"/>
      <c r="V337" s="35"/>
    </row>
    <row r="338" spans="4:22" ht="15" thickBot="1" x14ac:dyDescent="0.4">
      <c r="D338" s="19"/>
      <c r="E338" s="20"/>
      <c r="F338" s="21"/>
      <c r="G338" s="22"/>
      <c r="H338" s="21"/>
      <c r="I338" s="22"/>
      <c r="J338" s="23"/>
      <c r="K338" s="21"/>
      <c r="L338" s="24"/>
      <c r="M338" s="25"/>
      <c r="N338" s="26"/>
      <c r="O338" s="26"/>
      <c r="P338" s="22"/>
      <c r="Q338" s="21"/>
      <c r="R338" s="27"/>
      <c r="S338" s="28"/>
      <c r="T338" s="22"/>
    </row>
    <row r="339" spans="4:22" ht="15" thickBot="1" x14ac:dyDescent="0.4">
      <c r="D339" s="19"/>
      <c r="E339" s="20"/>
      <c r="F339" s="21"/>
      <c r="G339" s="22"/>
      <c r="H339" s="21"/>
      <c r="I339" s="22"/>
      <c r="J339" s="23"/>
      <c r="K339" s="21"/>
      <c r="L339" s="24"/>
      <c r="M339" s="25"/>
      <c r="N339" s="26"/>
      <c r="O339" s="26"/>
      <c r="P339" s="22"/>
      <c r="Q339" s="21"/>
      <c r="R339" s="27"/>
      <c r="S339" s="28"/>
      <c r="T339" s="22"/>
    </row>
    <row r="340" spans="4:22" ht="15" thickBot="1" x14ac:dyDescent="0.4">
      <c r="D340" s="19"/>
      <c r="E340" s="20"/>
      <c r="F340" s="21"/>
      <c r="G340" s="22"/>
      <c r="H340" s="21"/>
      <c r="I340" s="22"/>
      <c r="J340" s="23"/>
      <c r="K340" s="21"/>
      <c r="L340" s="24"/>
      <c r="M340" s="25"/>
      <c r="N340" s="26"/>
      <c r="O340" s="26"/>
      <c r="P340" s="22"/>
      <c r="Q340" s="21"/>
      <c r="R340" s="27"/>
      <c r="S340" s="28"/>
      <c r="T340" s="22"/>
    </row>
    <row r="341" spans="4:22" ht="15" thickBot="1" x14ac:dyDescent="0.4">
      <c r="D341" s="19"/>
      <c r="E341" s="20"/>
      <c r="F341" s="21"/>
      <c r="G341" s="22"/>
      <c r="H341" s="21"/>
      <c r="I341" s="22"/>
      <c r="J341" s="23"/>
      <c r="K341" s="21"/>
      <c r="L341" s="24"/>
      <c r="M341" s="25"/>
      <c r="N341" s="26"/>
      <c r="O341" s="26"/>
      <c r="P341" s="22"/>
      <c r="Q341" s="21"/>
      <c r="R341" s="27"/>
      <c r="S341" s="28"/>
      <c r="T341" s="22"/>
    </row>
    <row r="342" spans="4:22" ht="15" thickBot="1" x14ac:dyDescent="0.4">
      <c r="D342" s="19"/>
      <c r="E342" s="20"/>
      <c r="F342" s="21"/>
      <c r="G342" s="22"/>
      <c r="H342" s="21"/>
      <c r="I342" s="22"/>
      <c r="J342" s="23"/>
      <c r="K342" s="21"/>
      <c r="L342" s="24"/>
      <c r="M342" s="25"/>
      <c r="N342" s="26"/>
      <c r="O342" s="26"/>
      <c r="P342" s="22"/>
      <c r="Q342" s="21"/>
      <c r="R342" s="27"/>
      <c r="S342" s="28"/>
      <c r="T342" s="22"/>
    </row>
    <row r="343" spans="4:22" x14ac:dyDescent="0.35">
      <c r="D343" s="19"/>
      <c r="E343" s="20"/>
      <c r="F343" s="21"/>
      <c r="G343" s="22"/>
      <c r="H343" s="21"/>
      <c r="I343" s="22"/>
      <c r="J343" s="23"/>
      <c r="K343" s="21"/>
      <c r="L343" s="24"/>
      <c r="M343" s="25"/>
      <c r="N343" s="26"/>
      <c r="O343" s="26"/>
      <c r="P343" s="22"/>
      <c r="Q343" s="21"/>
      <c r="R343" s="27"/>
      <c r="S343" s="28"/>
      <c r="T343" s="22"/>
    </row>
  </sheetData>
  <pageMargins left="0.7" right="0.7" top="0.75" bottom="0.75" header="0.3" footer="0.3"/>
  <pageSetup paperSize="9" orientation="portrait" horizontalDpi="1200" verticalDpi="120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D64" zoomScaleNormal="100" workbookViewId="0">
      <selection activeCell="B3" sqref="B3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G20 120L'!P7</f>
        <v>624.79924025529658</v>
      </c>
      <c r="B2" s="48">
        <f>'New Vestas G20 120L'!T7</f>
        <v>138.47528590532582</v>
      </c>
      <c r="C2" s="50">
        <f t="shared" ref="C2:D32" si="0">IF(ISNA(A2),"",LOG10(A2))</f>
        <v>2.7957404927752409</v>
      </c>
      <c r="D2" s="50">
        <f t="shared" si="0"/>
        <v>2.1413722704930462</v>
      </c>
      <c r="E2" s="51">
        <f>IF(C2="","",C2^2)</f>
        <v>7.8161649029431475</v>
      </c>
      <c r="F2" s="51">
        <f>IF(D2="","",D2^2)</f>
        <v>4.5854752008365436</v>
      </c>
      <c r="G2" s="52">
        <f>IF(OR(C2="",D2=""),"",C2*D2)</f>
        <v>5.9867211667234654</v>
      </c>
      <c r="H2" s="53" t="s">
        <v>57</v>
      </c>
      <c r="I2" s="54">
        <f>COUNT(C:C)</f>
        <v>31</v>
      </c>
      <c r="J2" s="51">
        <f t="shared" ref="J2:J65" si="1">LOG($I$24+($I$25-$I$24)*(ROW()-2)/100)</f>
        <v>3.8263100187527681</v>
      </c>
      <c r="K2" s="51">
        <f t="shared" ref="K2:K65" si="2">+$I$14+$I$13*J2</f>
        <v>1.9871641628468453</v>
      </c>
      <c r="L2" s="55">
        <f t="shared" ref="L2:L65" si="3">SQRT(2*$I$20*$I$17)*SQRT((1/$I$2)+((J2-$I$11)^2/$I$8))</f>
        <v>1.1380562867949404E-2</v>
      </c>
      <c r="M2" s="51">
        <f t="shared" ref="M2:M65" si="4">+$I$14+$I$13*J2-L2</f>
        <v>1.975783599978896</v>
      </c>
      <c r="N2" s="94">
        <f>10^$J2</f>
        <v>6703.6297361842471</v>
      </c>
      <c r="O2" s="56">
        <f>10^K2</f>
        <v>97.087688831232569</v>
      </c>
      <c r="P2" s="57">
        <f t="shared" ref="P2:P65" si="5">10^M2</f>
        <v>94.576578826894362</v>
      </c>
      <c r="R2" s="47"/>
      <c r="S2" s="47"/>
      <c r="T2" s="47"/>
    </row>
    <row r="3" spans="1:20" ht="12.75" customHeight="1" x14ac:dyDescent="0.35">
      <c r="A3" s="49">
        <f>'New Vestas G20 120L'!P8</f>
        <v>1041.332067092161</v>
      </c>
      <c r="B3" s="48">
        <f>'New Vestas G20 120L'!T8</f>
        <v>128.9393080514532</v>
      </c>
      <c r="C3" s="50">
        <f t="shared" si="0"/>
        <v>3.0175892423915975</v>
      </c>
      <c r="D3" s="50">
        <f t="shared" si="0"/>
        <v>2.1103853352543176</v>
      </c>
      <c r="E3" s="51">
        <f t="shared" ref="E3:F32" si="6">IF(C3="","",C3^2)</f>
        <v>9.1058448357974964</v>
      </c>
      <c r="F3" s="51">
        <f t="shared" si="6"/>
        <v>4.4537262632564785</v>
      </c>
      <c r="G3" s="52">
        <f t="shared" ref="G3:G32" si="7">IF(OR(C3="",D3=""),"",C3*D3)</f>
        <v>6.368276084964414</v>
      </c>
      <c r="H3" s="53" t="s">
        <v>58</v>
      </c>
      <c r="I3" s="58">
        <f>SUM(C:C)</f>
        <v>98.698670907107598</v>
      </c>
      <c r="J3" s="51">
        <f t="shared" si="1"/>
        <v>3.8222177042978442</v>
      </c>
      <c r="K3" s="51">
        <f t="shared" si="2"/>
        <v>1.9877298503101901</v>
      </c>
      <c r="L3" s="55">
        <f t="shared" si="3"/>
        <v>1.1320163844699036E-2</v>
      </c>
      <c r="M3" s="51">
        <f t="shared" si="4"/>
        <v>1.976409686465491</v>
      </c>
      <c r="N3" s="94">
        <f t="shared" ref="N3:N66" si="8">10^$J3</f>
        <v>6640.7587670907851</v>
      </c>
      <c r="O3" s="56">
        <f t="shared" ref="O3:O66" si="9">10^K3</f>
        <v>97.214232167439448</v>
      </c>
      <c r="P3" s="57">
        <f t="shared" si="5"/>
        <v>94.713020394239635</v>
      </c>
      <c r="R3" s="47"/>
      <c r="S3" s="47"/>
      <c r="T3" s="47"/>
    </row>
    <row r="4" spans="1:20" ht="12.75" customHeight="1" x14ac:dyDescent="0.35">
      <c r="A4" s="49">
        <f>'New Vestas G20 120L'!P9</f>
        <v>1249.5984805105932</v>
      </c>
      <c r="B4" s="48">
        <f>'New Vestas G20 120L'!T9</f>
        <v>119.78359925310309</v>
      </c>
      <c r="C4" s="50">
        <f t="shared" si="0"/>
        <v>3.0967704884392222</v>
      </c>
      <c r="D4" s="50">
        <f t="shared" si="0"/>
        <v>2.0783973586085747</v>
      </c>
      <c r="E4" s="51">
        <f t="shared" si="6"/>
        <v>9.5899874580680997</v>
      </c>
      <c r="F4" s="51">
        <f t="shared" si="6"/>
        <v>4.3197355802711002</v>
      </c>
      <c r="G4" s="52">
        <f t="shared" si="7"/>
        <v>6.4363196033890651</v>
      </c>
      <c r="H4" s="59" t="s">
        <v>59</v>
      </c>
      <c r="I4" s="58">
        <f>SUM(D:D)</f>
        <v>64.35524089081234</v>
      </c>
      <c r="J4" s="51">
        <f t="shared" si="1"/>
        <v>3.8180864612527134</v>
      </c>
      <c r="K4" s="51">
        <f t="shared" si="2"/>
        <v>1.98830091893759</v>
      </c>
      <c r="L4" s="55">
        <f t="shared" si="3"/>
        <v>1.12592562629049E-2</v>
      </c>
      <c r="M4" s="51">
        <f t="shared" si="4"/>
        <v>1.9770416626746852</v>
      </c>
      <c r="N4" s="94">
        <f t="shared" si="8"/>
        <v>6577.8877979973076</v>
      </c>
      <c r="O4" s="56">
        <f t="shared" si="9"/>
        <v>97.342146558217522</v>
      </c>
      <c r="P4" s="57">
        <f t="shared" si="5"/>
        <v>94.850945120638087</v>
      </c>
      <c r="R4" s="47"/>
      <c r="S4" s="47"/>
      <c r="T4" s="47"/>
    </row>
    <row r="5" spans="1:20" ht="12.75" customHeight="1" x14ac:dyDescent="0.35">
      <c r="A5" s="49">
        <f>'New Vestas G20 120L'!P10</f>
        <v>416.53282683686444</v>
      </c>
      <c r="B5" s="48">
        <f>'New Vestas G20 120L'!T10</f>
        <v>144.23390887684323</v>
      </c>
      <c r="C5" s="50">
        <f t="shared" si="0"/>
        <v>2.61964923371956</v>
      </c>
      <c r="D5" s="50">
        <f t="shared" si="0"/>
        <v>2.1590673734686971</v>
      </c>
      <c r="E5" s="51">
        <f t="shared" si="6"/>
        <v>6.8625621077274781</v>
      </c>
      <c r="F5" s="51">
        <f t="shared" si="6"/>
        <v>4.6615719231770187</v>
      </c>
      <c r="G5" s="52">
        <f t="shared" si="7"/>
        <v>5.6559991904561757</v>
      </c>
      <c r="H5" s="59" t="s">
        <v>60</v>
      </c>
      <c r="I5" s="58">
        <f>SUM(E:E)</f>
        <v>316.79282190955195</v>
      </c>
      <c r="J5" s="51">
        <f t="shared" si="1"/>
        <v>3.813915541873719</v>
      </c>
      <c r="K5" s="51">
        <f t="shared" si="2"/>
        <v>1.9888774720908993</v>
      </c>
      <c r="L5" s="55">
        <f t="shared" si="3"/>
        <v>1.1197832088643169E-2</v>
      </c>
      <c r="M5" s="51">
        <f t="shared" si="4"/>
        <v>1.977679640002256</v>
      </c>
      <c r="N5" s="94">
        <f t="shared" si="8"/>
        <v>6515.0168289038256</v>
      </c>
      <c r="O5" s="56">
        <f t="shared" si="9"/>
        <v>97.471460177725959</v>
      </c>
      <c r="P5" s="57">
        <f t="shared" si="5"/>
        <v>94.990383274493169</v>
      </c>
      <c r="R5" s="47"/>
      <c r="S5" s="47"/>
      <c r="T5" s="47"/>
    </row>
    <row r="6" spans="1:20" ht="12.75" customHeight="1" x14ac:dyDescent="0.35">
      <c r="A6" s="49">
        <f>'New Vestas G20 120L'!P11</f>
        <v>624.79924025529658</v>
      </c>
      <c r="B6" s="48">
        <f>'New Vestas G20 120L'!T11</f>
        <v>140.89783799974145</v>
      </c>
      <c r="C6" s="50">
        <f t="shared" si="0"/>
        <v>2.7957404927752409</v>
      </c>
      <c r="D6" s="50">
        <f t="shared" si="0"/>
        <v>2.1489043291492007</v>
      </c>
      <c r="E6" s="51">
        <f t="shared" si="6"/>
        <v>7.8161649029431475</v>
      </c>
      <c r="F6" s="51">
        <f t="shared" si="6"/>
        <v>4.6177898158361765</v>
      </c>
      <c r="G6" s="52">
        <f t="shared" si="7"/>
        <v>6.0077788481024346</v>
      </c>
      <c r="H6" s="59" t="s">
        <v>61</v>
      </c>
      <c r="I6" s="58">
        <f>SUM(F:F)</f>
        <v>133.65160125971101</v>
      </c>
      <c r="J6" s="51">
        <f t="shared" si="1"/>
        <v>3.8097041766640332</v>
      </c>
      <c r="K6" s="51">
        <f t="shared" si="2"/>
        <v>1.9894596161389502</v>
      </c>
      <c r="L6" s="55">
        <f t="shared" si="3"/>
        <v>1.1135883122359674E-2</v>
      </c>
      <c r="M6" s="51">
        <f t="shared" si="4"/>
        <v>1.9783237330165906</v>
      </c>
      <c r="N6" s="94">
        <f t="shared" si="8"/>
        <v>6452.1458598103591</v>
      </c>
      <c r="O6" s="56">
        <f t="shared" si="9"/>
        <v>97.60220205809803</v>
      </c>
      <c r="P6" s="57">
        <f t="shared" si="5"/>
        <v>95.131366033035221</v>
      </c>
      <c r="R6" s="47"/>
      <c r="S6" s="47"/>
      <c r="T6" s="47"/>
    </row>
    <row r="7" spans="1:20" ht="12.75" customHeight="1" x14ac:dyDescent="0.35">
      <c r="A7" s="49">
        <f>'New Vestas G20 120L'!P12</f>
        <v>833.06565367372889</v>
      </c>
      <c r="B7" s="48">
        <f>'New Vestas G20 120L'!T12</f>
        <v>129.45570016687481</v>
      </c>
      <c r="C7" s="50">
        <f t="shared" si="0"/>
        <v>2.9206792293835413</v>
      </c>
      <c r="D7" s="50">
        <f t="shared" si="0"/>
        <v>2.1121211779575835</v>
      </c>
      <c r="E7" s="51">
        <f t="shared" si="6"/>
        <v>8.5303671609524372</v>
      </c>
      <c r="F7" s="51">
        <f t="shared" si="6"/>
        <v>4.4610558703769296</v>
      </c>
      <c r="G7" s="52">
        <f t="shared" si="7"/>
        <v>6.1688284544018126</v>
      </c>
      <c r="H7" s="59" t="s">
        <v>62</v>
      </c>
      <c r="I7" s="58">
        <f>SUM(G:G)</f>
        <v>204.54308797340866</v>
      </c>
      <c r="J7" s="51">
        <f t="shared" si="1"/>
        <v>3.8054515735216006</v>
      </c>
      <c r="K7" s="51">
        <f t="shared" si="2"/>
        <v>1.9900474605753329</v>
      </c>
      <c r="L7" s="55">
        <f t="shared" si="3"/>
        <v>1.1073400995908405E-2</v>
      </c>
      <c r="M7" s="51">
        <f t="shared" si="4"/>
        <v>1.9789740595794245</v>
      </c>
      <c r="N7" s="94">
        <f t="shared" si="8"/>
        <v>6389.2748907168852</v>
      </c>
      <c r="O7" s="56">
        <f t="shared" si="9"/>
        <v>97.734402124232474</v>
      </c>
      <c r="P7" s="57">
        <f t="shared" si="5"/>
        <v>95.273925518386619</v>
      </c>
      <c r="R7" s="47"/>
      <c r="S7" s="47"/>
      <c r="T7" s="47"/>
    </row>
    <row r="8" spans="1:20" ht="12.75" customHeight="1" x14ac:dyDescent="0.35">
      <c r="A8" s="49">
        <f>'New Vestas G20 120L'!P13</f>
        <v>1249.5984805105932</v>
      </c>
      <c r="B8" s="48">
        <f>'New Vestas G20 120L'!T13</f>
        <v>124.10042849573773</v>
      </c>
      <c r="C8" s="50">
        <f t="shared" si="0"/>
        <v>3.0967704884392222</v>
      </c>
      <c r="D8" s="50">
        <f t="shared" si="0"/>
        <v>2.0937732810395286</v>
      </c>
      <c r="E8" s="51">
        <f t="shared" si="6"/>
        <v>9.5899874580680997</v>
      </c>
      <c r="F8" s="51">
        <f t="shared" si="6"/>
        <v>4.3838865523950332</v>
      </c>
      <c r="G8" s="52">
        <f t="shared" si="7"/>
        <v>6.4839353062057743</v>
      </c>
      <c r="H8" s="53" t="s">
        <v>63</v>
      </c>
      <c r="I8" s="58">
        <f>+I5-I3^2/$I$2</f>
        <v>2.5532206569865252</v>
      </c>
      <c r="J8" s="51">
        <f t="shared" si="1"/>
        <v>3.8011569168449588</v>
      </c>
      <c r="K8" s="51">
        <f t="shared" si="2"/>
        <v>1.9906411181420001</v>
      </c>
      <c r="L8" s="55">
        <f t="shared" si="3"/>
        <v>1.1010377169669731E-2</v>
      </c>
      <c r="M8" s="51">
        <f t="shared" si="4"/>
        <v>1.9796307409723304</v>
      </c>
      <c r="N8" s="94">
        <f t="shared" si="8"/>
        <v>6326.4039216234114</v>
      </c>
      <c r="O8" s="56">
        <f t="shared" si="9"/>
        <v>97.868091230353102</v>
      </c>
      <c r="P8" s="57">
        <f t="shared" si="5"/>
        <v>95.418094835406819</v>
      </c>
      <c r="R8" s="47"/>
      <c r="S8" s="47"/>
      <c r="T8" s="47"/>
    </row>
    <row r="9" spans="1:20" ht="12.75" customHeight="1" x14ac:dyDescent="0.35">
      <c r="A9" s="49">
        <f>'New Vestas G20 120L'!P14</f>
        <v>416.53282683686444</v>
      </c>
      <c r="B9" s="48">
        <f>'New Vestas G20 120L'!T14</f>
        <v>142.5189443282251</v>
      </c>
      <c r="C9" s="50">
        <f t="shared" si="0"/>
        <v>2.61964923371956</v>
      </c>
      <c r="D9" s="50">
        <f t="shared" si="0"/>
        <v>2.1538725967681969</v>
      </c>
      <c r="E9" s="51">
        <f t="shared" si="6"/>
        <v>6.8625621077274781</v>
      </c>
      <c r="F9" s="51">
        <f t="shared" si="6"/>
        <v>4.6391671631089757</v>
      </c>
      <c r="G9" s="52">
        <f t="shared" si="7"/>
        <v>5.642390697653366</v>
      </c>
      <c r="H9" s="59" t="s">
        <v>64</v>
      </c>
      <c r="I9" s="58">
        <f>+I6-I4^2/$I$2</f>
        <v>5.169706246957162E-2</v>
      </c>
      <c r="J9" s="51">
        <f t="shared" si="1"/>
        <v>3.7968193665943946</v>
      </c>
      <c r="K9" s="51">
        <f t="shared" si="2"/>
        <v>1.9912407049590446</v>
      </c>
      <c r="L9" s="55">
        <f t="shared" si="3"/>
        <v>1.0946802929770029E-2</v>
      </c>
      <c r="M9" s="51">
        <f t="shared" si="4"/>
        <v>1.9802939020292745</v>
      </c>
      <c r="N9" s="94">
        <f t="shared" si="8"/>
        <v>6263.5329525299348</v>
      </c>
      <c r="O9" s="56">
        <f t="shared" si="9"/>
        <v>98.003301198446138</v>
      </c>
      <c r="P9" s="57">
        <f t="shared" si="5"/>
        <v>95.563908111420787</v>
      </c>
      <c r="R9" s="47"/>
      <c r="S9" s="47"/>
      <c r="T9" s="47"/>
    </row>
    <row r="10" spans="1:20" ht="12.75" customHeight="1" x14ac:dyDescent="0.35">
      <c r="A10" s="49">
        <f>'New Vestas G20 120L'!P15</f>
        <v>624.79924025529658</v>
      </c>
      <c r="B10" s="48">
        <f>'New Vestas G20 120L'!T15</f>
        <v>133.45670982827062</v>
      </c>
      <c r="C10" s="50">
        <f t="shared" si="0"/>
        <v>2.7957404927752409</v>
      </c>
      <c r="D10" s="50">
        <f t="shared" si="0"/>
        <v>2.1253404137783507</v>
      </c>
      <c r="E10" s="51">
        <f t="shared" si="6"/>
        <v>7.8161649029431475</v>
      </c>
      <c r="F10" s="51">
        <f t="shared" si="6"/>
        <v>4.5170718744395311</v>
      </c>
      <c r="G10" s="52">
        <f t="shared" si="7"/>
        <v>5.941900255731821</v>
      </c>
      <c r="H10" s="59" t="s">
        <v>65</v>
      </c>
      <c r="I10" s="58">
        <f>+I7-I3*I4/$I$2</f>
        <v>-0.3529359565887944</v>
      </c>
      <c r="J10" s="51">
        <f t="shared" si="1"/>
        <v>3.7924380573057501</v>
      </c>
      <c r="K10" s="51">
        <f t="shared" si="2"/>
        <v>1.9918463406610227</v>
      </c>
      <c r="L10" s="55">
        <f t="shared" si="3"/>
        <v>1.0882669385428052E-2</v>
      </c>
      <c r="M10" s="51">
        <f t="shared" si="4"/>
        <v>1.9809636712755947</v>
      </c>
      <c r="N10" s="94">
        <f t="shared" si="8"/>
        <v>6200.6619834364656</v>
      </c>
      <c r="O10" s="56">
        <f t="shared" si="9"/>
        <v>98.140064858691744</v>
      </c>
      <c r="P10" s="57">
        <f t="shared" si="5"/>
        <v>95.711400537943277</v>
      </c>
      <c r="R10" s="47"/>
      <c r="S10" s="47"/>
      <c r="T10" s="47"/>
    </row>
    <row r="11" spans="1:20" ht="12.75" customHeight="1" x14ac:dyDescent="0.35">
      <c r="A11" s="49">
        <f>'New Vestas G20 120L'!P16</f>
        <v>833.06565367372889</v>
      </c>
      <c r="B11" s="48">
        <f>'New Vestas G20 120L'!T16</f>
        <v>124.71603849452865</v>
      </c>
      <c r="C11" s="50">
        <f t="shared" si="0"/>
        <v>2.9206792293835413</v>
      </c>
      <c r="D11" s="50">
        <f t="shared" si="0"/>
        <v>2.0959223073821125</v>
      </c>
      <c r="E11" s="51">
        <f t="shared" si="6"/>
        <v>8.5303671609524372</v>
      </c>
      <c r="F11" s="51">
        <f t="shared" si="6"/>
        <v>4.3928903185819586</v>
      </c>
      <c r="G11" s="52">
        <f t="shared" si="7"/>
        <v>6.121516749572562</v>
      </c>
      <c r="H11" s="59" t="s">
        <v>66</v>
      </c>
      <c r="I11" s="58">
        <f>+I3/$I$2</f>
        <v>3.1838280937776644</v>
      </c>
      <c r="J11" s="51">
        <f t="shared" si="1"/>
        <v>3.7880120970539681</v>
      </c>
      <c r="K11" s="51">
        <f t="shared" si="2"/>
        <v>1.9924581485402251</v>
      </c>
      <c r="L11" s="55">
        <f t="shared" si="3"/>
        <v>1.0817967466456392E-2</v>
      </c>
      <c r="M11" s="51">
        <f t="shared" si="4"/>
        <v>1.9816401810737687</v>
      </c>
      <c r="N11" s="94">
        <f t="shared" si="8"/>
        <v>6137.791014342989</v>
      </c>
      <c r="O11" s="56">
        <f t="shared" si="9"/>
        <v>98.278416092014268</v>
      </c>
      <c r="P11" s="57">
        <f t="shared" si="5"/>
        <v>95.860608414518225</v>
      </c>
      <c r="R11" s="47"/>
      <c r="S11" s="47"/>
      <c r="T11" s="47"/>
    </row>
    <row r="12" spans="1:20" ht="12.75" customHeight="1" x14ac:dyDescent="0.35">
      <c r="A12" s="49">
        <f>'New Vestas G20 120L'!P17</f>
        <v>1249.5984805105932</v>
      </c>
      <c r="B12" s="48">
        <f>'New Vestas G20 120L'!T17</f>
        <v>123.89751408438963</v>
      </c>
      <c r="C12" s="50">
        <f t="shared" si="0"/>
        <v>3.0967704884392222</v>
      </c>
      <c r="D12" s="50">
        <f t="shared" si="0"/>
        <v>2.0930625926531992</v>
      </c>
      <c r="E12" s="51">
        <f t="shared" si="6"/>
        <v>9.5899874580680997</v>
      </c>
      <c r="F12" s="51">
        <f t="shared" si="6"/>
        <v>4.3809110167641316</v>
      </c>
      <c r="G12" s="52">
        <f t="shared" si="7"/>
        <v>6.4817344673845128</v>
      </c>
      <c r="H12" s="59" t="s">
        <v>67</v>
      </c>
      <c r="I12" s="58">
        <f>+I4/$I$2</f>
        <v>2.0759755126068495</v>
      </c>
      <c r="J12" s="51">
        <f t="shared" si="1"/>
        <v>3.7835405663632802</v>
      </c>
      <c r="K12" s="51">
        <f t="shared" si="2"/>
        <v>1.9930762556973232</v>
      </c>
      <c r="L12" s="55">
        <f t="shared" si="3"/>
        <v>1.0752687920950599E-2</v>
      </c>
      <c r="M12" s="51">
        <f t="shared" si="4"/>
        <v>1.9823235677763726</v>
      </c>
      <c r="N12" s="94">
        <f t="shared" si="8"/>
        <v>6074.9200452495088</v>
      </c>
      <c r="O12" s="56">
        <f t="shared" si="9"/>
        <v>98.418389874884753</v>
      </c>
      <c r="P12" s="57">
        <f t="shared" si="5"/>
        <v>96.011569194801922</v>
      </c>
      <c r="R12" s="47"/>
      <c r="S12" s="47"/>
      <c r="T12" s="47"/>
    </row>
    <row r="13" spans="1:20" ht="12.75" customHeight="1" x14ac:dyDescent="0.35">
      <c r="A13" s="49">
        <f>'New Vestas G20 120L'!P18</f>
        <v>1564.8785665405082</v>
      </c>
      <c r="B13" s="48">
        <f>'New Vestas G20 120L'!T18</f>
        <v>125.0881979570498</v>
      </c>
      <c r="C13" s="50">
        <f t="shared" si="0"/>
        <v>3.1944806422482603</v>
      </c>
      <c r="D13" s="50">
        <f t="shared" si="0"/>
        <v>2.0972163360409928</v>
      </c>
      <c r="E13" s="51">
        <f t="shared" si="6"/>
        <v>10.204706573698857</v>
      </c>
      <c r="F13" s="51">
        <f t="shared" si="6"/>
        <v>4.3983163601572066</v>
      </c>
      <c r="G13" s="52">
        <f t="shared" si="7"/>
        <v>6.6995169880897736</v>
      </c>
      <c r="H13" s="59" t="s">
        <v>68</v>
      </c>
      <c r="I13" s="60">
        <f>+I10/I8</f>
        <v>-0.13823167050722207</v>
      </c>
      <c r="J13" s="51">
        <f t="shared" si="1"/>
        <v>3.779022517060707</v>
      </c>
      <c r="K13" s="51">
        <f t="shared" si="2"/>
        <v>1.9937007931998521</v>
      </c>
      <c r="L13" s="55">
        <f t="shared" si="3"/>
        <v>1.0686821313202904E-2</v>
      </c>
      <c r="M13" s="51">
        <f t="shared" si="4"/>
        <v>1.9830139718866491</v>
      </c>
      <c r="N13" s="94">
        <f t="shared" si="8"/>
        <v>6012.0490761560413</v>
      </c>
      <c r="O13" s="56">
        <f t="shared" si="9"/>
        <v>98.560022326520837</v>
      </c>
      <c r="P13" s="57">
        <f t="shared" si="5"/>
        <v>96.164321535025493</v>
      </c>
      <c r="R13" s="47"/>
      <c r="S13" s="47"/>
      <c r="T13" s="47"/>
    </row>
    <row r="14" spans="1:20" ht="12.75" customHeight="1" x14ac:dyDescent="0.35">
      <c r="A14" s="49">
        <f>'New Vestas G20 120L'!P19</f>
        <v>1825.6916609639266</v>
      </c>
      <c r="B14" s="48">
        <f>'New Vestas G20 120L'!T19</f>
        <v>116.38083086759765</v>
      </c>
      <c r="C14" s="50">
        <f t="shared" si="0"/>
        <v>3.2614274318788739</v>
      </c>
      <c r="D14" s="50">
        <f t="shared" si="0"/>
        <v>2.0658814533894834</v>
      </c>
      <c r="E14" s="51">
        <f t="shared" si="6"/>
        <v>10.636908893412027</v>
      </c>
      <c r="F14" s="51">
        <f t="shared" si="6"/>
        <v>4.2678661794586441</v>
      </c>
      <c r="G14" s="52">
        <f t="shared" si="7"/>
        <v>6.7377224430942579</v>
      </c>
      <c r="H14" s="59" t="s">
        <v>69</v>
      </c>
      <c r="I14" s="60">
        <f>+I12-I13*I11</f>
        <v>2.5160813886175606</v>
      </c>
      <c r="J14" s="51">
        <f t="shared" si="1"/>
        <v>3.7744569710692879</v>
      </c>
      <c r="K14" s="51">
        <f t="shared" si="2"/>
        <v>1.9943318962490233</v>
      </c>
      <c r="L14" s="55">
        <f t="shared" si="3"/>
        <v>1.0620358021882395E-2</v>
      </c>
      <c r="M14" s="51">
        <f t="shared" si="4"/>
        <v>1.9837115382271409</v>
      </c>
      <c r="N14" s="94">
        <f t="shared" si="8"/>
        <v>5949.1781070625611</v>
      </c>
      <c r="O14" s="56">
        <f t="shared" si="9"/>
        <v>98.703350758637384</v>
      </c>
      <c r="P14" s="57">
        <f t="shared" si="5"/>
        <v>96.318905344984884</v>
      </c>
      <c r="R14" s="47"/>
      <c r="S14" s="47"/>
      <c r="T14" s="47"/>
    </row>
    <row r="15" spans="1:20" ht="12.75" customHeight="1" thickBot="1" x14ac:dyDescent="0.4">
      <c r="A15" s="49">
        <f>'New Vestas G20 120L'!P20</f>
        <v>2086.5047553873446</v>
      </c>
      <c r="B15" s="48">
        <f>'New Vestas G20 120L'!T20</f>
        <v>113.91740208566142</v>
      </c>
      <c r="C15" s="50">
        <f t="shared" si="0"/>
        <v>3.3194193788565602</v>
      </c>
      <c r="D15" s="50">
        <f t="shared" si="0"/>
        <v>2.0565900722133681</v>
      </c>
      <c r="E15" s="51">
        <f t="shared" si="6"/>
        <v>11.018545012728472</v>
      </c>
      <c r="F15" s="51">
        <f t="shared" si="6"/>
        <v>4.2295627251265868</v>
      </c>
      <c r="G15" s="52">
        <f t="shared" si="7"/>
        <v>6.8266849400690663</v>
      </c>
      <c r="H15" s="61" t="s">
        <v>70</v>
      </c>
      <c r="I15" s="62">
        <f>+I10^2/(I8*I9)</f>
        <v>0.94370791164486312</v>
      </c>
      <c r="J15" s="51">
        <f t="shared" si="1"/>
        <v>3.7698429191372083</v>
      </c>
      <c r="K15" s="51">
        <f t="shared" si="2"/>
        <v>1.9949697043554018</v>
      </c>
      <c r="L15" s="55">
        <f t="shared" si="3"/>
        <v>1.0553288238529489E-2</v>
      </c>
      <c r="M15" s="51">
        <f t="shared" si="4"/>
        <v>1.9844164161168723</v>
      </c>
      <c r="N15" s="94">
        <f t="shared" si="8"/>
        <v>5886.30713796909</v>
      </c>
      <c r="O15" s="56">
        <f t="shared" si="9"/>
        <v>98.848413727916025</v>
      </c>
      <c r="P15" s="57">
        <f t="shared" si="5"/>
        <v>96.475361841713877</v>
      </c>
      <c r="R15" s="47"/>
      <c r="S15" s="47"/>
      <c r="T15" s="47"/>
    </row>
    <row r="16" spans="1:20" ht="12.75" customHeight="1" x14ac:dyDescent="0.35">
      <c r="A16" s="49">
        <f>'New Vestas G20 120L'!P21</f>
        <v>2347.3178498107627</v>
      </c>
      <c r="B16" s="48">
        <f>'New Vestas G20 120L'!T21</f>
        <v>111.6490963684362</v>
      </c>
      <c r="C16" s="50">
        <f t="shared" si="0"/>
        <v>3.3705719013039417</v>
      </c>
      <c r="D16" s="50">
        <f t="shared" si="0"/>
        <v>2.0478552124608385</v>
      </c>
      <c r="E16" s="51">
        <f t="shared" si="6"/>
        <v>11.360754941859668</v>
      </c>
      <c r="F16" s="51">
        <f t="shared" si="6"/>
        <v>4.1937109712030258</v>
      </c>
      <c r="G16" s="52">
        <f t="shared" si="7"/>
        <v>6.9024432370593161</v>
      </c>
      <c r="H16" s="63" t="s">
        <v>71</v>
      </c>
      <c r="I16" s="64"/>
      <c r="J16" s="51">
        <f t="shared" si="1"/>
        <v>3.7651793194986816</v>
      </c>
      <c r="K16" s="51">
        <f t="shared" si="2"/>
        <v>1.9956143615240123</v>
      </c>
      <c r="L16" s="55">
        <f t="shared" si="3"/>
        <v>1.0485601966418652E-2</v>
      </c>
      <c r="M16" s="51">
        <f t="shared" si="4"/>
        <v>1.9851287595575937</v>
      </c>
      <c r="N16" s="94">
        <f t="shared" si="8"/>
        <v>5823.4361688756144</v>
      </c>
      <c r="O16" s="56">
        <f t="shared" si="9"/>
        <v>98.995251091371003</v>
      </c>
      <c r="P16" s="57">
        <f t="shared" si="5"/>
        <v>96.633733606009002</v>
      </c>
      <c r="R16" s="47"/>
      <c r="S16" s="47"/>
      <c r="T16" s="47"/>
    </row>
    <row r="17" spans="1:20" ht="12.75" customHeight="1" x14ac:dyDescent="0.35">
      <c r="A17" s="49">
        <f>'New Vestas G20 120L'!P22</f>
        <v>2868.9440386575989</v>
      </c>
      <c r="B17" s="48">
        <f>'New Vestas G20 120L'!T22</f>
        <v>107.64907339062384</v>
      </c>
      <c r="C17" s="50">
        <f t="shared" si="0"/>
        <v>3.4577220770228418</v>
      </c>
      <c r="D17" s="50">
        <f t="shared" si="0"/>
        <v>2.032010295905248</v>
      </c>
      <c r="E17" s="51">
        <f t="shared" si="6"/>
        <v>11.955841961931155</v>
      </c>
      <c r="F17" s="51">
        <f t="shared" si="6"/>
        <v>4.1290658426649332</v>
      </c>
      <c r="G17" s="52">
        <f t="shared" si="7"/>
        <v>7.0261268608892937</v>
      </c>
      <c r="H17" s="53" t="s">
        <v>72</v>
      </c>
      <c r="I17" s="65">
        <f>(+I9-(+I10^2/I8))/($I$2-2)</f>
        <v>1.0034950373235043E-4</v>
      </c>
      <c r="J17" s="51">
        <f t="shared" si="1"/>
        <v>3.7604650964621551</v>
      </c>
      <c r="K17" s="51">
        <f t="shared" si="2"/>
        <v>1.996266016449495</v>
      </c>
      <c r="L17" s="55">
        <f t="shared" si="3"/>
        <v>1.0417289019851048E-2</v>
      </c>
      <c r="M17" s="51">
        <f t="shared" si="4"/>
        <v>1.9858487274296439</v>
      </c>
      <c r="N17" s="94">
        <f t="shared" si="8"/>
        <v>5760.5651997821406</v>
      </c>
      <c r="O17" s="56">
        <f t="shared" si="9"/>
        <v>99.143904064806321</v>
      </c>
      <c r="P17" s="57">
        <f t="shared" si="5"/>
        <v>96.794064641986921</v>
      </c>
      <c r="R17" s="47"/>
      <c r="S17" s="47"/>
      <c r="T17" s="47"/>
    </row>
    <row r="18" spans="1:20" ht="12.75" customHeight="1" x14ac:dyDescent="0.35">
      <c r="A18" s="49">
        <f>'New Vestas G20 120L'!P23</f>
        <v>3129.7571330810165</v>
      </c>
      <c r="B18" s="48">
        <f>'New Vestas G20 120L'!T23</f>
        <v>106.60028688260051</v>
      </c>
      <c r="C18" s="50">
        <f t="shared" si="0"/>
        <v>3.4955106379122416</v>
      </c>
      <c r="D18" s="50">
        <f t="shared" si="0"/>
        <v>2.0277583734650628</v>
      </c>
      <c r="E18" s="51">
        <f t="shared" si="6"/>
        <v>12.218594619757646</v>
      </c>
      <c r="F18" s="51">
        <f t="shared" si="6"/>
        <v>4.1118040211576776</v>
      </c>
      <c r="G18" s="52">
        <f t="shared" si="7"/>
        <v>7.0880509655627515</v>
      </c>
      <c r="H18" s="66" t="s">
        <v>53</v>
      </c>
      <c r="I18" s="67">
        <v>0.95</v>
      </c>
      <c r="J18" s="51">
        <f t="shared" si="1"/>
        <v>3.7556991389210421</v>
      </c>
      <c r="K18" s="51">
        <f t="shared" si="2"/>
        <v>1.9969248227219696</v>
      </c>
      <c r="L18" s="55">
        <f t="shared" si="3"/>
        <v>1.0348339023946808E-2</v>
      </c>
      <c r="M18" s="51">
        <f t="shared" si="4"/>
        <v>1.9865764836980229</v>
      </c>
      <c r="N18" s="94">
        <f t="shared" si="8"/>
        <v>5697.6942306886731</v>
      </c>
      <c r="O18" s="56">
        <f t="shared" si="9"/>
        <v>99.294415284571457</v>
      </c>
      <c r="P18" s="57">
        <f t="shared" si="5"/>
        <v>96.956400439867053</v>
      </c>
      <c r="R18" s="47"/>
      <c r="S18" s="47"/>
      <c r="T18" s="47"/>
    </row>
    <row r="19" spans="1:20" ht="12.75" customHeight="1" x14ac:dyDescent="0.35">
      <c r="A19" s="49">
        <f>'New Vestas G20 120L'!P24</f>
        <v>1043.2523776936723</v>
      </c>
      <c r="B19" s="48">
        <f>'New Vestas G20 120L'!T24</f>
        <v>122.60037878831164</v>
      </c>
      <c r="C19" s="50">
        <f t="shared" si="0"/>
        <v>3.0183893831925794</v>
      </c>
      <c r="D19" s="50">
        <f t="shared" si="0"/>
        <v>2.0884918119884275</v>
      </c>
      <c r="E19" s="51">
        <f t="shared" si="6"/>
        <v>9.1106744685696803</v>
      </c>
      <c r="F19" s="51">
        <f t="shared" si="6"/>
        <v>4.3617980487427053</v>
      </c>
      <c r="G19" s="52">
        <f t="shared" si="7"/>
        <v>6.3038815121905021</v>
      </c>
      <c r="H19" s="53" t="s">
        <v>73</v>
      </c>
      <c r="I19" s="68">
        <f>_xlfn.T.INV(1-(1-I18)/2,I2-2)</f>
        <v>2.0452296421327034</v>
      </c>
      <c r="J19" s="51">
        <f t="shared" si="1"/>
        <v>3.7508802987818264</v>
      </c>
      <c r="K19" s="51">
        <f t="shared" si="2"/>
        <v>1.9975909390443205</v>
      </c>
      <c r="L19" s="55">
        <f t="shared" si="3"/>
        <v>1.0278741415016231E-2</v>
      </c>
      <c r="M19" s="51">
        <f t="shared" si="4"/>
        <v>1.9873121976293042</v>
      </c>
      <c r="N19" s="94">
        <f t="shared" si="8"/>
        <v>5634.8232615951974</v>
      </c>
      <c r="O19" s="56">
        <f t="shared" si="9"/>
        <v>99.446828872840399</v>
      </c>
      <c r="P19" s="57">
        <f t="shared" si="5"/>
        <v>97.120788042188835</v>
      </c>
      <c r="R19" s="47"/>
      <c r="S19" s="47"/>
      <c r="T19" s="47"/>
    </row>
    <row r="20" spans="1:20" ht="12.75" customHeight="1" x14ac:dyDescent="0.35">
      <c r="A20" s="49">
        <f>'New Vestas G20 120L'!P25</f>
        <v>1304.0654721170904</v>
      </c>
      <c r="B20" s="48">
        <f>'New Vestas G20 120L'!T25</f>
        <v>118.35645197110961</v>
      </c>
      <c r="C20" s="50">
        <f t="shared" si="0"/>
        <v>3.1152993962006357</v>
      </c>
      <c r="D20" s="50">
        <f t="shared" si="0"/>
        <v>2.073191937626949</v>
      </c>
      <c r="E20" s="51">
        <f t="shared" si="6"/>
        <v>9.7050903279680458</v>
      </c>
      <c r="F20" s="51">
        <f t="shared" si="6"/>
        <v>4.2981248102413829</v>
      </c>
      <c r="G20" s="52">
        <f t="shared" si="7"/>
        <v>6.4586135914972598</v>
      </c>
      <c r="H20" s="53" t="s">
        <v>74</v>
      </c>
      <c r="I20" s="68">
        <f>_xlfn.F.INV(I18,2,I2-2)</f>
        <v>3.3276544985720586</v>
      </c>
      <c r="J20" s="51">
        <f t="shared" si="1"/>
        <v>3.7460073893039811</v>
      </c>
      <c r="K20" s="51">
        <f t="shared" si="2"/>
        <v>1.9982645294616734</v>
      </c>
      <c r="L20" s="55">
        <f t="shared" si="3"/>
        <v>1.0208485441600076E-2</v>
      </c>
      <c r="M20" s="51">
        <f t="shared" si="4"/>
        <v>1.9880560440200734</v>
      </c>
      <c r="N20" s="94">
        <f t="shared" si="8"/>
        <v>5571.9522925017218</v>
      </c>
      <c r="O20" s="56">
        <f t="shared" si="9"/>
        <v>99.601190506658071</v>
      </c>
      <c r="P20" s="57">
        <f t="shared" si="5"/>
        <v>97.287276113684726</v>
      </c>
      <c r="R20" s="47"/>
      <c r="S20" s="47"/>
      <c r="T20" s="47"/>
    </row>
    <row r="21" spans="1:20" ht="12.75" customHeight="1" x14ac:dyDescent="0.35">
      <c r="A21" s="49">
        <f>'New Vestas G20 120L'!P26</f>
        <v>1564.8785665405082</v>
      </c>
      <c r="B21" s="48">
        <f>'New Vestas G20 120L'!T26</f>
        <v>117.42961737884711</v>
      </c>
      <c r="C21" s="50">
        <f t="shared" si="0"/>
        <v>3.1944806422482603</v>
      </c>
      <c r="D21" s="50">
        <f t="shared" si="0"/>
        <v>2.0697776458212562</v>
      </c>
      <c r="E21" s="51">
        <f t="shared" si="6"/>
        <v>10.204706573698857</v>
      </c>
      <c r="F21" s="51">
        <f t="shared" si="6"/>
        <v>4.2839795031413814</v>
      </c>
      <c r="G21" s="52">
        <f t="shared" si="7"/>
        <v>6.6118646233341787</v>
      </c>
      <c r="H21" s="53" t="s">
        <v>75</v>
      </c>
      <c r="I21" s="68">
        <f>I19*SQRT(I17)*(($I$8)^(-1/2))</f>
        <v>1.2821992492736762E-2</v>
      </c>
      <c r="J21" s="51">
        <f t="shared" si="1"/>
        <v>3.7410791833456885</v>
      </c>
      <c r="K21" s="51">
        <f t="shared" si="2"/>
        <v>1.9989457636038921</v>
      </c>
      <c r="L21" s="55">
        <f t="shared" si="3"/>
        <v>1.0137560166281083E-2</v>
      </c>
      <c r="M21" s="51">
        <f t="shared" si="4"/>
        <v>1.9888082034376111</v>
      </c>
      <c r="N21" s="94">
        <f t="shared" si="8"/>
        <v>5509.0813234082516</v>
      </c>
      <c r="O21" s="56">
        <f t="shared" si="9"/>
        <v>99.75754749101543</v>
      </c>
      <c r="P21" s="57">
        <f t="shared" si="5"/>
        <v>97.455915015051048</v>
      </c>
      <c r="R21" s="47"/>
      <c r="S21" s="47"/>
      <c r="T21" s="47"/>
    </row>
    <row r="22" spans="1:20" ht="12.75" customHeight="1" thickBot="1" x14ac:dyDescent="0.4">
      <c r="A22" s="49">
        <f>'New Vestas G20 120L'!P27</f>
        <v>1825.6916609639266</v>
      </c>
      <c r="B22" s="48">
        <f>'New Vestas G20 120L'!T27</f>
        <v>115.47838665829444</v>
      </c>
      <c r="C22" s="50">
        <f t="shared" si="0"/>
        <v>3.2614274318788739</v>
      </c>
      <c r="D22" s="50">
        <f t="shared" si="0"/>
        <v>2.0625007077485633</v>
      </c>
      <c r="E22" s="51">
        <f t="shared" si="6"/>
        <v>10.636908893412027</v>
      </c>
      <c r="F22" s="51">
        <f t="shared" si="6"/>
        <v>4.2539091694633244</v>
      </c>
      <c r="G22" s="52">
        <f t="shared" si="7"/>
        <v>6.7266963865207563</v>
      </c>
      <c r="H22" s="61" t="s">
        <v>76</v>
      </c>
      <c r="I22" s="69">
        <f>I19*SQRT(I17)*(1/I2+I11^2/I8)^(1/2)</f>
        <v>4.0988529472923911E-2</v>
      </c>
      <c r="J22" s="51">
        <f t="shared" si="1"/>
        <v>3.736094411508879</v>
      </c>
      <c r="K22" s="51">
        <f t="shared" si="2"/>
        <v>1.9996348169419915</v>
      </c>
      <c r="L22" s="55">
        <f t="shared" si="3"/>
        <v>1.0065954468383084E-2</v>
      </c>
      <c r="M22" s="51">
        <f t="shared" si="4"/>
        <v>1.9895688624736085</v>
      </c>
      <c r="N22" s="94">
        <f t="shared" si="8"/>
        <v>5446.2103543147796</v>
      </c>
      <c r="O22" s="56">
        <f t="shared" si="9"/>
        <v>99.915948836237632</v>
      </c>
      <c r="P22" s="57">
        <f t="shared" si="5"/>
        <v>97.626756880873216</v>
      </c>
      <c r="R22" s="47"/>
      <c r="S22" s="47"/>
      <c r="T22" s="47"/>
    </row>
    <row r="23" spans="1:20" ht="12.75" customHeight="1" x14ac:dyDescent="0.35">
      <c r="A23" s="49">
        <f>'New Vestas G20 120L'!P28</f>
        <v>2347.3178498107627</v>
      </c>
      <c r="B23" s="48">
        <f>'New Vestas G20 120L'!T28</f>
        <v>114.47838091401121</v>
      </c>
      <c r="C23" s="50">
        <f t="shared" si="0"/>
        <v>3.3705719013039417</v>
      </c>
      <c r="D23" s="50">
        <f t="shared" si="0"/>
        <v>2.0587234784990724</v>
      </c>
      <c r="E23" s="51">
        <f t="shared" si="6"/>
        <v>11.360754941859668</v>
      </c>
      <c r="F23" s="51">
        <f t="shared" si="6"/>
        <v>4.2383423609233208</v>
      </c>
      <c r="G23" s="52">
        <f t="shared" si="7"/>
        <v>6.9390755091836835</v>
      </c>
      <c r="H23" s="63" t="s">
        <v>77</v>
      </c>
      <c r="I23" s="70"/>
      <c r="J23" s="51">
        <f t="shared" si="1"/>
        <v>3.7310517601765745</v>
      </c>
      <c r="K23" s="51">
        <f t="shared" si="2"/>
        <v>2.0003318710594415</v>
      </c>
      <c r="L23" s="55">
        <f t="shared" si="3"/>
        <v>9.9936570476897805E-3</v>
      </c>
      <c r="M23" s="51">
        <f t="shared" si="4"/>
        <v>1.9903382140117518</v>
      </c>
      <c r="N23" s="94">
        <f t="shared" si="8"/>
        <v>5383.3393852212994</v>
      </c>
      <c r="O23" s="56">
        <f t="shared" si="9"/>
        <v>100.07644533999395</v>
      </c>
      <c r="P23" s="57">
        <f t="shared" si="5"/>
        <v>97.799855701984612</v>
      </c>
      <c r="R23" s="47"/>
      <c r="S23" s="47"/>
      <c r="T23" s="47"/>
    </row>
    <row r="24" spans="1:20" ht="12.75" customHeight="1" x14ac:dyDescent="0.35">
      <c r="A24" s="49">
        <f>'New Vestas G20 120L'!P29</f>
        <v>2608.1309442341808</v>
      </c>
      <c r="B24" s="48">
        <f>'New Vestas G20 120L'!T29</f>
        <v>113.47837516972798</v>
      </c>
      <c r="C24" s="50">
        <f t="shared" si="0"/>
        <v>3.4163293918646169</v>
      </c>
      <c r="D24" s="50">
        <f t="shared" si="0"/>
        <v>2.0549131087604637</v>
      </c>
      <c r="E24" s="51">
        <f t="shared" si="6"/>
        <v>11.671306513718063</v>
      </c>
      <c r="F24" s="51">
        <f t="shared" si="6"/>
        <v>4.2226678845555936</v>
      </c>
      <c r="G24" s="52">
        <f t="shared" si="7"/>
        <v>7.0202600511862645</v>
      </c>
      <c r="H24" s="66" t="s">
        <v>78</v>
      </c>
      <c r="I24" s="71">
        <f>10^(MAX(C:C))</f>
        <v>6703.6297361842471</v>
      </c>
      <c r="J24" s="51">
        <f t="shared" si="1"/>
        <v>3.7259498694349418</v>
      </c>
      <c r="K24" s="51">
        <f t="shared" si="2"/>
        <v>2.0010371139394025</v>
      </c>
      <c r="L24" s="55">
        <f t="shared" si="3"/>
        <v>9.9206564293334056E-3</v>
      </c>
      <c r="M24" s="51">
        <f t="shared" si="4"/>
        <v>1.991116457510069</v>
      </c>
      <c r="N24" s="94">
        <f t="shared" si="8"/>
        <v>5320.4684161278274</v>
      </c>
      <c r="O24" s="56">
        <f t="shared" si="9"/>
        <v>100.23908967426115</v>
      </c>
      <c r="P24" s="57">
        <f t="shared" si="5"/>
        <v>97.975267412556136</v>
      </c>
      <c r="R24" s="47"/>
      <c r="S24" s="47"/>
      <c r="T24" s="47"/>
    </row>
    <row r="25" spans="1:20" ht="12.75" customHeight="1" thickBot="1" x14ac:dyDescent="0.4">
      <c r="A25" s="49">
        <f>'New Vestas G20 120L'!P30</f>
        <v>2868.9440386575989</v>
      </c>
      <c r="B25" s="48">
        <f>'New Vestas G20 120L'!T30</f>
        <v>107.47834070402855</v>
      </c>
      <c r="C25" s="50">
        <f t="shared" si="0"/>
        <v>3.4577220770228418</v>
      </c>
      <c r="D25" s="50">
        <f t="shared" si="0"/>
        <v>2.0313209529914356</v>
      </c>
      <c r="E25" s="51">
        <f t="shared" si="6"/>
        <v>11.955841961931155</v>
      </c>
      <c r="F25" s="51">
        <f t="shared" si="6"/>
        <v>4.1262648140620337</v>
      </c>
      <c r="G25" s="52">
        <f t="shared" si="7"/>
        <v>7.0237433046775655</v>
      </c>
      <c r="H25" s="72" t="s">
        <v>79</v>
      </c>
      <c r="I25" s="73">
        <f>10^(MIN(C:C))</f>
        <v>416.53282683686473</v>
      </c>
      <c r="J25" s="51">
        <f t="shared" si="1"/>
        <v>3.720787330871834</v>
      </c>
      <c r="K25" s="51">
        <f t="shared" si="2"/>
        <v>2.0017507402690389</v>
      </c>
      <c r="L25" s="55">
        <f t="shared" si="3"/>
        <v>9.8469409700241914E-3</v>
      </c>
      <c r="M25" s="51">
        <f t="shared" si="4"/>
        <v>1.9919037992990147</v>
      </c>
      <c r="N25" s="94">
        <f t="shared" si="8"/>
        <v>5257.5974470343563</v>
      </c>
      <c r="O25" s="56">
        <f t="shared" si="9"/>
        <v>100.40393647760443</v>
      </c>
      <c r="P25" s="57">
        <f t="shared" si="5"/>
        <v>98.153049982242109</v>
      </c>
      <c r="R25" s="47"/>
      <c r="S25" s="47"/>
      <c r="T25" s="47"/>
    </row>
    <row r="26" spans="1:20" ht="12.75" customHeight="1" x14ac:dyDescent="0.35">
      <c r="A26" s="49">
        <f>'New Vestas G20 120L'!P31</f>
        <v>1304.0654721170904</v>
      </c>
      <c r="B26" s="48">
        <f>'New Vestas G20 120L'!T31</f>
        <v>118.64312103662732</v>
      </c>
      <c r="C26" s="50">
        <f t="shared" si="0"/>
        <v>3.1152993962006357</v>
      </c>
      <c r="D26" s="50">
        <f t="shared" si="0"/>
        <v>2.0742425627603511</v>
      </c>
      <c r="E26" s="51">
        <f t="shared" si="6"/>
        <v>9.7050903279680458</v>
      </c>
      <c r="F26" s="51">
        <f t="shared" si="6"/>
        <v>4.3024822091666293</v>
      </c>
      <c r="G26" s="52">
        <f t="shared" si="7"/>
        <v>6.4618866033409814</v>
      </c>
      <c r="H26" s="63" t="s">
        <v>80</v>
      </c>
      <c r="I26" s="70"/>
      <c r="J26" s="51">
        <f t="shared" si="1"/>
        <v>3.7155626852429071</v>
      </c>
      <c r="K26" s="51">
        <f t="shared" si="2"/>
        <v>2.002472951762134</v>
      </c>
      <c r="L26" s="55">
        <f t="shared" si="3"/>
        <v>9.7724988658152313E-3</v>
      </c>
      <c r="M26" s="51">
        <f t="shared" si="4"/>
        <v>1.9927004528963188</v>
      </c>
      <c r="N26" s="94">
        <f t="shared" si="8"/>
        <v>5194.7264779408779</v>
      </c>
      <c r="O26" s="56">
        <f t="shared" si="9"/>
        <v>100.5710424531664</v>
      </c>
      <c r="P26" s="57">
        <f t="shared" si="5"/>
        <v>98.33326351372547</v>
      </c>
      <c r="R26" s="47" t="s">
        <v>81</v>
      </c>
      <c r="S26" s="47"/>
      <c r="T26" s="47"/>
    </row>
    <row r="27" spans="1:20" ht="12.75" customHeight="1" x14ac:dyDescent="0.35">
      <c r="A27" s="49">
        <f>'New Vestas G20 120L'!P32</f>
        <v>1564.8785665405082</v>
      </c>
      <c r="B27" s="48">
        <f>'New Vestas G20 120L'!T32</f>
        <v>115.05547298976759</v>
      </c>
      <c r="C27" s="50">
        <f t="shared" si="0"/>
        <v>3.1944806422482603</v>
      </c>
      <c r="D27" s="50">
        <f t="shared" si="0"/>
        <v>2.0609072821330621</v>
      </c>
      <c r="E27" s="51">
        <f t="shared" si="6"/>
        <v>10.204706573698857</v>
      </c>
      <c r="F27" s="51">
        <f t="shared" si="6"/>
        <v>4.2473388255490843</v>
      </c>
      <c r="G27" s="52">
        <f t="shared" si="7"/>
        <v>6.5835284182425404</v>
      </c>
      <c r="H27" s="53" t="str">
        <f>"m lower " &amp; TEXT(I18,"##%") &amp; " conf"</f>
        <v>m lower 95% conf</v>
      </c>
      <c r="I27" s="74">
        <f>-I13-I21</f>
        <v>0.1254096780144853</v>
      </c>
      <c r="J27" s="51">
        <f t="shared" si="1"/>
        <v>3.7102744199956308</v>
      </c>
      <c r="K27" s="51">
        <f t="shared" si="2"/>
        <v>2.0032039575013503</v>
      </c>
      <c r="L27" s="55">
        <f t="shared" si="3"/>
        <v>9.6973181616241948E-3</v>
      </c>
      <c r="M27" s="51">
        <f t="shared" si="4"/>
        <v>1.993506639339726</v>
      </c>
      <c r="N27" s="94">
        <f t="shared" si="8"/>
        <v>5131.8555088474031</v>
      </c>
      <c r="O27" s="56">
        <f t="shared" si="9"/>
        <v>100.74046647279258</v>
      </c>
      <c r="P27" s="57">
        <f t="shared" si="5"/>
        <v>98.515970346041442</v>
      </c>
      <c r="R27" s="47"/>
      <c r="S27" s="47"/>
      <c r="T27" s="47"/>
    </row>
    <row r="28" spans="1:20" ht="12.75" customHeight="1" x14ac:dyDescent="0.35">
      <c r="A28" s="49">
        <f>'New Vestas G20 120L'!P33</f>
        <v>2086.5047553873446</v>
      </c>
      <c r="B28" s="48">
        <f>'New Vestas G20 120L'!T33</f>
        <v>112.3464326278531</v>
      </c>
      <c r="C28" s="50">
        <f t="shared" si="0"/>
        <v>3.3194193788565602</v>
      </c>
      <c r="D28" s="50">
        <f t="shared" si="0"/>
        <v>2.0505592866827347</v>
      </c>
      <c r="E28" s="51">
        <f t="shared" si="6"/>
        <v>11.018545012728472</v>
      </c>
      <c r="F28" s="51">
        <f t="shared" si="6"/>
        <v>4.2047933882008053</v>
      </c>
      <c r="G28" s="52">
        <f t="shared" si="7"/>
        <v>6.8066662337089543</v>
      </c>
      <c r="H28" s="75" t="s">
        <v>82</v>
      </c>
      <c r="I28" s="76">
        <f>-I13</f>
        <v>0.13823167050722207</v>
      </c>
      <c r="J28" s="51">
        <f t="shared" si="1"/>
        <v>3.7049209666406839</v>
      </c>
      <c r="K28" s="51">
        <f t="shared" si="2"/>
        <v>2.003943974301587</v>
      </c>
      <c r="L28" s="55">
        <f t="shared" si="3"/>
        <v>9.621386762764441E-3</v>
      </c>
      <c r="M28" s="51">
        <f t="shared" si="4"/>
        <v>1.9943225875388226</v>
      </c>
      <c r="N28" s="94">
        <f t="shared" si="8"/>
        <v>5068.9845397539357</v>
      </c>
      <c r="O28" s="56">
        <f t="shared" si="9"/>
        <v>100.91226968775929</v>
      </c>
      <c r="P28" s="57">
        <f t="shared" si="5"/>
        <v>98.70123516408222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G20 120L'!P34</f>
        <v>2347.3178498107627</v>
      </c>
      <c r="B29" s="48">
        <f>'New Vestas G20 120L'!T34</f>
        <v>110.88208648627773</v>
      </c>
      <c r="C29" s="50">
        <f t="shared" si="0"/>
        <v>3.3705719013039417</v>
      </c>
      <c r="D29" s="50">
        <f t="shared" si="0"/>
        <v>2.0448613895346086</v>
      </c>
      <c r="E29" s="51">
        <f t="shared" si="6"/>
        <v>11.360754941859668</v>
      </c>
      <c r="F29" s="51">
        <f t="shared" si="6"/>
        <v>4.18145810240941</v>
      </c>
      <c r="G29" s="52">
        <f t="shared" si="7"/>
        <v>6.8923523416266859</v>
      </c>
      <c r="H29" s="77" t="str">
        <f>"m upper " &amp; TEXT(I18,"##%") &amp; " conf"</f>
        <v>m upper 95% conf</v>
      </c>
      <c r="I29" s="74">
        <f>-I13+I21</f>
        <v>0.15105366299995884</v>
      </c>
      <c r="J29" s="51">
        <f t="shared" si="1"/>
        <v>3.6995006979593108</v>
      </c>
      <c r="K29" s="51">
        <f t="shared" si="2"/>
        <v>2.0046932270960109</v>
      </c>
      <c r="L29" s="55">
        <f t="shared" si="3"/>
        <v>9.5446924487735101E-3</v>
      </c>
      <c r="M29" s="51">
        <f t="shared" si="4"/>
        <v>1.9951485346472375</v>
      </c>
      <c r="N29" s="94">
        <f t="shared" si="8"/>
        <v>5006.1135706604573</v>
      </c>
      <c r="O29" s="56">
        <f t="shared" si="9"/>
        <v>101.08651564660687</v>
      </c>
      <c r="P29" s="57">
        <f t="shared" si="5"/>
        <v>98.889125114719121</v>
      </c>
      <c r="R29" s="47"/>
      <c r="S29" s="47"/>
      <c r="T29" s="47"/>
    </row>
    <row r="30" spans="1:20" ht="12.75" customHeight="1" x14ac:dyDescent="0.35">
      <c r="A30" s="49">
        <f>'New Vestas G20 120L'!P35</f>
        <v>2608.1309442341808</v>
      </c>
      <c r="B30" s="48">
        <f>'New Vestas G20 120L'!T35</f>
        <v>110.63802879601515</v>
      </c>
      <c r="C30" s="50">
        <f t="shared" si="0"/>
        <v>3.4163293918646169</v>
      </c>
      <c r="D30" s="50">
        <f t="shared" si="0"/>
        <v>2.0439044294779753</v>
      </c>
      <c r="E30" s="51">
        <f t="shared" si="6"/>
        <v>11.671306513718063</v>
      </c>
      <c r="F30" s="51">
        <f t="shared" si="6"/>
        <v>4.1775453168396881</v>
      </c>
      <c r="G30" s="52">
        <f t="shared" si="7"/>
        <v>6.9826507765878887</v>
      </c>
      <c r="H30" s="77" t="str">
        <f>"C lower " &amp; TEXT(I18,"##%") &amp; " conf"</f>
        <v>C lower 95% conf</v>
      </c>
      <c r="I30" s="78">
        <f>10^(I14-I22)</f>
        <v>298.60210099800787</v>
      </c>
      <c r="J30" s="51">
        <f t="shared" si="1"/>
        <v>3.6940119250341912</v>
      </c>
      <c r="K30" s="51">
        <f t="shared" si="2"/>
        <v>2.0054519493464853</v>
      </c>
      <c r="L30" s="55">
        <f t="shared" si="3"/>
        <v>9.4672228898675832E-3</v>
      </c>
      <c r="M30" s="51">
        <f t="shared" si="4"/>
        <v>1.9959847264566177</v>
      </c>
      <c r="N30" s="94">
        <f t="shared" si="8"/>
        <v>4943.2426015669835</v>
      </c>
      <c r="O30" s="56">
        <f t="shared" si="9"/>
        <v>101.26327042063363</v>
      </c>
      <c r="P30" s="57">
        <f t="shared" si="5"/>
        <v>99.079709930016691</v>
      </c>
      <c r="R30" s="47"/>
      <c r="S30" s="47"/>
      <c r="T30" s="47"/>
    </row>
    <row r="31" spans="1:20" ht="12.75" customHeight="1" x14ac:dyDescent="0.35">
      <c r="A31" s="49">
        <f>'New Vestas G20 120L'!P36</f>
        <v>6703.6297361842389</v>
      </c>
      <c r="B31" s="48">
        <f>'New Vestas G20 120L'!T36</f>
        <v>101.0765920893912</v>
      </c>
      <c r="C31" s="50">
        <f t="shared" si="0"/>
        <v>3.8263100187527677</v>
      </c>
      <c r="D31" s="50">
        <f t="shared" si="0"/>
        <v>2.0046505907694194</v>
      </c>
      <c r="E31" s="51">
        <f t="shared" si="6"/>
        <v>14.640648359607805</v>
      </c>
      <c r="F31" s="51">
        <f t="shared" si="6"/>
        <v>4.0186239910721824</v>
      </c>
      <c r="G31" s="52">
        <f t="shared" si="7"/>
        <v>7.6704146395596844</v>
      </c>
      <c r="H31" s="75" t="s">
        <v>83</v>
      </c>
      <c r="I31" s="79">
        <f>10^I14</f>
        <v>328.15678531657102</v>
      </c>
      <c r="J31" s="51">
        <f t="shared" si="1"/>
        <v>3.6884528940902692</v>
      </c>
      <c r="K31" s="51">
        <f t="shared" si="2"/>
        <v>2.0062203834802648</v>
      </c>
      <c r="L31" s="55">
        <f t="shared" si="3"/>
        <v>9.388965666397164E-3</v>
      </c>
      <c r="M31" s="51">
        <f t="shared" si="4"/>
        <v>1.9968314178138675</v>
      </c>
      <c r="N31" s="94">
        <f t="shared" si="8"/>
        <v>4880.3716324735042</v>
      </c>
      <c r="O31" s="56">
        <f t="shared" si="9"/>
        <v>101.44260273764974</v>
      </c>
      <c r="P31" s="57">
        <f t="shared" si="5"/>
        <v>99.27306205804588</v>
      </c>
      <c r="R31" s="47"/>
      <c r="S31" s="47"/>
      <c r="T31" s="47"/>
    </row>
    <row r="32" spans="1:20" ht="12.75" customHeight="1" thickBot="1" x14ac:dyDescent="0.4">
      <c r="A32" s="49">
        <f>'New Vestas G20 120L'!P37</f>
        <v>5586.3581134868664</v>
      </c>
      <c r="B32" s="48">
        <f>'New Vestas G20 120L'!T37</f>
        <v>99.463772200994654</v>
      </c>
      <c r="C32" s="50">
        <f t="shared" si="0"/>
        <v>3.747128772705143</v>
      </c>
      <c r="D32" s="50">
        <f t="shared" si="0"/>
        <v>1.9976649259902204</v>
      </c>
      <c r="E32" s="51">
        <f t="shared" si="6"/>
        <v>14.040974039234751</v>
      </c>
      <c r="F32" s="51">
        <f t="shared" si="6"/>
        <v>3.9906651565315125</v>
      </c>
      <c r="G32" s="52">
        <f t="shared" si="7"/>
        <v>7.4855077224018451</v>
      </c>
      <c r="H32" s="61" t="str">
        <f>"C upper " &amp; TEXT(I18,"##%") &amp; " conf"</f>
        <v>C upper 95% conf</v>
      </c>
      <c r="I32" s="80">
        <f>10^(I14+I22)</f>
        <v>360.63669809886716</v>
      </c>
      <c r="J32" s="51">
        <f t="shared" si="1"/>
        <v>3.6828217831307635</v>
      </c>
      <c r="K32" s="51">
        <f t="shared" si="2"/>
        <v>2.006998781355009</v>
      </c>
      <c r="L32" s="55">
        <f t="shared" si="3"/>
        <v>9.3099082917332421E-3</v>
      </c>
      <c r="M32" s="51">
        <f t="shared" si="4"/>
        <v>1.9976888730632758</v>
      </c>
      <c r="N32" s="94">
        <f t="shared" si="8"/>
        <v>4817.5006633800385</v>
      </c>
      <c r="O32" s="56">
        <f t="shared" si="9"/>
        <v>101.6245841246526</v>
      </c>
      <c r="P32" s="57">
        <f t="shared" si="5"/>
        <v>99.469256801854186</v>
      </c>
      <c r="R32" s="47"/>
      <c r="S32" s="47"/>
      <c r="T32" s="47"/>
    </row>
    <row r="33" spans="1:20" ht="12.75" customHeight="1" x14ac:dyDescent="0.35">
      <c r="A33" s="49"/>
      <c r="B33" s="48"/>
      <c r="C33" s="50"/>
      <c r="D33" s="50"/>
      <c r="E33" s="51"/>
      <c r="F33" s="51"/>
      <c r="G33" s="52"/>
      <c r="H33" s="63" t="s">
        <v>84</v>
      </c>
      <c r="I33" s="81"/>
      <c r="J33" s="51">
        <f t="shared" si="1"/>
        <v>3.6771166983522012</v>
      </c>
      <c r="K33" s="51">
        <f t="shared" si="2"/>
        <v>2.0077874047543349</v>
      </c>
      <c r="L33" s="55">
        <f t="shared" si="3"/>
        <v>9.2300382390746068E-3</v>
      </c>
      <c r="M33" s="51">
        <f t="shared" si="4"/>
        <v>1.9985573665152603</v>
      </c>
      <c r="N33" s="94">
        <f t="shared" si="8"/>
        <v>4754.6296942865674</v>
      </c>
      <c r="O33" s="56">
        <f t="shared" si="9"/>
        <v>101.8092890601399</v>
      </c>
      <c r="P33" s="57">
        <f t="shared" si="5"/>
        <v>99.668372467184213</v>
      </c>
      <c r="R33" s="47"/>
      <c r="S33" s="47"/>
      <c r="T33" s="47"/>
    </row>
    <row r="34" spans="1:20" ht="12.75" customHeight="1" thickBot="1" x14ac:dyDescent="0.4">
      <c r="A34" s="49"/>
      <c r="B34" s="48"/>
      <c r="C34" s="50"/>
      <c r="D34" s="50"/>
      <c r="E34" s="51"/>
      <c r="F34" s="51"/>
      <c r="G34" s="52"/>
      <c r="H34" s="82" t="str">
        <f>"G20 Fit: S = " &amp; TEXT(I31,"0,00 E+00 ") &amp; " * N ^ -" &amp; TEXT(I28,"0,00")</f>
        <v>G20 Fit: S = 328 E+00  * N ^ -000</v>
      </c>
      <c r="I34" s="62"/>
      <c r="J34" s="51">
        <f t="shared" si="1"/>
        <v>3.6713356703208362</v>
      </c>
      <c r="K34" s="51">
        <f t="shared" si="2"/>
        <v>2.0085865259163596</v>
      </c>
      <c r="L34" s="55">
        <f t="shared" si="3"/>
        <v>9.149342972738627E-3</v>
      </c>
      <c r="M34" s="51">
        <f t="shared" si="4"/>
        <v>1.9994371829436208</v>
      </c>
      <c r="N34" s="94">
        <f t="shared" si="8"/>
        <v>4691.75872519309</v>
      </c>
      <c r="O34" s="56">
        <f t="shared" si="9"/>
        <v>101.99679513685243</v>
      </c>
      <c r="P34" s="57">
        <f t="shared" si="5"/>
        <v>99.87049051959535</v>
      </c>
      <c r="R34" s="47"/>
      <c r="S34" s="47"/>
      <c r="T34" s="47"/>
    </row>
    <row r="35" spans="1:20" ht="12.75" customHeight="1" thickBot="1" x14ac:dyDescent="0.4">
      <c r="A35" s="49"/>
      <c r="B35" s="48"/>
      <c r="C35" s="50"/>
      <c r="D35" s="50"/>
      <c r="E35" s="51"/>
      <c r="F35" s="51"/>
      <c r="G35" s="52"/>
      <c r="H35" s="82" t="str">
        <f>"G20 Fit: N = " &amp; TEXT((1/I31)^(-1/I28),"0,00 E+00 ") &amp; " * S ^ -" &amp; TEXT(1/I28,"0,00")</f>
        <v>G20 Fit: N = 159 E+16  * S ^ -007</v>
      </c>
      <c r="I35" s="84"/>
      <c r="J35" s="51">
        <f t="shared" si="1"/>
        <v>3.6654766498911315</v>
      </c>
      <c r="K35" s="51">
        <f t="shared" si="2"/>
        <v>2.0093964280978938</v>
      </c>
      <c r="L35" s="55">
        <f t="shared" si="3"/>
        <v>9.0678099845799172E-3</v>
      </c>
      <c r="M35" s="51">
        <f t="shared" si="4"/>
        <v>2.000328618113314</v>
      </c>
      <c r="N35" s="94">
        <f t="shared" si="8"/>
        <v>4628.8877560996152</v>
      </c>
      <c r="O35" s="56">
        <f t="shared" si="9"/>
        <v>102.18718323580761</v>
      </c>
      <c r="P35" s="57">
        <f t="shared" si="5"/>
        <v>100.07569575168534</v>
      </c>
      <c r="R35" s="47"/>
      <c r="S35" s="47"/>
      <c r="T35" s="47"/>
    </row>
    <row r="36" spans="1:20" ht="12.75" customHeight="1" x14ac:dyDescent="0.35">
      <c r="A36" s="49"/>
      <c r="B36" s="48"/>
      <c r="C36" s="50"/>
      <c r="D36" s="50"/>
      <c r="E36" s="51"/>
      <c r="F36" s="51"/>
      <c r="G36" s="52"/>
      <c r="H36" s="83"/>
      <c r="I36" s="83"/>
      <c r="J36" s="51">
        <f t="shared" si="1"/>
        <v>3.6595375038451343</v>
      </c>
      <c r="K36" s="51">
        <f t="shared" si="2"/>
        <v>2.010217406177218</v>
      </c>
      <c r="L36" s="55">
        <f t="shared" si="3"/>
        <v>8.9854268362761572E-3</v>
      </c>
      <c r="M36" s="51">
        <f t="shared" si="4"/>
        <v>2.0012319793409419</v>
      </c>
      <c r="N36" s="94">
        <f t="shared" si="8"/>
        <v>4566.0167870061423</v>
      </c>
      <c r="O36" s="56">
        <f t="shared" si="9"/>
        <v>102.38053771257538</v>
      </c>
      <c r="P36" s="57">
        <f t="shared" si="5"/>
        <v>100.28407646117599</v>
      </c>
      <c r="R36" s="47"/>
      <c r="S36" s="47"/>
      <c r="T36" s="47"/>
    </row>
    <row r="37" spans="1:20" ht="12.75" customHeight="1" x14ac:dyDescent="0.35">
      <c r="A37" s="49"/>
      <c r="B37" s="48"/>
      <c r="C37" s="50"/>
      <c r="D37" s="50"/>
      <c r="E37" s="51"/>
      <c r="F37" s="51"/>
      <c r="G37" s="52"/>
      <c r="H37" s="95">
        <f>1/I28</f>
        <v>7.2342321866663246</v>
      </c>
      <c r="I37" s="85">
        <f>I31-I30</f>
        <v>29.554684318563147</v>
      </c>
      <c r="J37" s="51">
        <f t="shared" si="1"/>
        <v>3.653516010229533</v>
      </c>
      <c r="K37" s="51">
        <f t="shared" si="2"/>
        <v>2.0110497672986511</v>
      </c>
      <c r="L37" s="55">
        <f t="shared" si="3"/>
        <v>8.9021812083306204E-3</v>
      </c>
      <c r="M37" s="51">
        <f t="shared" si="4"/>
        <v>2.0021475860903206</v>
      </c>
      <c r="N37" s="94">
        <f t="shared" si="8"/>
        <v>4503.1458179126694</v>
      </c>
      <c r="O37" s="56">
        <f t="shared" si="9"/>
        <v>102.57694659683841</v>
      </c>
      <c r="P37" s="57">
        <f t="shared" si="5"/>
        <v>100.49572464069011</v>
      </c>
      <c r="R37" s="47"/>
      <c r="S37" s="47"/>
      <c r="T37" s="47"/>
    </row>
    <row r="38" spans="1:20" ht="12.75" customHeight="1" x14ac:dyDescent="0.35">
      <c r="A38" s="49"/>
      <c r="B38" s="48"/>
      <c r="C38" s="50"/>
      <c r="D38" s="50"/>
      <c r="E38" s="51"/>
      <c r="F38" s="51"/>
      <c r="G38" s="52"/>
      <c r="H38" s="95">
        <f>((1/I27)-(1/I29))/2</f>
        <v>0.67685120157381595</v>
      </c>
      <c r="I38" s="85">
        <f>I32-I31</f>
        <v>32.47991278229614</v>
      </c>
      <c r="J38" s="51">
        <f t="shared" si="1"/>
        <v>3.6474098533648802</v>
      </c>
      <c r="K38" s="51">
        <f t="shared" si="2"/>
        <v>2.0118938315624311</v>
      </c>
      <c r="L38" s="55">
        <f t="shared" si="3"/>
        <v>8.8180609567678966E-3</v>
      </c>
      <c r="M38" s="51">
        <f t="shared" si="4"/>
        <v>2.0030757706056632</v>
      </c>
      <c r="N38" s="94">
        <f t="shared" si="8"/>
        <v>4440.2748488191964</v>
      </c>
      <c r="O38" s="56">
        <f t="shared" si="9"/>
        <v>102.77650180638308</v>
      </c>
      <c r="P38" s="57">
        <f t="shared" si="5"/>
        <v>100.71073618011208</v>
      </c>
      <c r="R38" s="47"/>
      <c r="S38" s="47"/>
      <c r="T38" s="47"/>
    </row>
    <row r="39" spans="1:20" ht="12.75" customHeight="1" x14ac:dyDescent="0.35">
      <c r="A39" s="49"/>
      <c r="B39" s="48"/>
      <c r="C39" s="50"/>
      <c r="D39" s="50"/>
      <c r="E39" s="51"/>
      <c r="F39" s="51"/>
      <c r="G39" s="52"/>
      <c r="H39" s="86"/>
      <c r="I39" s="86"/>
      <c r="J39" s="51">
        <f t="shared" si="1"/>
        <v>3.6412166184989365</v>
      </c>
      <c r="K39" s="51">
        <f t="shared" si="2"/>
        <v>2.0127499327637941</v>
      </c>
      <c r="L39" s="55">
        <f t="shared" si="3"/>
        <v>8.7330541786471549E-3</v>
      </c>
      <c r="M39" s="51">
        <f t="shared" si="4"/>
        <v>2.0040168785851469</v>
      </c>
      <c r="N39" s="94">
        <f t="shared" si="8"/>
        <v>4377.403879725719</v>
      </c>
      <c r="O39" s="56">
        <f t="shared" si="9"/>
        <v>102.97929937678816</v>
      </c>
      <c r="P39" s="57">
        <f t="shared" si="5"/>
        <v>100.929211082512</v>
      </c>
      <c r="R39" s="47"/>
      <c r="S39" s="47"/>
      <c r="T39" s="47"/>
    </row>
    <row r="40" spans="1:20" ht="12.75" customHeight="1" x14ac:dyDescent="0.35">
      <c r="A40" s="49"/>
      <c r="B40" s="48"/>
      <c r="C40" s="50"/>
      <c r="D40" s="50"/>
      <c r="E40" s="51"/>
      <c r="F40" s="51"/>
      <c r="G40" s="52"/>
      <c r="H40" s="86" t="b">
        <f>H37=H38</f>
        <v>0</v>
      </c>
      <c r="I40" s="86"/>
      <c r="J40" s="51">
        <f t="shared" si="1"/>
        <v>3.6349337860732365</v>
      </c>
      <c r="K40" s="51">
        <f t="shared" si="2"/>
        <v>2.0136184191855158</v>
      </c>
      <c r="L40" s="55">
        <f t="shared" si="3"/>
        <v>8.6471492876886401E-3</v>
      </c>
      <c r="M40" s="51">
        <f t="shared" si="4"/>
        <v>2.004971269897827</v>
      </c>
      <c r="N40" s="94">
        <f t="shared" si="8"/>
        <v>4314.5329106322433</v>
      </c>
      <c r="O40" s="56">
        <f t="shared" si="9"/>
        <v>103.18543970820427</v>
      </c>
      <c r="P40" s="57">
        <f t="shared" si="5"/>
        <v>101.15125369468623</v>
      </c>
      <c r="R40" s="47"/>
      <c r="S40" s="47"/>
      <c r="T40" s="47"/>
    </row>
    <row r="41" spans="1:20" ht="12.75" customHeight="1" x14ac:dyDescent="0.35">
      <c r="A41" s="49"/>
      <c r="B41" s="48"/>
      <c r="C41" s="50"/>
      <c r="D41" s="50"/>
      <c r="E41" s="51"/>
      <c r="F41" s="51"/>
      <c r="G41" s="52"/>
      <c r="H41" s="86"/>
      <c r="I41" s="86"/>
      <c r="J41" s="51">
        <f t="shared" si="1"/>
        <v>3.628558725568809</v>
      </c>
      <c r="K41" s="51">
        <f t="shared" si="2"/>
        <v>2.0144996544486276</v>
      </c>
      <c r="L41" s="55">
        <f t="shared" si="3"/>
        <v>8.560335101508363E-3</v>
      </c>
      <c r="M41" s="51">
        <f t="shared" si="4"/>
        <v>2.0059393193471191</v>
      </c>
      <c r="N41" s="94">
        <f t="shared" si="8"/>
        <v>4251.6619415387731</v>
      </c>
      <c r="O41" s="56">
        <f t="shared" si="9"/>
        <v>103.39502783076777</v>
      </c>
      <c r="P41" s="57">
        <f t="shared" si="5"/>
        <v>101.37697295346834</v>
      </c>
      <c r="R41" s="47"/>
      <c r="S41" s="47"/>
      <c r="T41" s="47"/>
    </row>
    <row r="42" spans="1:20" ht="12.75" customHeight="1" x14ac:dyDescent="0.35">
      <c r="A42" s="49"/>
      <c r="B42" s="48"/>
      <c r="C42" s="50"/>
      <c r="D42" s="50"/>
      <c r="E42" s="51"/>
      <c r="F42" s="51"/>
      <c r="G42" s="52"/>
      <c r="H42" s="86"/>
      <c r="I42" s="86"/>
      <c r="J42" s="51">
        <f t="shared" si="1"/>
        <v>3.6220886888934323</v>
      </c>
      <c r="K42" s="51">
        <f t="shared" si="2"/>
        <v>2.0153940184265076</v>
      </c>
      <c r="L42" s="55">
        <f t="shared" si="3"/>
        <v>8.472600942188057E-3</v>
      </c>
      <c r="M42" s="51">
        <f t="shared" si="4"/>
        <v>2.0069214174843193</v>
      </c>
      <c r="N42" s="94">
        <f t="shared" si="8"/>
        <v>4188.7909724452948</v>
      </c>
      <c r="O42" s="56">
        <f t="shared" si="9"/>
        <v>103.60817369035372</v>
      </c>
      <c r="P42" s="57">
        <f t="shared" si="5"/>
        <v>101.60648264905987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3.6155208032688155</v>
      </c>
      <c r="K43" s="51">
        <f t="shared" si="2"/>
        <v>2.0163019082280988</v>
      </c>
      <c r="L43" s="55">
        <f t="shared" si="3"/>
        <v>8.3839367521777765E-3</v>
      </c>
      <c r="M43" s="51">
        <f t="shared" si="4"/>
        <v>2.007917971475921</v>
      </c>
      <c r="N43" s="94">
        <f t="shared" si="8"/>
        <v>4125.9200033518209</v>
      </c>
      <c r="O43" s="56">
        <f t="shared" si="9"/>
        <v>103.82499245655877</v>
      </c>
      <c r="P43" s="57">
        <f t="shared" si="5"/>
        <v>101.83990170674237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/>
      <c r="I44" s="86"/>
      <c r="J44" s="51">
        <f t="shared" si="1"/>
        <v>3.6088520635716304</v>
      </c>
      <c r="K44" s="51">
        <f t="shared" si="2"/>
        <v>2.0172237392566186</v>
      </c>
      <c r="L44" s="55">
        <f t="shared" si="3"/>
        <v>8.2943332278442028E-3</v>
      </c>
      <c r="M44" s="51">
        <f t="shared" si="4"/>
        <v>2.0089294060287743</v>
      </c>
      <c r="N44" s="94">
        <f t="shared" si="8"/>
        <v>4063.0490342583453</v>
      </c>
      <c r="O44" s="56">
        <f t="shared" si="9"/>
        <v>104.04560485501085</v>
      </c>
      <c r="P44" s="57">
        <f t="shared" si="5"/>
        <v>102.07735448845087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/>
      <c r="I45" s="86"/>
      <c r="J45" s="51">
        <f t="shared" si="1"/>
        <v>3.6020793240772853</v>
      </c>
      <c r="K45" s="51">
        <f t="shared" si="2"/>
        <v>2.0181599463508322</v>
      </c>
      <c r="L45" s="55">
        <f t="shared" si="3"/>
        <v>8.2037819733464488E-3</v>
      </c>
      <c r="M45" s="51">
        <f t="shared" si="4"/>
        <v>2.0099561643774857</v>
      </c>
      <c r="N45" s="94">
        <f t="shared" si="8"/>
        <v>4000.1780651648774</v>
      </c>
      <c r="O45" s="56">
        <f t="shared" si="9"/>
        <v>104.27013752633862</v>
      </c>
      <c r="P45" s="57">
        <f t="shared" si="5"/>
        <v>102.3189711158231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3.5951992895496625</v>
      </c>
      <c r="K46" s="51">
        <f t="shared" si="2"/>
        <v>2.0191109850167326</v>
      </c>
      <c r="L46" s="55">
        <f t="shared" si="3"/>
        <v>8.1122756779524255E-3</v>
      </c>
      <c r="M46" s="51">
        <f t="shared" si="4"/>
        <v>2.01099870933878</v>
      </c>
      <c r="N46" s="94">
        <f t="shared" si="8"/>
        <v>3937.3070960714031</v>
      </c>
      <c r="O46" s="56">
        <f t="shared" si="9"/>
        <v>104.49872341439455</v>
      </c>
      <c r="P46" s="57">
        <f t="shared" si="5"/>
        <v>102.56488781647884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3.5882085056136459</v>
      </c>
      <c r="K47" s="51">
        <f t="shared" si="2"/>
        <v>2.0200773327583632</v>
      </c>
      <c r="L47" s="55">
        <f t="shared" si="3"/>
        <v>8.0198083204141533E-3</v>
      </c>
      <c r="M47" s="51">
        <f t="shared" si="4"/>
        <v>2.0120575244379491</v>
      </c>
      <c r="N47" s="94">
        <f t="shared" si="8"/>
        <v>3874.4361269779279</v>
      </c>
      <c r="O47" s="56">
        <f t="shared" si="9"/>
        <v>104.73150218662704</v>
      </c>
      <c r="P47" s="57">
        <f t="shared" si="5"/>
        <v>102.81524729544314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3.5811033483400259</v>
      </c>
      <c r="K48" s="51">
        <f t="shared" si="2"/>
        <v>2.0210594905175125</v>
      </c>
      <c r="L48" s="55">
        <f t="shared" si="3"/>
        <v>7.9263754046124957E-3</v>
      </c>
      <c r="M48" s="51">
        <f t="shared" si="4"/>
        <v>2.0131331151128999</v>
      </c>
      <c r="N48" s="94">
        <f t="shared" si="8"/>
        <v>3811.5651578844513</v>
      </c>
      <c r="O48" s="56">
        <f t="shared" si="9"/>
        <v>104.96862068983222</v>
      </c>
      <c r="P48" s="57">
        <f t="shared" si="5"/>
        <v>103.07019913379563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3.5738800129641719</v>
      </c>
      <c r="K49" s="51">
        <f t="shared" si="2"/>
        <v>2.0220579842331508</v>
      </c>
      <c r="L49" s="55">
        <f t="shared" si="3"/>
        <v>7.8319742313766923E-3</v>
      </c>
      <c r="M49" s="51">
        <f t="shared" si="4"/>
        <v>2.0142260100017739</v>
      </c>
      <c r="N49" s="94">
        <f t="shared" si="8"/>
        <v>3748.6941887909838</v>
      </c>
      <c r="O49" s="56">
        <f t="shared" si="9"/>
        <v>105.21023344490415</v>
      </c>
      <c r="P49" s="57">
        <f t="shared" si="5"/>
        <v>103.32990021681911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3.5665345016505543</v>
      </c>
      <c r="K50" s="51">
        <f t="shared" si="2"/>
        <v>2.0230733665327616</v>
      </c>
      <c r="L50" s="55">
        <f t="shared" si="3"/>
        <v>7.7366042122003079E-3</v>
      </c>
      <c r="M50" s="51">
        <f t="shared" si="4"/>
        <v>2.0153367623205614</v>
      </c>
      <c r="N50" s="94">
        <f t="shared" si="8"/>
        <v>3685.8232196975046</v>
      </c>
      <c r="O50" s="56">
        <f t="shared" si="9"/>
        <v>105.45650318463655</v>
      </c>
      <c r="P50" s="57">
        <f t="shared" si="5"/>
        <v>103.59451519412099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3.5590626102046059</v>
      </c>
      <c r="K51" s="51">
        <f t="shared" si="2"/>
        <v>2.0241062185691838</v>
      </c>
      <c r="L51" s="55">
        <f t="shared" si="3"/>
        <v>7.6402672315342129E-3</v>
      </c>
      <c r="M51" s="51">
        <f t="shared" si="4"/>
        <v>2.0164659513376497</v>
      </c>
      <c r="N51" s="94">
        <f t="shared" si="8"/>
        <v>3622.9522506040294</v>
      </c>
      <c r="O51" s="56">
        <f t="shared" si="9"/>
        <v>105.70760143912764</v>
      </c>
      <c r="P51" s="57">
        <f t="shared" si="5"/>
        <v>103.86421697442606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3.5514599136213407</v>
      </c>
      <c r="K52" s="51">
        <f t="shared" si="2"/>
        <v>2.0251571520182479</v>
      </c>
      <c r="L52" s="55">
        <f t="shared" si="3"/>
        <v>7.5429680654649526E-3</v>
      </c>
      <c r="M52" s="51">
        <f t="shared" si="4"/>
        <v>2.0176141839527828</v>
      </c>
      <c r="N52" s="94">
        <f t="shared" si="8"/>
        <v>3560.0812815105596</v>
      </c>
      <c r="O52" s="56">
        <f t="shared" si="9"/>
        <v>105.96370917391121</v>
      </c>
      <c r="P52" s="57">
        <f t="shared" si="5"/>
        <v>104.13918725798244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3.5437217503463532</v>
      </c>
      <c r="K53" s="51">
        <f t="shared" si="2"/>
        <v>2.0262268112544071</v>
      </c>
      <c r="L53" s="55">
        <f t="shared" si="3"/>
        <v>7.4447148659133461E-3</v>
      </c>
      <c r="M53" s="51">
        <f t="shared" si="4"/>
        <v>2.0187820963884939</v>
      </c>
      <c r="N53" s="94">
        <f t="shared" si="8"/>
        <v>3497.2103124170853</v>
      </c>
      <c r="O53" s="56">
        <f t="shared" si="9"/>
        <v>106.22501748658915</v>
      </c>
      <c r="P53" s="57">
        <f t="shared" si="5"/>
        <v>104.4196171097922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3.5358432051090256</v>
      </c>
      <c r="K54" s="51">
        <f t="shared" si="2"/>
        <v>2.0273158757237297</v>
      </c>
      <c r="L54" s="55">
        <f t="shared" si="3"/>
        <v>7.3455197210481578E-3</v>
      </c>
      <c r="M54" s="51">
        <f t="shared" si="4"/>
        <v>2.0199703560026814</v>
      </c>
      <c r="N54" s="94">
        <f t="shared" si="8"/>
        <v>3434.3393433236092</v>
      </c>
      <c r="O54" s="56">
        <f t="shared" si="9"/>
        <v>106.49172836848574</v>
      </c>
      <c r="P54" s="57">
        <f t="shared" si="5"/>
        <v>104.70570757716284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3.527819090169634</v>
      </c>
      <c r="K55" s="51">
        <f t="shared" si="2"/>
        <v>2.0284250625361437</v>
      </c>
      <c r="L55" s="55">
        <f t="shared" si="3"/>
        <v>7.245399304443954E-3</v>
      </c>
      <c r="M55" s="51">
        <f t="shared" si="4"/>
        <v>2.0211796632316998</v>
      </c>
      <c r="N55" s="94">
        <f t="shared" si="8"/>
        <v>3371.4683742301345</v>
      </c>
      <c r="O55" s="56">
        <f t="shared" si="9"/>
        <v>106.76405553871226</v>
      </c>
      <c r="P55" s="57">
        <f t="shared" si="5"/>
        <v>104.99767035540839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3.5196439248011835</v>
      </c>
      <c r="K56" s="51">
        <f t="shared" si="2"/>
        <v>2.0295551293016976</v>
      </c>
      <c r="L56" s="55">
        <f t="shared" si="3"/>
        <v>7.14437562766739E-3</v>
      </c>
      <c r="M56" s="51">
        <f t="shared" si="4"/>
        <v>2.0224107536740301</v>
      </c>
      <c r="N56" s="94">
        <f t="shared" si="8"/>
        <v>3308.5974051366625</v>
      </c>
      <c r="O56" s="56">
        <f t="shared" si="9"/>
        <v>107.04222535901842</v>
      </c>
      <c r="P56" s="57">
        <f t="shared" si="5"/>
        <v>105.29572850587135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3.5113119128027361</v>
      </c>
      <c r="K57" s="51">
        <f t="shared" si="2"/>
        <v>2.030706877238929</v>
      </c>
      <c r="L57" s="55">
        <f t="shared" si="3"/>
        <v>7.0424769135048922E-3</v>
      </c>
      <c r="M57" s="51">
        <f t="shared" si="4"/>
        <v>2.0236644003254241</v>
      </c>
      <c r="N57" s="94">
        <f t="shared" si="8"/>
        <v>3245.72643604319</v>
      </c>
      <c r="O57" s="56">
        <f t="shared" si="9"/>
        <v>107.32647783895811</v>
      </c>
      <c r="P57" s="57">
        <f t="shared" si="5"/>
        <v>105.60011723083802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3.5028169178131621</v>
      </c>
      <c r="K58" s="51">
        <f t="shared" si="2"/>
        <v>2.0318811545872886</v>
      </c>
      <c r="L58" s="55">
        <f t="shared" si="3"/>
        <v>6.9397386100060153E-3</v>
      </c>
      <c r="M58" s="51">
        <f t="shared" si="4"/>
        <v>2.0249414159772825</v>
      </c>
      <c r="N58" s="94">
        <f t="shared" si="8"/>
        <v>3182.8554669497153</v>
      </c>
      <c r="O58" s="56">
        <f t="shared" si="9"/>
        <v>107.61706774223154</v>
      </c>
      <c r="P58" s="57">
        <f t="shared" si="5"/>
        <v>105.91108471035284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3.4941524361619622</v>
      </c>
      <c r="K59" s="51">
        <f t="shared" si="2"/>
        <v>2.0330788603600127</v>
      </c>
      <c r="L59" s="55">
        <f t="shared" si="3"/>
        <v>6.836204568974962E-3</v>
      </c>
      <c r="M59" s="51">
        <f t="shared" si="4"/>
        <v>2.0262426557910378</v>
      </c>
      <c r="N59" s="94">
        <f t="shared" si="8"/>
        <v>3119.9844978562392</v>
      </c>
      <c r="O59" s="56">
        <f t="shared" si="9"/>
        <v>107.91426580661035</v>
      </c>
      <c r="P59" s="57">
        <f t="shared" si="5"/>
        <v>106.22889300643456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3.4853115669562826</v>
      </c>
      <c r="K60" s="51">
        <f t="shared" si="2"/>
        <v>2.03430094847905</v>
      </c>
      <c r="L60" s="55">
        <f t="shared" si="3"/>
        <v>6.7319284165656698E-3</v>
      </c>
      <c r="M60" s="51">
        <f t="shared" si="4"/>
        <v>2.0275690200624843</v>
      </c>
      <c r="N60" s="94">
        <f t="shared" si="8"/>
        <v>3057.1135287627662</v>
      </c>
      <c r="O60" s="56">
        <f t="shared" si="9"/>
        <v>108.21836009166429</v>
      </c>
      <c r="P60" s="57">
        <f t="shared" si="5"/>
        <v>106.55381904076442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3.4762869790594615</v>
      </c>
      <c r="K61" s="51">
        <f t="shared" si="2"/>
        <v>2.0355484323396666</v>
      </c>
      <c r="L61" s="55">
        <f t="shared" si="3"/>
        <v>6.6269751482906872E-3</v>
      </c>
      <c r="M61" s="51">
        <f t="shared" si="4"/>
        <v>2.0289214571913758</v>
      </c>
      <c r="N61" s="94">
        <f t="shared" si="8"/>
        <v>2994.2425596692938</v>
      </c>
      <c r="O61" s="56">
        <f t="shared" si="9"/>
        <v>108.52965747061289</v>
      </c>
      <c r="P61" s="57">
        <f t="shared" si="5"/>
        <v>106.88615565257247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3.4670708745652359</v>
      </c>
      <c r="K62" s="51">
        <f t="shared" si="2"/>
        <v>2.0368223898594726</v>
      </c>
      <c r="L62" s="55">
        <f t="shared" si="3"/>
        <v>6.5214229861017287E-3</v>
      </c>
      <c r="M62" s="51">
        <f t="shared" si="4"/>
        <v>2.0303009668733707</v>
      </c>
      <c r="N62" s="94">
        <f t="shared" si="8"/>
        <v>2931.3715905758195</v>
      </c>
      <c r="O62" s="56">
        <f t="shared" si="9"/>
        <v>108.84848528511078</v>
      </c>
      <c r="P62" s="57">
        <f t="shared" si="5"/>
        <v>107.22621274424101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3.4576549483116525</v>
      </c>
      <c r="K63" s="51">
        <f t="shared" si="2"/>
        <v>2.0381239690748783</v>
      </c>
      <c r="L63" s="55">
        <f t="shared" si="3"/>
        <v>6.4153655412843257E-3</v>
      </c>
      <c r="M63" s="51">
        <f t="shared" si="4"/>
        <v>2.0317086035335938</v>
      </c>
      <c r="N63" s="94">
        <f t="shared" si="8"/>
        <v>2868.500621482347</v>
      </c>
      <c r="O63" s="56">
        <f t="shared" si="9"/>
        <v>109.17519318468364</v>
      </c>
      <c r="P63" s="57">
        <f t="shared" si="5"/>
        <v>107.57431852309006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3.4480303429079515</v>
      </c>
      <c r="K64" s="51">
        <f t="shared" si="2"/>
        <v>2.0394543943578047</v>
      </c>
      <c r="L64" s="55">
        <f t="shared" si="3"/>
        <v>6.3089143337400639E-3</v>
      </c>
      <c r="M64" s="51">
        <f t="shared" si="4"/>
        <v>2.0331454800240647</v>
      </c>
      <c r="N64" s="94">
        <f t="shared" si="8"/>
        <v>2805.6296523888714</v>
      </c>
      <c r="O64" s="56">
        <f t="shared" si="9"/>
        <v>109.51015517597854</v>
      </c>
      <c r="P64" s="57">
        <f t="shared" si="5"/>
        <v>107.93082084901971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3.4381875986641375</v>
      </c>
      <c r="K65" s="51">
        <f t="shared" si="2"/>
        <v>2.0408149733370022</v>
      </c>
      <c r="L65" s="55">
        <f t="shared" si="3"/>
        <v>6.202201725760928E-3</v>
      </c>
      <c r="M65" s="51">
        <f t="shared" si="4"/>
        <v>2.0346127716112412</v>
      </c>
      <c r="N65" s="94">
        <f t="shared" si="8"/>
        <v>2742.7586832954003</v>
      </c>
      <c r="O65" s="56">
        <f t="shared" si="9"/>
        <v>109.85377191106869</v>
      </c>
      <c r="P65" s="57">
        <f t="shared" si="5"/>
        <v>108.29608869920996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3.4281165977138253</v>
      </c>
      <c r="K66" s="51">
        <f t="shared" ref="K66:K129" si="11">+$I$14+$I$13*J66</f>
        <v>2.0422071046220438</v>
      </c>
      <c r="L66" s="55">
        <f t="shared" ref="L66:L129" si="12">SQRT(2*$I$20*$I$17)*SQRT((1/$I$2)+((J66-$I$11)^2/$I$8))</f>
        <v>6.0953843364861685E-3</v>
      </c>
      <c r="M66" s="51">
        <f t="shared" ref="M66:M102" si="13">+$I$14+$I$13*J66-L66</f>
        <v>2.0361117202855574</v>
      </c>
      <c r="N66" s="94">
        <f t="shared" si="8"/>
        <v>2679.8877142019232</v>
      </c>
      <c r="O66" s="56">
        <f t="shared" si="9"/>
        <v>110.20647324890082</v>
      </c>
      <c r="P66" s="57">
        <f t="shared" ref="P66:P102" si="14">10^M66</f>
        <v>108.67051376311484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3.417806501503057</v>
      </c>
      <c r="K67" s="51">
        <f t="shared" si="11"/>
        <v>2.0436322864443488</v>
      </c>
      <c r="L67" s="55">
        <f t="shared" si="12"/>
        <v>5.9886470115814482E-3</v>
      </c>
      <c r="M67" s="51">
        <f t="shared" si="13"/>
        <v>2.0376436394327673</v>
      </c>
      <c r="N67" s="94">
        <f t="shared" ref="N67:N101" si="15">10^$J67</f>
        <v>2617.0167451084494</v>
      </c>
      <c r="O67" s="56">
        <f t="shared" ref="O67:O102" si="16">10^K67</f>
        <v>110.56872112976326</v>
      </c>
      <c r="P67" s="57">
        <f t="shared" si="14"/>
        <v>109.05451218370349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3.4072456806768816</v>
      </c>
      <c r="K68" s="51">
        <f t="shared" si="11"/>
        <v>2.0450921263490782</v>
      </c>
      <c r="L68" s="55">
        <f t="shared" si="12"/>
        <v>5.8822074307712871E-3</v>
      </c>
      <c r="M68" s="51">
        <f t="shared" si="13"/>
        <v>2.0392099189183068</v>
      </c>
      <c r="N68" s="94">
        <f t="shared" si="15"/>
        <v>2554.1457760149774</v>
      </c>
      <c r="O68" s="56">
        <f t="shared" si="16"/>
        <v>110.94101280958608</v>
      </c>
      <c r="P68" s="57">
        <f t="shared" si="14"/>
        <v>109.44852646465132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3.3964216362265498</v>
      </c>
      <c r="K69" s="51">
        <f t="shared" si="11"/>
        <v>2.046588352095092</v>
      </c>
      <c r="L69" s="55">
        <f t="shared" si="12"/>
        <v>5.7763214428379495E-3</v>
      </c>
      <c r="M69" s="51">
        <f t="shared" si="13"/>
        <v>2.0408120306522539</v>
      </c>
      <c r="N69" s="94">
        <f t="shared" si="15"/>
        <v>2491.2748069215022</v>
      </c>
      <c r="O69" s="56">
        <f t="shared" si="16"/>
        <v>111.32388450923304</v>
      </c>
      <c r="P69" s="57">
        <f t="shared" si="14"/>
        <v>109.85302756837626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3.3853209105566262</v>
      </c>
      <c r="K70" s="51">
        <f t="shared" si="11"/>
        <v>2.048122823948288</v>
      </c>
      <c r="L70" s="55">
        <f t="shared" si="12"/>
        <v>5.6712892222437142E-3</v>
      </c>
      <c r="M70" s="51">
        <f t="shared" si="13"/>
        <v>2.0424515347260441</v>
      </c>
      <c r="N70" s="94">
        <f t="shared" si="15"/>
        <v>2428.4038378280288</v>
      </c>
      <c r="O70" s="56">
        <f t="shared" si="16"/>
        <v>111.71791554402391</v>
      </c>
      <c r="P70" s="57">
        <f t="shared" si="14"/>
        <v>110.26851723711279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3.3739289868850579</v>
      </c>
      <c r="K71" s="51">
        <f t="shared" si="11"/>
        <v>2.0496975485876998</v>
      </c>
      <c r="L71" s="55">
        <f t="shared" si="12"/>
        <v>5.5674623416555324E-3</v>
      </c>
      <c r="M71" s="51">
        <f t="shared" si="13"/>
        <v>2.0441300862460441</v>
      </c>
      <c r="N71" s="94">
        <f t="shared" si="15"/>
        <v>2365.5328687345559</v>
      </c>
      <c r="O71" s="56">
        <f t="shared" si="16"/>
        <v>112.12373301097443</v>
      </c>
      <c r="P71" s="57">
        <f t="shared" si="14"/>
        <v>110.69553057951849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3.3622301750898944</v>
      </c>
      <c r="K72" s="51">
        <f t="shared" si="11"/>
        <v>2.0513146948850949</v>
      </c>
      <c r="L72" s="55">
        <f t="shared" si="12"/>
        <v>5.4652518474938129E-3</v>
      </c>
      <c r="M72" s="51">
        <f t="shared" si="13"/>
        <v>2.0458494430376009</v>
      </c>
      <c r="N72" s="94">
        <f t="shared" si="15"/>
        <v>2302.6618996410812</v>
      </c>
      <c r="O72" s="56">
        <f t="shared" si="16"/>
        <v>112.5420171261691</v>
      </c>
      <c r="P72" s="57">
        <f t="shared" si="14"/>
        <v>111.13463897985264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3.3502074817506555</v>
      </c>
      <c r="K73" s="51">
        <f t="shared" si="11"/>
        <v>2.052976611869374</v>
      </c>
      <c r="L73" s="55">
        <f t="shared" si="12"/>
        <v>5.3651374072282137E-3</v>
      </c>
      <c r="M73" s="51">
        <f t="shared" si="13"/>
        <v>2.0476114744621459</v>
      </c>
      <c r="N73" s="94">
        <f t="shared" si="15"/>
        <v>2239.7909305476073</v>
      </c>
      <c r="O73" s="56">
        <f t="shared" si="16"/>
        <v>112.97350732298511</v>
      </c>
      <c r="P73" s="57">
        <f t="shared" si="14"/>
        <v>111.58645340729069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3.3378424616833469</v>
      </c>
      <c r="K74" s="51">
        <f t="shared" si="11"/>
        <v>2.0546858492491333</v>
      </c>
      <c r="L74" s="55">
        <f t="shared" si="12"/>
        <v>5.2676775622426337E-3</v>
      </c>
      <c r="M74" s="51">
        <f t="shared" si="13"/>
        <v>2.0494181716868907</v>
      </c>
      <c r="N74" s="94">
        <f t="shared" si="15"/>
        <v>2176.9199614541335</v>
      </c>
      <c r="O74" s="56">
        <f t="shared" si="16"/>
        <v>113.41900924444451</v>
      </c>
      <c r="P74" s="57">
        <f t="shared" si="14"/>
        <v>112.0516282317156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3.3251150477137643</v>
      </c>
      <c r="K75" s="51">
        <f t="shared" si="11"/>
        <v>2.0564451809433857</v>
      </c>
      <c r="L75" s="55">
        <f t="shared" si="12"/>
        <v>5.1735210620790263E-3</v>
      </c>
      <c r="M75" s="51">
        <f t="shared" si="13"/>
        <v>2.0512716598813068</v>
      </c>
      <c r="N75" s="94">
        <f t="shared" si="15"/>
        <v>2114.0489923606597</v>
      </c>
      <c r="O75" s="56">
        <f t="shared" si="16"/>
        <v>113.87940279091363</v>
      </c>
      <c r="P75" s="57">
        <f t="shared" si="14"/>
        <v>112.53086569233743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3.3120033547454502</v>
      </c>
      <c r="K76" s="51">
        <f t="shared" si="11"/>
        <v>2.0582576321655734</v>
      </c>
      <c r="L76" s="55">
        <f t="shared" si="12"/>
        <v>5.0834191670716435E-3</v>
      </c>
      <c r="M76" s="51">
        <f t="shared" si="13"/>
        <v>2.0531742129985018</v>
      </c>
      <c r="N76" s="94">
        <f t="shared" si="15"/>
        <v>2051.1780232671863</v>
      </c>
      <c r="O76" s="56">
        <f t="shared" si="16"/>
        <v>114.35565141920637</v>
      </c>
      <c r="P76" s="57">
        <f t="shared" si="14"/>
        <v>113.0249212204116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3.2984834533188354</v>
      </c>
      <c r="K77" s="51">
        <f t="shared" si="11"/>
        <v>2.0601265107248672</v>
      </c>
      <c r="L77" s="55">
        <f t="shared" si="12"/>
        <v>4.9982386789866554E-3</v>
      </c>
      <c r="M77" s="51">
        <f t="shared" si="13"/>
        <v>2.0551282720458803</v>
      </c>
      <c r="N77" s="94">
        <f t="shared" si="15"/>
        <v>1988.3070541737127</v>
      </c>
      <c r="O77" s="56">
        <f t="shared" si="16"/>
        <v>114.84881293282162</v>
      </c>
      <c r="P77" s="57">
        <f t="shared" si="14"/>
        <v>113.53460989148282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3.2845291067771494</v>
      </c>
      <c r="K78" s="51">
        <f t="shared" si="11"/>
        <v>2.0620554433581613</v>
      </c>
      <c r="L78" s="55">
        <f t="shared" si="12"/>
        <v>4.9189752873440972E-3</v>
      </c>
      <c r="M78" s="51">
        <f t="shared" si="13"/>
        <v>2.0571364680708171</v>
      </c>
      <c r="N78" s="94">
        <f t="shared" si="15"/>
        <v>1925.4360850802384</v>
      </c>
      <c r="O78" s="56">
        <f t="shared" si="16"/>
        <v>115.36005205818341</v>
      </c>
      <c r="P78" s="57">
        <f t="shared" si="14"/>
        <v>114.06081438057342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3.2701114647864498</v>
      </c>
      <c r="K79" s="51">
        <f t="shared" si="11"/>
        <v>2.0640484180953109</v>
      </c>
      <c r="L79" s="55">
        <f t="shared" si="12"/>
        <v>4.8467666021625531E-3</v>
      </c>
      <c r="M79" s="51">
        <f t="shared" si="13"/>
        <v>2.0592016514931482</v>
      </c>
      <c r="N79" s="94">
        <f t="shared" si="15"/>
        <v>1862.5651159867634</v>
      </c>
      <c r="O79" s="56">
        <f t="shared" si="16"/>
        <v>115.89065517181744</v>
      </c>
      <c r="P79" s="57">
        <f t="shared" si="14"/>
        <v>114.60449491974607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3.2551987042127766</v>
      </c>
      <c r="K80" s="51">
        <f t="shared" si="11"/>
        <v>2.066109833901284</v>
      </c>
      <c r="L80" s="55">
        <f t="shared" si="12"/>
        <v>4.782903992628343E-3</v>
      </c>
      <c r="M80" s="51">
        <f t="shared" si="13"/>
        <v>2.0613269299086556</v>
      </c>
      <c r="N80" s="94">
        <f t="shared" si="15"/>
        <v>1799.6941468932903</v>
      </c>
      <c r="O80" s="56">
        <f t="shared" si="16"/>
        <v>116.44204763311193</v>
      </c>
      <c r="P80" s="57">
        <f t="shared" si="14"/>
        <v>115.16670191403364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3.2397556061185178</v>
      </c>
      <c r="K81" s="51">
        <f t="shared" si="11"/>
        <v>2.0682445591486602</v>
      </c>
      <c r="L81" s="55">
        <f t="shared" si="12"/>
        <v>4.7288420951580763E-3</v>
      </c>
      <c r="M81" s="51">
        <f t="shared" si="13"/>
        <v>2.0635157170535021</v>
      </c>
      <c r="N81" s="94">
        <f t="shared" si="15"/>
        <v>1736.8231777998162</v>
      </c>
      <c r="O81" s="56">
        <f t="shared" si="16"/>
        <v>117.01581429305935</v>
      </c>
      <c r="P81" s="57">
        <f t="shared" si="14"/>
        <v>115.7485920579695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3.2237430547376471</v>
      </c>
      <c r="K82" s="51">
        <f t="shared" si="11"/>
        <v>2.0704580008751208</v>
      </c>
      <c r="L82" s="55">
        <f t="shared" si="12"/>
        <v>4.6862046501917817E-3</v>
      </c>
      <c r="M82" s="51">
        <f t="shared" si="13"/>
        <v>2.0657717962249289</v>
      </c>
      <c r="N82" s="94">
        <f t="shared" si="15"/>
        <v>1673.9522087063433</v>
      </c>
      <c r="O82" s="56">
        <f t="shared" si="16"/>
        <v>117.61372389996976</v>
      </c>
      <c r="P82" s="57">
        <f t="shared" si="14"/>
        <v>116.35144900478468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3.207117440497437</v>
      </c>
      <c r="K83" s="51">
        <f t="shared" si="11"/>
        <v>2.0727561873047535</v>
      </c>
      <c r="L83" s="55">
        <f t="shared" si="12"/>
        <v>4.6567852643890698E-3</v>
      </c>
      <c r="M83" s="51">
        <f t="shared" si="13"/>
        <v>2.0680994020403642</v>
      </c>
      <c r="N83" s="94">
        <f t="shared" si="15"/>
        <v>1611.0812396128676</v>
      </c>
      <c r="O83" s="56">
        <f t="shared" si="16"/>
        <v>118.23775832082032</v>
      </c>
      <c r="P83" s="57">
        <f t="shared" si="14"/>
        <v>116.97670986131048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3.1898299441535416</v>
      </c>
      <c r="K84" s="51">
        <f t="shared" si="11"/>
        <v>2.0751458668032576</v>
      </c>
      <c r="L84" s="55">
        <f t="shared" si="12"/>
        <v>4.6425418929749163E-3</v>
      </c>
      <c r="M84" s="51">
        <f t="shared" si="13"/>
        <v>2.0705033249102827</v>
      </c>
      <c r="N84" s="94">
        <f t="shared" si="15"/>
        <v>1548.2102705193956</v>
      </c>
      <c r="O84" s="56">
        <f t="shared" si="16"/>
        <v>118.8901477588351</v>
      </c>
      <c r="P84" s="57">
        <f t="shared" si="14"/>
        <v>117.62599899659966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3.1718256724445317</v>
      </c>
      <c r="K85" s="51">
        <f t="shared" si="11"/>
        <v>2.0776346273578601</v>
      </c>
      <c r="L85" s="55">
        <f t="shared" si="12"/>
        <v>4.645584424764186E-3</v>
      </c>
      <c r="M85" s="51">
        <f t="shared" si="13"/>
        <v>2.0729890429330959</v>
      </c>
      <c r="N85" s="94">
        <f t="shared" si="15"/>
        <v>1485.3393014259209</v>
      </c>
      <c r="O85" s="56">
        <f t="shared" si="16"/>
        <v>119.57341349852298</v>
      </c>
      <c r="P85" s="57">
        <f t="shared" si="14"/>
        <v>118.30117084613926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3.1530426067041133</v>
      </c>
      <c r="K86" s="51">
        <f t="shared" si="11"/>
        <v>2.080231041912405</v>
      </c>
      <c r="L86" s="55">
        <f t="shared" si="12"/>
        <v>4.6681558258353135E-3</v>
      </c>
      <c r="M86" s="51">
        <f t="shared" si="13"/>
        <v>2.0755628860865696</v>
      </c>
      <c r="N86" s="94">
        <f t="shared" si="15"/>
        <v>1422.468332332448</v>
      </c>
      <c r="O86" s="56">
        <f t="shared" si="16"/>
        <v>120.29042018392796</v>
      </c>
      <c r="P86" s="57">
        <f t="shared" si="14"/>
        <v>119.0043635676105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3.1334103136545681</v>
      </c>
      <c r="K87" s="51">
        <f t="shared" si="11"/>
        <v>2.082944846576531</v>
      </c>
      <c r="L87" s="55">
        <f t="shared" si="12"/>
        <v>4.7126088583513588E-3</v>
      </c>
      <c r="M87" s="51">
        <f t="shared" si="13"/>
        <v>2.0782322377181797</v>
      </c>
      <c r="N87" s="94">
        <f t="shared" si="15"/>
        <v>1359.5973632389737</v>
      </c>
      <c r="O87" s="56">
        <f t="shared" si="16"/>
        <v>121.04444028566435</v>
      </c>
      <c r="P87" s="57">
        <f t="shared" si="14"/>
        <v>119.73806559824362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3.1128483507580351</v>
      </c>
      <c r="K88" s="51">
        <f t="shared" si="11"/>
        <v>2.0857871610566261</v>
      </c>
      <c r="L88" s="55">
        <f t="shared" si="12"/>
        <v>4.7813822873271966E-3</v>
      </c>
      <c r="M88" s="51">
        <f t="shared" si="13"/>
        <v>2.081005778769299</v>
      </c>
      <c r="N88" s="94">
        <f t="shared" si="15"/>
        <v>1296.7263941454983</v>
      </c>
      <c r="O88" s="56">
        <f t="shared" si="16"/>
        <v>121.83923431360178</v>
      </c>
      <c r="P88" s="57">
        <f t="shared" si="14"/>
        <v>120.50519748168951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3.0912642749480099</v>
      </c>
      <c r="K89" s="51">
        <f t="shared" si="11"/>
        <v>2.0887707639122004</v>
      </c>
      <c r="L89" s="55">
        <f t="shared" si="12"/>
        <v>4.8769824020764739E-3</v>
      </c>
      <c r="M89" s="51">
        <f t="shared" si="13"/>
        <v>2.0838937815101239</v>
      </c>
      <c r="N89" s="94">
        <f t="shared" si="15"/>
        <v>1233.8554250520265</v>
      </c>
      <c r="O89" s="56">
        <f t="shared" si="16"/>
        <v>122.67915159957518</v>
      </c>
      <c r="P89" s="57">
        <f t="shared" si="14"/>
        <v>121.30921196132059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3.0685511301396278</v>
      </c>
      <c r="K90" s="51">
        <f t="shared" si="11"/>
        <v>2.0919104398615356</v>
      </c>
      <c r="L90" s="55">
        <f t="shared" si="12"/>
        <v>5.0019771982586893E-3</v>
      </c>
      <c r="M90" s="51">
        <f t="shared" si="13"/>
        <v>2.0869084626632768</v>
      </c>
      <c r="N90" s="94">
        <f t="shared" si="15"/>
        <v>1170.9844559585513</v>
      </c>
      <c r="O90" s="56">
        <f t="shared" si="16"/>
        <v>123.56925828413698</v>
      </c>
      <c r="P90" s="57">
        <f t="shared" si="14"/>
        <v>122.1542165524807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3.0445842407131223</v>
      </c>
      <c r="K91" s="51">
        <f t="shared" si="11"/>
        <v>2.0952234230238234</v>
      </c>
      <c r="L91" s="55">
        <f t="shared" si="12"/>
        <v>5.1590113532536857E-3</v>
      </c>
      <c r="M91" s="51">
        <f t="shared" si="13"/>
        <v>2.0900644116705696</v>
      </c>
      <c r="N91" s="94">
        <f t="shared" si="15"/>
        <v>1108.113486865077</v>
      </c>
      <c r="O91" s="56">
        <f t="shared" si="16"/>
        <v>124.51550176800993</v>
      </c>
      <c r="P91" s="57">
        <f t="shared" si="14"/>
        <v>123.04512496299068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3.0192170673947696</v>
      </c>
      <c r="K92" s="51">
        <f t="shared" si="11"/>
        <v>2.0987299697676653</v>
      </c>
      <c r="L92" s="55">
        <f t="shared" si="12"/>
        <v>5.3508501325782894E-3</v>
      </c>
      <c r="M92" s="51">
        <f t="shared" si="13"/>
        <v>2.0933791196350873</v>
      </c>
      <c r="N92" s="94">
        <f t="shared" si="15"/>
        <v>1045.2425177716043</v>
      </c>
      <c r="O92" s="56">
        <f t="shared" si="16"/>
        <v>125.52492477114548</v>
      </c>
      <c r="P92" s="57">
        <f t="shared" si="14"/>
        <v>123.98784726277181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2.9922757759967875</v>
      </c>
      <c r="K93" s="51">
        <f t="shared" si="11"/>
        <v>2.1024541094832303</v>
      </c>
      <c r="L93" s="55">
        <f t="shared" si="12"/>
        <v>5.580459984278246E-3</v>
      </c>
      <c r="M93" s="51">
        <f t="shared" si="13"/>
        <v>2.0968736494989519</v>
      </c>
      <c r="N93" s="94">
        <f t="shared" si="15"/>
        <v>982.37154867812978</v>
      </c>
      <c r="O93" s="56">
        <f t="shared" si="16"/>
        <v>126.60594799636613</v>
      </c>
      <c r="P93" s="57">
        <f t="shared" si="14"/>
        <v>124.9895341789091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2.9635520073210655</v>
      </c>
      <c r="K94" s="51">
        <f t="shared" si="11"/>
        <v>2.1064246440105383</v>
      </c>
      <c r="L94" s="55">
        <f t="shared" si="12"/>
        <v>5.8511336735271625E-3</v>
      </c>
      <c r="M94" s="51">
        <f t="shared" si="13"/>
        <v>2.1005735103370111</v>
      </c>
      <c r="N94" s="94">
        <f t="shared" si="15"/>
        <v>919.50057958465607</v>
      </c>
      <c r="O94" s="56">
        <f t="shared" si="16"/>
        <v>127.76874942028434</v>
      </c>
      <c r="P94" s="57">
        <f t="shared" si="14"/>
        <v>126.05889919281645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2.9327930822607242</v>
      </c>
      <c r="K95" s="51">
        <f t="shared" si="11"/>
        <v>2.1106765016046358</v>
      </c>
      <c r="L95" s="55">
        <f t="shared" si="12"/>
        <v>6.1666696132863744E-3</v>
      </c>
      <c r="M95" s="51">
        <f t="shared" si="13"/>
        <v>2.1045098319913493</v>
      </c>
      <c r="N95" s="94">
        <f t="shared" si="15"/>
        <v>856.62961049118292</v>
      </c>
      <c r="O95" s="56">
        <f t="shared" si="16"/>
        <v>129.02578249937002</v>
      </c>
      <c r="P95" s="57">
        <f t="shared" si="14"/>
        <v>127.20665480701143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2.8996884663515741</v>
      </c>
      <c r="K96" s="51">
        <f t="shared" si="11"/>
        <v>2.1152526079632579</v>
      </c>
      <c r="L96" s="55">
        <f t="shared" si="12"/>
        <v>6.5316201026462987E-3</v>
      </c>
      <c r="M96" s="51">
        <f t="shared" si="13"/>
        <v>2.1087209878606115</v>
      </c>
      <c r="N96" s="94">
        <f t="shared" si="15"/>
        <v>793.75864139770715</v>
      </c>
      <c r="O96" s="56">
        <f t="shared" si="16"/>
        <v>130.3924987628252</v>
      </c>
      <c r="P96" s="57">
        <f t="shared" si="14"/>
        <v>128.44611937546995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2.863850636811601</v>
      </c>
      <c r="K97" s="51">
        <f t="shared" si="11"/>
        <v>2.1202065310079212</v>
      </c>
      <c r="L97" s="55">
        <f t="shared" si="12"/>
        <v>6.951633569551828E-3</v>
      </c>
      <c r="M97" s="51">
        <f t="shared" si="13"/>
        <v>2.1132548974383694</v>
      </c>
      <c r="N97" s="94">
        <f t="shared" si="15"/>
        <v>730.88767230423389</v>
      </c>
      <c r="O97" s="56">
        <f t="shared" si="16"/>
        <v>131.88837915171709</v>
      </c>
      <c r="P97" s="57">
        <f t="shared" si="14"/>
        <v>129.79408388564877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2.8247873217892745</v>
      </c>
      <c r="K98" s="51">
        <f t="shared" si="11"/>
        <v>2.1256063182990075</v>
      </c>
      <c r="L98" s="55">
        <f t="shared" si="12"/>
        <v>7.4339350555072377E-3</v>
      </c>
      <c r="M98" s="51">
        <f t="shared" si="13"/>
        <v>2.1181723832435004</v>
      </c>
      <c r="N98" s="94">
        <f t="shared" si="15"/>
        <v>668.01670321076028</v>
      </c>
      <c r="O98" s="56">
        <f t="shared" si="16"/>
        <v>133.53844609213445</v>
      </c>
      <c r="P98" s="57">
        <f t="shared" si="14"/>
        <v>131.27208500853308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2.7818599761421634</v>
      </c>
      <c r="K99" s="51">
        <f t="shared" si="11"/>
        <v>2.1315402369982483</v>
      </c>
      <c r="L99" s="55">
        <f t="shared" si="12"/>
        <v>7.9880238006854853E-3</v>
      </c>
      <c r="M99" s="51">
        <f t="shared" si="13"/>
        <v>2.1235522131975628</v>
      </c>
      <c r="N99" s="94">
        <f t="shared" si="15"/>
        <v>605.14573411728588</v>
      </c>
      <c r="O99" s="56">
        <f t="shared" si="16"/>
        <v>135.37555091076749</v>
      </c>
      <c r="P99" s="57">
        <f t="shared" si="14"/>
        <v>132.90833370049444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2.7342193948357769</v>
      </c>
      <c r="K100" s="51">
        <f t="shared" si="11"/>
        <v>2.1381256741361652</v>
      </c>
      <c r="L100" s="55">
        <f t="shared" si="12"/>
        <v>8.6267313363896127E-3</v>
      </c>
      <c r="M100" s="51">
        <f t="shared" si="13"/>
        <v>2.1294989427997755</v>
      </c>
      <c r="N100" s="94">
        <f t="shared" si="15"/>
        <v>542.27476502381307</v>
      </c>
      <c r="O100" s="56">
        <f t="shared" si="16"/>
        <v>137.44396464837521</v>
      </c>
      <c r="P100" s="57">
        <f t="shared" si="14"/>
        <v>134.74074453552583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2.6807014684649966</v>
      </c>
      <c r="K101" s="51">
        <f t="shared" si="11"/>
        <v>2.1455235465004807</v>
      </c>
      <c r="L101" s="55">
        <f t="shared" si="12"/>
        <v>9.3679108940401632E-3</v>
      </c>
      <c r="M101" s="51">
        <f t="shared" si="13"/>
        <v>2.1361556356064404</v>
      </c>
      <c r="N101" s="94">
        <f t="shared" si="15"/>
        <v>479.40379593033896</v>
      </c>
      <c r="O101" s="56">
        <f t="shared" si="16"/>
        <v>139.80527126397001</v>
      </c>
      <c r="P101" s="57">
        <f t="shared" si="14"/>
        <v>136.8219058515354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2.6196492337195605</v>
      </c>
      <c r="K102" s="51">
        <f t="shared" si="11"/>
        <v>2.1539628988975417</v>
      </c>
      <c r="L102" s="55">
        <f t="shared" si="12"/>
        <v>1.0237299421543068E-2</v>
      </c>
      <c r="M102" s="51">
        <f t="shared" si="13"/>
        <v>2.1437255994759985</v>
      </c>
      <c r="N102" s="94">
        <f>10^$J102</f>
        <v>416.53282683686507</v>
      </c>
      <c r="O102" s="56">
        <f t="shared" si="16"/>
        <v>142.54858113635476</v>
      </c>
      <c r="P102" s="57">
        <f t="shared" si="14"/>
        <v>139.22768419302017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3.8263100187527681</v>
      </c>
      <c r="K104" s="51">
        <f t="shared" si="11"/>
        <v>1.9871641628468453</v>
      </c>
      <c r="L104" s="55">
        <f t="shared" si="12"/>
        <v>1.1380562867949404E-2</v>
      </c>
      <c r="M104" s="51">
        <f>+$I$14+$I$13*J104+L104</f>
        <v>1.9985447257147946</v>
      </c>
      <c r="N104" s="94">
        <f t="shared" ref="N104:N167" si="17">10^$J104</f>
        <v>6703.6297361842471</v>
      </c>
      <c r="O104" s="56">
        <f t="shared" ref="O104:O167" si="18">10^K104</f>
        <v>97.087688831232569</v>
      </c>
      <c r="P104" s="57">
        <f t="shared" ref="P104:P167" si="19">10^M104</f>
        <v>99.66547151005426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3.8222177042978442</v>
      </c>
      <c r="K105" s="51">
        <f t="shared" si="11"/>
        <v>1.9877298503101901</v>
      </c>
      <c r="L105" s="55">
        <f t="shared" si="12"/>
        <v>1.1320163844699036E-2</v>
      </c>
      <c r="M105" s="51">
        <f t="shared" ref="M105:M168" si="21">+$I$14+$I$13*J105+L105</f>
        <v>1.9990500141548893</v>
      </c>
      <c r="N105" s="94">
        <f t="shared" si="17"/>
        <v>6640.7587670907851</v>
      </c>
      <c r="O105" s="56">
        <f t="shared" si="18"/>
        <v>97.214232167439448</v>
      </c>
      <c r="P105" s="57">
        <f t="shared" si="19"/>
        <v>99.781496742126961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3.8180864612527134</v>
      </c>
      <c r="K106" s="51">
        <f t="shared" si="11"/>
        <v>1.98830091893759</v>
      </c>
      <c r="L106" s="55">
        <f t="shared" si="12"/>
        <v>1.12592562629049E-2</v>
      </c>
      <c r="M106" s="51">
        <f t="shared" si="21"/>
        <v>1.9995601752004948</v>
      </c>
      <c r="N106" s="94">
        <f t="shared" si="17"/>
        <v>6577.8877979973076</v>
      </c>
      <c r="O106" s="56">
        <f t="shared" si="18"/>
        <v>97.342146558217522</v>
      </c>
      <c r="P106" s="57">
        <f t="shared" si="19"/>
        <v>99.898777861516393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3.813915541873719</v>
      </c>
      <c r="K107" s="51">
        <f t="shared" si="11"/>
        <v>1.9888774720908993</v>
      </c>
      <c r="L107" s="55">
        <f t="shared" si="12"/>
        <v>1.1197832088643169E-2</v>
      </c>
      <c r="M107" s="51">
        <f t="shared" si="21"/>
        <v>2.0000753041795423</v>
      </c>
      <c r="N107" s="94">
        <f t="shared" si="17"/>
        <v>6515.0168289038256</v>
      </c>
      <c r="O107" s="56">
        <f t="shared" si="18"/>
        <v>97.471460177725959</v>
      </c>
      <c r="P107" s="57">
        <f t="shared" si="19"/>
        <v>100.01734093149118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3.8097041766640332</v>
      </c>
      <c r="K108" s="51">
        <f t="shared" si="11"/>
        <v>1.9894596161389502</v>
      </c>
      <c r="L108" s="55">
        <f t="shared" si="12"/>
        <v>1.1135883122359674E-2</v>
      </c>
      <c r="M108" s="51">
        <f t="shared" si="21"/>
        <v>2.0005954992613098</v>
      </c>
      <c r="N108" s="94">
        <f t="shared" si="17"/>
        <v>6452.1458598103591</v>
      </c>
      <c r="O108" s="56">
        <f t="shared" si="18"/>
        <v>97.60220205809803</v>
      </c>
      <c r="P108" s="57">
        <f t="shared" si="19"/>
        <v>100.13721282296875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3.8054515735216006</v>
      </c>
      <c r="K109" s="51">
        <f t="shared" si="11"/>
        <v>1.9900474605753329</v>
      </c>
      <c r="L109" s="55">
        <f t="shared" si="12"/>
        <v>1.1073400995908405E-2</v>
      </c>
      <c r="M109" s="51">
        <f t="shared" si="21"/>
        <v>2.0011208615712412</v>
      </c>
      <c r="N109" s="94">
        <f t="shared" si="17"/>
        <v>6389.2748907168852</v>
      </c>
      <c r="O109" s="56">
        <f t="shared" si="18"/>
        <v>97.734402124232474</v>
      </c>
      <c r="P109" s="57">
        <f t="shared" si="19"/>
        <v>100.25842124808602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3.8011569168449588</v>
      </c>
      <c r="K110" s="51">
        <f t="shared" si="11"/>
        <v>1.9906411181420001</v>
      </c>
      <c r="L110" s="55">
        <f t="shared" si="12"/>
        <v>1.1010377169669731E-2</v>
      </c>
      <c r="M110" s="51">
        <f t="shared" si="21"/>
        <v>2.0016514953116697</v>
      </c>
      <c r="N110" s="94">
        <f t="shared" si="17"/>
        <v>6326.4039216234114</v>
      </c>
      <c r="O110" s="56">
        <f t="shared" si="18"/>
        <v>97.868091230353102</v>
      </c>
      <c r="P110" s="57">
        <f t="shared" si="19"/>
        <v>100.38099479553365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3.7968193665943946</v>
      </c>
      <c r="K111" s="51">
        <f t="shared" si="11"/>
        <v>1.9912407049590446</v>
      </c>
      <c r="L111" s="55">
        <f t="shared" si="12"/>
        <v>1.0946802929770029E-2</v>
      </c>
      <c r="M111" s="51">
        <f t="shared" si="21"/>
        <v>2.0021875078888147</v>
      </c>
      <c r="N111" s="94">
        <f t="shared" si="17"/>
        <v>6263.5329525299348</v>
      </c>
      <c r="O111" s="56">
        <f t="shared" si="18"/>
        <v>98.003301198446138</v>
      </c>
      <c r="P111" s="57">
        <f t="shared" si="19"/>
        <v>100.50496296776606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3.7924380573057501</v>
      </c>
      <c r="K112" s="51">
        <f t="shared" si="11"/>
        <v>1.9918463406610227</v>
      </c>
      <c r="L112" s="55">
        <f t="shared" si="12"/>
        <v>1.0882669385428052E-2</v>
      </c>
      <c r="M112" s="51">
        <f t="shared" si="21"/>
        <v>2.0027290100464508</v>
      </c>
      <c r="N112" s="94">
        <f t="shared" si="17"/>
        <v>6200.6619834364656</v>
      </c>
      <c r="O112" s="56">
        <f t="shared" si="18"/>
        <v>98.140064858691744</v>
      </c>
      <c r="P112" s="57">
        <f t="shared" si="19"/>
        <v>100.63035622020782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3.7880120970539681</v>
      </c>
      <c r="K113" s="51">
        <f t="shared" si="11"/>
        <v>1.9924581485402251</v>
      </c>
      <c r="L113" s="55">
        <f t="shared" si="12"/>
        <v>1.0817967466456392E-2</v>
      </c>
      <c r="M113" s="51">
        <f t="shared" si="21"/>
        <v>2.0032761160066817</v>
      </c>
      <c r="N113" s="94">
        <f t="shared" si="17"/>
        <v>6137.791014342989</v>
      </c>
      <c r="O113" s="56">
        <f t="shared" si="18"/>
        <v>98.278416092014268</v>
      </c>
      <c r="P113" s="57">
        <f t="shared" si="19"/>
        <v>100.75720600258859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3.7835405663632802</v>
      </c>
      <c r="K114" s="51">
        <f t="shared" si="11"/>
        <v>1.9930762556973232</v>
      </c>
      <c r="L114" s="55">
        <f t="shared" si="12"/>
        <v>1.0752687920950599E-2</v>
      </c>
      <c r="M114" s="51">
        <f t="shared" si="21"/>
        <v>2.0038289436182737</v>
      </c>
      <c r="N114" s="94">
        <f t="shared" si="17"/>
        <v>6074.9200452495088</v>
      </c>
      <c r="O114" s="56">
        <f t="shared" si="18"/>
        <v>98.418389874884753</v>
      </c>
      <c r="P114" s="57">
        <f t="shared" si="19"/>
        <v>100.88554480254487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3.779022517060707</v>
      </c>
      <c r="K115" s="51">
        <f t="shared" si="11"/>
        <v>1.9937007931998521</v>
      </c>
      <c r="L115" s="55">
        <f t="shared" si="12"/>
        <v>1.0686821313202904E-2</v>
      </c>
      <c r="M115" s="51">
        <f t="shared" si="21"/>
        <v>2.004387614513055</v>
      </c>
      <c r="N115" s="94">
        <f t="shared" si="17"/>
        <v>6012.0490761560413</v>
      </c>
      <c r="O115" s="56">
        <f t="shared" si="18"/>
        <v>98.560022326520837</v>
      </c>
      <c r="P115" s="57">
        <f t="shared" si="19"/>
        <v>101.01540619164228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3.7744569710692879</v>
      </c>
      <c r="K116" s="51">
        <f t="shared" si="11"/>
        <v>1.9943318962490233</v>
      </c>
      <c r="L116" s="55">
        <f t="shared" si="12"/>
        <v>1.0620358021882395E-2</v>
      </c>
      <c r="M116" s="51">
        <f t="shared" si="21"/>
        <v>2.0049522542709055</v>
      </c>
      <c r="N116" s="94">
        <f t="shared" si="17"/>
        <v>5949.1781070625611</v>
      </c>
      <c r="O116" s="56">
        <f t="shared" si="18"/>
        <v>98.703350758637384</v>
      </c>
      <c r="P116" s="57">
        <f t="shared" si="19"/>
        <v>101.14682487397961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3.7698429191372083</v>
      </c>
      <c r="K117" s="51">
        <f t="shared" si="11"/>
        <v>1.9949697043554018</v>
      </c>
      <c r="L117" s="55">
        <f t="shared" si="12"/>
        <v>1.0553288238529489E-2</v>
      </c>
      <c r="M117" s="51">
        <f t="shared" si="21"/>
        <v>2.0055229925939311</v>
      </c>
      <c r="N117" s="94">
        <f t="shared" si="17"/>
        <v>5886.30713796909</v>
      </c>
      <c r="O117" s="56">
        <f t="shared" si="18"/>
        <v>98.848413727916025</v>
      </c>
      <c r="P117" s="57">
        <f t="shared" si="19"/>
        <v>101.27983673755431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3.7651793194986816</v>
      </c>
      <c r="K118" s="51">
        <f t="shared" si="11"/>
        <v>1.9956143615240123</v>
      </c>
      <c r="L118" s="55">
        <f t="shared" si="12"/>
        <v>1.0485601966418652E-2</v>
      </c>
      <c r="M118" s="51">
        <f t="shared" si="21"/>
        <v>2.0060999634904308</v>
      </c>
      <c r="N118" s="94">
        <f t="shared" si="17"/>
        <v>5823.4361688756144</v>
      </c>
      <c r="O118" s="56">
        <f t="shared" si="18"/>
        <v>98.995251091371003</v>
      </c>
      <c r="P118" s="57">
        <f t="shared" si="19"/>
        <v>101.41447890857641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3.7604650964621551</v>
      </c>
      <c r="K119" s="51">
        <f t="shared" si="11"/>
        <v>1.996266016449495</v>
      </c>
      <c r="L119" s="55">
        <f t="shared" si="12"/>
        <v>1.0417289019851048E-2</v>
      </c>
      <c r="M119" s="51">
        <f t="shared" si="21"/>
        <v>2.006683305469346</v>
      </c>
      <c r="N119" s="94">
        <f t="shared" si="17"/>
        <v>5760.5651997821406</v>
      </c>
      <c r="O119" s="56">
        <f t="shared" si="18"/>
        <v>99.143904064806321</v>
      </c>
      <c r="P119" s="57">
        <f t="shared" si="19"/>
        <v>101.5507898089417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3.7556991389210421</v>
      </c>
      <c r="K120" s="51">
        <f t="shared" si="11"/>
        <v>1.9969248227219696</v>
      </c>
      <c r="L120" s="55">
        <f t="shared" si="12"/>
        <v>1.0348339023946808E-2</v>
      </c>
      <c r="M120" s="51">
        <f t="shared" si="21"/>
        <v>2.0072731617459163</v>
      </c>
      <c r="N120" s="94">
        <f t="shared" si="17"/>
        <v>5697.6942306886731</v>
      </c>
      <c r="O120" s="56">
        <f t="shared" si="18"/>
        <v>99.294415284571457</v>
      </c>
      <c r="P120" s="57">
        <f t="shared" si="19"/>
        <v>101.68880921708501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3.7508802987818264</v>
      </c>
      <c r="K121" s="51">
        <f t="shared" si="11"/>
        <v>1.9975909390443205</v>
      </c>
      <c r="L121" s="55">
        <f t="shared" si="12"/>
        <v>1.0278741415016231E-2</v>
      </c>
      <c r="M121" s="51">
        <f t="shared" si="21"/>
        <v>2.0078696804593368</v>
      </c>
      <c r="N121" s="94">
        <f t="shared" si="17"/>
        <v>5634.8232615951974</v>
      </c>
      <c r="O121" s="56">
        <f t="shared" si="18"/>
        <v>99.446828872840399</v>
      </c>
      <c r="P121" s="57">
        <f t="shared" si="19"/>
        <v>101.82857833245725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3.7460073893039811</v>
      </c>
      <c r="K122" s="51">
        <f t="shared" si="11"/>
        <v>1.9982645294616734</v>
      </c>
      <c r="L122" s="55">
        <f t="shared" si="12"/>
        <v>1.0208485441600076E-2</v>
      </c>
      <c r="M122" s="51">
        <f t="shared" si="21"/>
        <v>2.0084730149032737</v>
      </c>
      <c r="N122" s="94">
        <f t="shared" si="17"/>
        <v>5571.9522925017218</v>
      </c>
      <c r="O122" s="56">
        <f t="shared" si="18"/>
        <v>99.601190506658071</v>
      </c>
      <c r="P122" s="57">
        <f t="shared" si="19"/>
        <v>101.97013984389031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3.7410791833456885</v>
      </c>
      <c r="K123" s="51">
        <f t="shared" si="11"/>
        <v>1.9989457636038921</v>
      </c>
      <c r="L123" s="55">
        <f t="shared" si="12"/>
        <v>1.0137560166281083E-2</v>
      </c>
      <c r="M123" s="51">
        <f t="shared" si="21"/>
        <v>2.0090833237701733</v>
      </c>
      <c r="N123" s="94">
        <f t="shared" si="17"/>
        <v>5509.0813234082516</v>
      </c>
      <c r="O123" s="56">
        <f t="shared" si="18"/>
        <v>99.75754749101543</v>
      </c>
      <c r="P123" s="57">
        <f t="shared" si="19"/>
        <v>102.11353800213453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3.736094411508879</v>
      </c>
      <c r="K124" s="51">
        <f t="shared" si="11"/>
        <v>1.9996348169419915</v>
      </c>
      <c r="L124" s="55">
        <f t="shared" si="12"/>
        <v>1.0065954468383084E-2</v>
      </c>
      <c r="M124" s="51">
        <f t="shared" si="21"/>
        <v>2.0097007714103747</v>
      </c>
      <c r="N124" s="94">
        <f t="shared" si="17"/>
        <v>5446.2103543147796</v>
      </c>
      <c r="O124" s="56">
        <f t="shared" si="18"/>
        <v>99.915948836237632</v>
      </c>
      <c r="P124" s="57">
        <f t="shared" si="19"/>
        <v>102.25881869688071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3.7310517601765745</v>
      </c>
      <c r="K125" s="51">
        <f t="shared" si="11"/>
        <v>2.0003318710594415</v>
      </c>
      <c r="L125" s="55">
        <f t="shared" si="12"/>
        <v>9.9936570476897805E-3</v>
      </c>
      <c r="M125" s="51">
        <f t="shared" si="21"/>
        <v>2.0103255281071313</v>
      </c>
      <c r="N125" s="94">
        <f t="shared" si="17"/>
        <v>5383.3393852212994</v>
      </c>
      <c r="O125" s="56">
        <f t="shared" si="18"/>
        <v>100.07644533999395</v>
      </c>
      <c r="P125" s="57">
        <f t="shared" si="19"/>
        <v>102.40602953860555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3.7259498694349418</v>
      </c>
      <c r="K126" s="51">
        <f t="shared" si="11"/>
        <v>2.0010371139394025</v>
      </c>
      <c r="L126" s="55">
        <f t="shared" si="12"/>
        <v>9.9206564293334056E-3</v>
      </c>
      <c r="M126" s="51">
        <f t="shared" si="21"/>
        <v>2.0109577703687358</v>
      </c>
      <c r="N126" s="94">
        <f t="shared" si="17"/>
        <v>5320.4684161278274</v>
      </c>
      <c r="O126" s="56">
        <f t="shared" si="18"/>
        <v>100.23908967426115</v>
      </c>
      <c r="P126" s="57">
        <f t="shared" si="19"/>
        <v>102.55521994560915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3.720787330871834</v>
      </c>
      <c r="K127" s="51">
        <f t="shared" si="11"/>
        <v>2.0017507402690389</v>
      </c>
      <c r="L127" s="55">
        <f t="shared" si="12"/>
        <v>9.8469409700241914E-3</v>
      </c>
      <c r="M127" s="51">
        <f t="shared" si="21"/>
        <v>2.011597681239063</v>
      </c>
      <c r="N127" s="94">
        <f t="shared" si="17"/>
        <v>5257.5974470343563</v>
      </c>
      <c r="O127" s="56">
        <f t="shared" si="18"/>
        <v>100.40393647760443</v>
      </c>
      <c r="P127" s="57">
        <f t="shared" si="19"/>
        <v>102.70644123664709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3.7155626852429071</v>
      </c>
      <c r="K128" s="51">
        <f t="shared" si="11"/>
        <v>2.002472951762134</v>
      </c>
      <c r="L128" s="55">
        <f t="shared" si="12"/>
        <v>9.7724988658152313E-3</v>
      </c>
      <c r="M128" s="51">
        <f t="shared" si="21"/>
        <v>2.0122454506279492</v>
      </c>
      <c r="N128" s="94">
        <f t="shared" si="17"/>
        <v>5194.7264779408779</v>
      </c>
      <c r="O128" s="56">
        <f t="shared" si="18"/>
        <v>100.5710424531664</v>
      </c>
      <c r="P128" s="57">
        <f t="shared" si="19"/>
        <v>102.85974672959776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3.7102744199956308</v>
      </c>
      <c r="K129" s="51">
        <f t="shared" si="11"/>
        <v>2.0032039575013503</v>
      </c>
      <c r="L129" s="55">
        <f t="shared" si="12"/>
        <v>9.6973181616241948E-3</v>
      </c>
      <c r="M129" s="51">
        <f t="shared" si="21"/>
        <v>2.0129012756629745</v>
      </c>
      <c r="N129" s="94">
        <f t="shared" si="17"/>
        <v>5131.8555088474031</v>
      </c>
      <c r="O129" s="56">
        <f t="shared" si="18"/>
        <v>100.74046647279258</v>
      </c>
      <c r="P129" s="57">
        <f t="shared" si="19"/>
        <v>103.01519184664505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3.7049209666406839</v>
      </c>
      <c r="K130" s="51">
        <f t="shared" ref="K130:K193" si="22">+$I$14+$I$13*J130</f>
        <v>2.003943974301587</v>
      </c>
      <c r="L130" s="55">
        <f t="shared" ref="L130:L193" si="23">SQRT(2*$I$20*$I$17)*SQRT((1/$I$2)+((J130-$I$11)^2/$I$8))</f>
        <v>9.621386762764441E-3</v>
      </c>
      <c r="M130" s="51">
        <f t="shared" si="21"/>
        <v>2.0135653610643516</v>
      </c>
      <c r="N130" s="94">
        <f t="shared" si="17"/>
        <v>5068.9845397539357</v>
      </c>
      <c r="O130" s="56">
        <f t="shared" si="18"/>
        <v>100.91226968775929</v>
      </c>
      <c r="P130" s="57">
        <f t="shared" si="19"/>
        <v>103.17283422650429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3.6995006979593108</v>
      </c>
      <c r="K131" s="51">
        <f t="shared" si="22"/>
        <v>2.0046932270960109</v>
      </c>
      <c r="L131" s="55">
        <f t="shared" si="23"/>
        <v>9.5446924487735101E-3</v>
      </c>
      <c r="M131" s="51">
        <f t="shared" si="21"/>
        <v>2.0142379195447844</v>
      </c>
      <c r="N131" s="94">
        <f t="shared" si="17"/>
        <v>5006.1135706604573</v>
      </c>
      <c r="O131" s="56">
        <f t="shared" si="18"/>
        <v>101.08651564660687</v>
      </c>
      <c r="P131" s="57">
        <f t="shared" si="19"/>
        <v>103.33273384426705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3.6940119250341912</v>
      </c>
      <c r="K132" s="51">
        <f t="shared" si="22"/>
        <v>2.0054519493464853</v>
      </c>
      <c r="L132" s="55">
        <f t="shared" si="23"/>
        <v>9.4672228898675832E-3</v>
      </c>
      <c r="M132" s="51">
        <f t="shared" si="21"/>
        <v>2.0149191722363531</v>
      </c>
      <c r="N132" s="94">
        <f t="shared" si="17"/>
        <v>4943.2426015669835</v>
      </c>
      <c r="O132" s="56">
        <f t="shared" si="18"/>
        <v>101.26327042063363</v>
      </c>
      <c r="P132" s="57">
        <f t="shared" si="19"/>
        <v>103.49495313950054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3.6884528940902692</v>
      </c>
      <c r="K133" s="51">
        <f t="shared" si="22"/>
        <v>2.0062203834802648</v>
      </c>
      <c r="L133" s="55">
        <f t="shared" si="23"/>
        <v>9.388965666397164E-3</v>
      </c>
      <c r="M133" s="51">
        <f t="shared" si="21"/>
        <v>2.0156093491466618</v>
      </c>
      <c r="N133" s="94">
        <f t="shared" si="17"/>
        <v>4880.3716324735042</v>
      </c>
      <c r="O133" s="56">
        <f t="shared" si="18"/>
        <v>101.44260273764974</v>
      </c>
      <c r="P133" s="57">
        <f t="shared" si="19"/>
        <v>103.65955715329504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3.6828217831307635</v>
      </c>
      <c r="K134" s="51">
        <f t="shared" si="22"/>
        <v>2.006998781355009</v>
      </c>
      <c r="L134" s="55">
        <f t="shared" si="23"/>
        <v>9.3099082917332421E-3</v>
      </c>
      <c r="M134" s="51">
        <f t="shared" si="21"/>
        <v>2.0163086896467424</v>
      </c>
      <c r="N134" s="94">
        <f t="shared" si="17"/>
        <v>4817.5006633800385</v>
      </c>
      <c r="O134" s="56">
        <f t="shared" si="18"/>
        <v>101.6245841246526</v>
      </c>
      <c r="P134" s="57">
        <f t="shared" si="19"/>
        <v>103.82661367503128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3.6771166983522012</v>
      </c>
      <c r="K135" s="51">
        <f t="shared" si="22"/>
        <v>2.0077874047543349</v>
      </c>
      <c r="L135" s="55">
        <f t="shared" si="23"/>
        <v>9.2300382390746068E-3</v>
      </c>
      <c r="M135" s="51">
        <f t="shared" si="21"/>
        <v>2.0170174429934096</v>
      </c>
      <c r="N135" s="94">
        <f t="shared" si="17"/>
        <v>4754.6296942865674</v>
      </c>
      <c r="O135" s="56">
        <f t="shared" si="18"/>
        <v>101.8092890601399</v>
      </c>
      <c r="P135" s="57">
        <f t="shared" si="19"/>
        <v>103.99619339970501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3.6713356703208362</v>
      </c>
      <c r="K136" s="51">
        <f t="shared" si="22"/>
        <v>2.0085865259163596</v>
      </c>
      <c r="L136" s="55">
        <f t="shared" si="23"/>
        <v>9.149342972738627E-3</v>
      </c>
      <c r="M136" s="51">
        <f t="shared" si="21"/>
        <v>2.0177358688890981</v>
      </c>
      <c r="N136" s="94">
        <f t="shared" si="17"/>
        <v>4691.75872519309</v>
      </c>
      <c r="O136" s="56">
        <f t="shared" si="18"/>
        <v>101.99679513685243</v>
      </c>
      <c r="P136" s="57">
        <f t="shared" si="19"/>
        <v>104.16837009674862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3.6654766498911315</v>
      </c>
      <c r="K137" s="51">
        <f t="shared" si="22"/>
        <v>2.0093964280978938</v>
      </c>
      <c r="L137" s="55">
        <f t="shared" si="23"/>
        <v>9.0678099845799172E-3</v>
      </c>
      <c r="M137" s="51">
        <f t="shared" si="21"/>
        <v>2.0184642380824735</v>
      </c>
      <c r="N137" s="94">
        <f t="shared" si="17"/>
        <v>4628.8877560996152</v>
      </c>
      <c r="O137" s="56">
        <f t="shared" si="18"/>
        <v>102.18718323580761</v>
      </c>
      <c r="P137" s="57">
        <f t="shared" si="19"/>
        <v>104.34322079137448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3.6595375038451343</v>
      </c>
      <c r="K138" s="51">
        <f t="shared" si="22"/>
        <v>2.010217406177218</v>
      </c>
      <c r="L138" s="55">
        <f t="shared" si="23"/>
        <v>8.9854268362761572E-3</v>
      </c>
      <c r="M138" s="51">
        <f t="shared" si="21"/>
        <v>2.0192028330134941</v>
      </c>
      <c r="N138" s="94">
        <f t="shared" si="17"/>
        <v>4566.0167870061423</v>
      </c>
      <c r="O138" s="56">
        <f t="shared" si="18"/>
        <v>102.38053771257538</v>
      </c>
      <c r="P138" s="57">
        <f t="shared" si="19"/>
        <v>104.52082595958271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3.653516010229533</v>
      </c>
      <c r="K139" s="51">
        <f t="shared" si="22"/>
        <v>2.0110497672986511</v>
      </c>
      <c r="L139" s="55">
        <f t="shared" si="23"/>
        <v>8.9021812083306204E-3</v>
      </c>
      <c r="M139" s="51">
        <f t="shared" si="21"/>
        <v>2.0199519485069817</v>
      </c>
      <c r="N139" s="94">
        <f t="shared" si="17"/>
        <v>4503.1458179126694</v>
      </c>
      <c r="O139" s="56">
        <f t="shared" si="18"/>
        <v>102.57694659683841</v>
      </c>
      <c r="P139" s="57">
        <f t="shared" si="19"/>
        <v>104.70126973809921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3.6474098533648802</v>
      </c>
      <c r="K140" s="51">
        <f t="shared" si="22"/>
        <v>2.0118938315624311</v>
      </c>
      <c r="L140" s="55">
        <f t="shared" si="23"/>
        <v>8.8180609567678966E-3</v>
      </c>
      <c r="M140" s="51">
        <f t="shared" si="21"/>
        <v>2.0207118925191989</v>
      </c>
      <c r="N140" s="94">
        <f t="shared" si="17"/>
        <v>4440.2748488191964</v>
      </c>
      <c r="O140" s="56">
        <f t="shared" si="18"/>
        <v>102.77650180638308</v>
      </c>
      <c r="P140" s="57">
        <f t="shared" si="19"/>
        <v>104.88464015064365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3.6412166184989365</v>
      </c>
      <c r="K141" s="51">
        <f t="shared" si="22"/>
        <v>2.0127499327637941</v>
      </c>
      <c r="L141" s="55">
        <f t="shared" si="23"/>
        <v>8.7330541786471549E-3</v>
      </c>
      <c r="M141" s="51">
        <f t="shared" si="21"/>
        <v>2.0214829869424413</v>
      </c>
      <c r="N141" s="94">
        <f t="shared" si="17"/>
        <v>4377.403879725719</v>
      </c>
      <c r="O141" s="56">
        <f t="shared" si="18"/>
        <v>102.97929937678816</v>
      </c>
      <c r="P141" s="57">
        <f t="shared" si="19"/>
        <v>105.07102935209254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3.6349337860732365</v>
      </c>
      <c r="K142" s="51">
        <f t="shared" si="22"/>
        <v>2.0136184191855158</v>
      </c>
      <c r="L142" s="55">
        <f t="shared" si="23"/>
        <v>8.6471492876886401E-3</v>
      </c>
      <c r="M142" s="51">
        <f t="shared" si="21"/>
        <v>2.0222655684732045</v>
      </c>
      <c r="N142" s="94">
        <f t="shared" si="17"/>
        <v>4314.5329106322433</v>
      </c>
      <c r="O142" s="56">
        <f t="shared" si="18"/>
        <v>103.18543970820427</v>
      </c>
      <c r="P142" s="57">
        <f t="shared" si="19"/>
        <v>105.26053389227334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3.628558725568809</v>
      </c>
      <c r="K143" s="51">
        <f t="shared" si="22"/>
        <v>2.0144996544486276</v>
      </c>
      <c r="L143" s="55">
        <f t="shared" si="23"/>
        <v>8.560335101508363E-3</v>
      </c>
      <c r="M143" s="51">
        <f t="shared" si="21"/>
        <v>2.023059989550136</v>
      </c>
      <c r="N143" s="94">
        <f t="shared" si="17"/>
        <v>4251.6619415387731</v>
      </c>
      <c r="O143" s="56">
        <f t="shared" si="18"/>
        <v>103.39502783076777</v>
      </c>
      <c r="P143" s="57">
        <f t="shared" si="19"/>
        <v>105.45325500133218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3.6220886888934323</v>
      </c>
      <c r="K144" s="51">
        <f t="shared" si="22"/>
        <v>2.0153940184265076</v>
      </c>
      <c r="L144" s="55">
        <f t="shared" si="23"/>
        <v>8.472600942188057E-3</v>
      </c>
      <c r="M144" s="51">
        <f t="shared" si="21"/>
        <v>2.0238666193686958</v>
      </c>
      <c r="N144" s="94">
        <f t="shared" si="17"/>
        <v>4188.7909724452948</v>
      </c>
      <c r="O144" s="56">
        <f t="shared" si="18"/>
        <v>103.60817369035372</v>
      </c>
      <c r="P144" s="57">
        <f t="shared" si="19"/>
        <v>105.64929889884183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3.6155208032688155</v>
      </c>
      <c r="K145" s="51">
        <f t="shared" si="22"/>
        <v>2.0163019082280988</v>
      </c>
      <c r="L145" s="55">
        <f t="shared" si="23"/>
        <v>8.3839367521777765E-3</v>
      </c>
      <c r="M145" s="51">
        <f t="shared" si="21"/>
        <v>2.0246858449802767</v>
      </c>
      <c r="N145" s="94">
        <f t="shared" si="17"/>
        <v>4125.9200033518209</v>
      </c>
      <c r="O145" s="56">
        <f t="shared" si="18"/>
        <v>103.82499245655877</v>
      </c>
      <c r="P145" s="57">
        <f t="shared" si="19"/>
        <v>105.84877712908097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3.6088520635716304</v>
      </c>
      <c r="K146" s="51">
        <f t="shared" si="22"/>
        <v>2.0172237392566186</v>
      </c>
      <c r="L146" s="55">
        <f t="shared" si="23"/>
        <v>8.2943332278442028E-3</v>
      </c>
      <c r="M146" s="51">
        <f t="shared" si="21"/>
        <v>2.0255180724844628</v>
      </c>
      <c r="N146" s="94">
        <f t="shared" si="17"/>
        <v>4063.0490342583453</v>
      </c>
      <c r="O146" s="56">
        <f t="shared" si="18"/>
        <v>104.04560485501085</v>
      </c>
      <c r="P146" s="57">
        <f t="shared" si="19"/>
        <v>106.05180692520646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3.6020793240772853</v>
      </c>
      <c r="K147" s="51">
        <f t="shared" si="22"/>
        <v>2.0181599463508322</v>
      </c>
      <c r="L147" s="55">
        <f t="shared" si="23"/>
        <v>8.2037819733464488E-3</v>
      </c>
      <c r="M147" s="51">
        <f t="shared" si="21"/>
        <v>2.0263637283241787</v>
      </c>
      <c r="N147" s="94">
        <f t="shared" si="17"/>
        <v>4000.1780651648774</v>
      </c>
      <c r="O147" s="56">
        <f t="shared" si="18"/>
        <v>104.27013752633862</v>
      </c>
      <c r="P147" s="57">
        <f t="shared" si="19"/>
        <v>106.25851160538332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3.5951992895496625</v>
      </c>
      <c r="K148" s="51">
        <f t="shared" si="22"/>
        <v>2.0191109850167326</v>
      </c>
      <c r="L148" s="55">
        <f t="shared" si="23"/>
        <v>8.1122756779524255E-3</v>
      </c>
      <c r="M148" s="51">
        <f t="shared" si="21"/>
        <v>2.0272232606946852</v>
      </c>
      <c r="N148" s="94">
        <f t="shared" si="17"/>
        <v>3937.3070960714031</v>
      </c>
      <c r="O148" s="56">
        <f t="shared" si="18"/>
        <v>104.49872341439455</v>
      </c>
      <c r="P148" s="57">
        <f t="shared" si="19"/>
        <v>106.46902100431738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3.5882085056136459</v>
      </c>
      <c r="K149" s="51">
        <f t="shared" si="22"/>
        <v>2.0200773327583632</v>
      </c>
      <c r="L149" s="55">
        <f t="shared" si="23"/>
        <v>8.0198083204141533E-3</v>
      </c>
      <c r="M149" s="51">
        <f t="shared" si="21"/>
        <v>2.0280971410787774</v>
      </c>
      <c r="N149" s="94">
        <f t="shared" si="17"/>
        <v>3874.4361269779279</v>
      </c>
      <c r="O149" s="56">
        <f t="shared" si="18"/>
        <v>104.73150218662704</v>
      </c>
      <c r="P149" s="57">
        <f t="shared" si="19"/>
        <v>106.68347194408408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3.5811033483400259</v>
      </c>
      <c r="K150" s="51">
        <f t="shared" si="22"/>
        <v>2.0210594905175125</v>
      </c>
      <c r="L150" s="55">
        <f t="shared" si="23"/>
        <v>7.9263754046124957E-3</v>
      </c>
      <c r="M150" s="51">
        <f t="shared" si="21"/>
        <v>2.0289858659221252</v>
      </c>
      <c r="N150" s="94">
        <f t="shared" si="17"/>
        <v>3811.5651578844513</v>
      </c>
      <c r="O150" s="56">
        <f t="shared" si="18"/>
        <v>104.96862068983222</v>
      </c>
      <c r="P150" s="57">
        <f t="shared" si="19"/>
        <v>106.90200874864772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3.5738800129641719</v>
      </c>
      <c r="K151" s="51">
        <f t="shared" si="22"/>
        <v>2.0220579842331508</v>
      </c>
      <c r="L151" s="55">
        <f t="shared" si="23"/>
        <v>7.8319742313766923E-3</v>
      </c>
      <c r="M151" s="51">
        <f t="shared" si="21"/>
        <v>2.0298899584645276</v>
      </c>
      <c r="N151" s="94">
        <f t="shared" si="17"/>
        <v>3748.6941887909838</v>
      </c>
      <c r="O151" s="56">
        <f t="shared" si="18"/>
        <v>105.21023344490415</v>
      </c>
      <c r="P151" s="57">
        <f t="shared" si="19"/>
        <v>107.12478380705429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3.5665345016505543</v>
      </c>
      <c r="K152" s="51">
        <f t="shared" si="22"/>
        <v>2.0230733665327616</v>
      </c>
      <c r="L152" s="55">
        <f t="shared" si="23"/>
        <v>7.7366042122003079E-3</v>
      </c>
      <c r="M152" s="51">
        <f t="shared" si="21"/>
        <v>2.0308099707449618</v>
      </c>
      <c r="N152" s="94">
        <f t="shared" si="17"/>
        <v>3685.8232196975046</v>
      </c>
      <c r="O152" s="56">
        <f t="shared" si="18"/>
        <v>105.45650318463655</v>
      </c>
      <c r="P152" s="57">
        <f t="shared" si="19"/>
        <v>107.35195819095227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3.5590626102046059</v>
      </c>
      <c r="K153" s="51">
        <f t="shared" si="22"/>
        <v>2.0241062185691838</v>
      </c>
      <c r="L153" s="55">
        <f t="shared" si="23"/>
        <v>7.6402672315342129E-3</v>
      </c>
      <c r="M153" s="51">
        <f t="shared" si="21"/>
        <v>2.0317464858007179</v>
      </c>
      <c r="N153" s="94">
        <f t="shared" si="17"/>
        <v>3622.9522506040294</v>
      </c>
      <c r="O153" s="56">
        <f t="shared" si="18"/>
        <v>105.70760143912764</v>
      </c>
      <c r="P153" s="57">
        <f t="shared" si="19"/>
        <v>107.58370233287167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3.5514599136213407</v>
      </c>
      <c r="K154" s="51">
        <f t="shared" si="22"/>
        <v>2.0251571520182479</v>
      </c>
      <c r="L154" s="55">
        <f t="shared" si="23"/>
        <v>7.5429680654649526E-3</v>
      </c>
      <c r="M154" s="51">
        <f t="shared" si="21"/>
        <v>2.0327001200837129</v>
      </c>
      <c r="N154" s="94">
        <f t="shared" si="17"/>
        <v>3560.0812815105596</v>
      </c>
      <c r="O154" s="56">
        <f t="shared" si="18"/>
        <v>105.96370917391121</v>
      </c>
      <c r="P154" s="57">
        <f t="shared" si="19"/>
        <v>107.82019677258971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3.5437217503463532</v>
      </c>
      <c r="K155" s="51">
        <f t="shared" si="22"/>
        <v>2.0262268112544071</v>
      </c>
      <c r="L155" s="55">
        <f t="shared" si="23"/>
        <v>7.4447148659133461E-3</v>
      </c>
      <c r="M155" s="51">
        <f t="shared" si="21"/>
        <v>2.0336715261203202</v>
      </c>
      <c r="N155" s="94">
        <f t="shared" si="17"/>
        <v>3497.2103124170853</v>
      </c>
      <c r="O155" s="56">
        <f t="shared" si="18"/>
        <v>106.22501748658915</v>
      </c>
      <c r="P155" s="57">
        <f t="shared" si="19"/>
        <v>108.0616329799586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3.5358432051090256</v>
      </c>
      <c r="K156" s="51">
        <f t="shared" si="22"/>
        <v>2.0273158757237297</v>
      </c>
      <c r="L156" s="55">
        <f t="shared" si="23"/>
        <v>7.3455197210481578E-3</v>
      </c>
      <c r="M156" s="51">
        <f t="shared" si="21"/>
        <v>2.0346613954447781</v>
      </c>
      <c r="N156" s="94">
        <f t="shared" si="17"/>
        <v>3434.3393433236092</v>
      </c>
      <c r="O156" s="56">
        <f t="shared" si="18"/>
        <v>106.49172836848574</v>
      </c>
      <c r="P156" s="57">
        <f t="shared" si="19"/>
        <v>108.30821426377337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3.527819090169634</v>
      </c>
      <c r="K157" s="51">
        <f t="shared" si="22"/>
        <v>2.0284250625361437</v>
      </c>
      <c r="L157" s="55">
        <f t="shared" si="23"/>
        <v>7.245399304443954E-3</v>
      </c>
      <c r="M157" s="51">
        <f t="shared" si="21"/>
        <v>2.0356704618405876</v>
      </c>
      <c r="N157" s="94">
        <f t="shared" si="17"/>
        <v>3371.4683742301345</v>
      </c>
      <c r="O157" s="56">
        <f t="shared" si="18"/>
        <v>106.76405553871226</v>
      </c>
      <c r="P157" s="57">
        <f t="shared" si="19"/>
        <v>108.56015677766987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3.5196439248011835</v>
      </c>
      <c r="K158" s="51">
        <f t="shared" si="22"/>
        <v>2.0295551293016976</v>
      </c>
      <c r="L158" s="55">
        <f t="shared" si="23"/>
        <v>7.14437562766739E-3</v>
      </c>
      <c r="M158" s="51">
        <f t="shared" si="21"/>
        <v>2.036699504929365</v>
      </c>
      <c r="N158" s="94">
        <f t="shared" si="17"/>
        <v>3308.5974051366625</v>
      </c>
      <c r="O158" s="56">
        <f t="shared" si="18"/>
        <v>107.04222535901842</v>
      </c>
      <c r="P158" s="57">
        <f t="shared" si="19"/>
        <v>108.81769063568404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3.5113119128027361</v>
      </c>
      <c r="K159" s="51">
        <f t="shared" si="22"/>
        <v>2.030706877238929</v>
      </c>
      <c r="L159" s="55">
        <f t="shared" si="23"/>
        <v>7.0424769135048922E-3</v>
      </c>
      <c r="M159" s="51">
        <f t="shared" si="21"/>
        <v>2.0377493541524339</v>
      </c>
      <c r="N159" s="94">
        <f t="shared" si="17"/>
        <v>3245.72643604319</v>
      </c>
      <c r="O159" s="56">
        <f t="shared" si="18"/>
        <v>107.32647783895811</v>
      </c>
      <c r="P159" s="57">
        <f t="shared" si="19"/>
        <v>109.08106115200904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3.5028169178131621</v>
      </c>
      <c r="K160" s="51">
        <f t="shared" si="22"/>
        <v>2.0318811545872886</v>
      </c>
      <c r="L160" s="55">
        <f t="shared" si="23"/>
        <v>6.9397386100060153E-3</v>
      </c>
      <c r="M160" s="51">
        <f t="shared" si="21"/>
        <v>2.0388208931972946</v>
      </c>
      <c r="N160" s="94">
        <f t="shared" si="17"/>
        <v>3182.8554669497153</v>
      </c>
      <c r="O160" s="56">
        <f t="shared" si="18"/>
        <v>107.61706774223154</v>
      </c>
      <c r="P160" s="57">
        <f t="shared" si="19"/>
        <v>109.35053022173385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3.4941524361619622</v>
      </c>
      <c r="K161" s="51">
        <f t="shared" si="22"/>
        <v>2.0330788603600127</v>
      </c>
      <c r="L161" s="55">
        <f t="shared" si="23"/>
        <v>6.836204568974962E-3</v>
      </c>
      <c r="M161" s="51">
        <f t="shared" si="21"/>
        <v>2.0399150649289877</v>
      </c>
      <c r="N161" s="94">
        <f t="shared" si="17"/>
        <v>3119.9844978562392</v>
      </c>
      <c r="O161" s="56">
        <f t="shared" si="18"/>
        <v>107.91426580661035</v>
      </c>
      <c r="P161" s="57">
        <f t="shared" si="19"/>
        <v>109.62637786194715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3.4853115669562826</v>
      </c>
      <c r="K162" s="51">
        <f t="shared" si="22"/>
        <v>2.03430094847905</v>
      </c>
      <c r="L162" s="55">
        <f t="shared" si="23"/>
        <v>6.7319284165656698E-3</v>
      </c>
      <c r="M162" s="51">
        <f t="shared" si="21"/>
        <v>2.0410328768956156</v>
      </c>
      <c r="N162" s="94">
        <f t="shared" si="17"/>
        <v>3057.1135287627662</v>
      </c>
      <c r="O162" s="56">
        <f t="shared" si="18"/>
        <v>108.21836009166429</v>
      </c>
      <c r="P162" s="57">
        <f t="shared" si="19"/>
        <v>109.9089039356605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3.4762869790594615</v>
      </c>
      <c r="K163" s="51">
        <f t="shared" si="22"/>
        <v>2.0355484323396666</v>
      </c>
      <c r="L163" s="55">
        <f t="shared" si="23"/>
        <v>6.6269751482906872E-3</v>
      </c>
      <c r="M163" s="51">
        <f t="shared" si="21"/>
        <v>2.0421754074879575</v>
      </c>
      <c r="N163" s="94">
        <f t="shared" si="17"/>
        <v>2994.2425596692938</v>
      </c>
      <c r="O163" s="56">
        <f t="shared" si="18"/>
        <v>108.52965747061289</v>
      </c>
      <c r="P163" s="57">
        <f t="shared" si="19"/>
        <v>110.1984300845708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3.4670708745652359</v>
      </c>
      <c r="K164" s="51">
        <f t="shared" si="22"/>
        <v>2.0368223898594726</v>
      </c>
      <c r="L164" s="55">
        <f t="shared" si="23"/>
        <v>6.5214229861017287E-3</v>
      </c>
      <c r="M164" s="51">
        <f t="shared" si="21"/>
        <v>2.0433438128455745</v>
      </c>
      <c r="N164" s="94">
        <f t="shared" si="17"/>
        <v>2931.3715905758195</v>
      </c>
      <c r="O164" s="56">
        <f t="shared" si="18"/>
        <v>108.84848528511078</v>
      </c>
      <c r="P164" s="57">
        <f t="shared" si="19"/>
        <v>110.49530190088088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3.4576549483116525</v>
      </c>
      <c r="K165" s="51">
        <f t="shared" si="22"/>
        <v>2.0381239690748783</v>
      </c>
      <c r="L165" s="55">
        <f t="shared" si="23"/>
        <v>6.4153655412843257E-3</v>
      </c>
      <c r="M165" s="51">
        <f t="shared" si="21"/>
        <v>2.0445393346161627</v>
      </c>
      <c r="N165" s="94">
        <f t="shared" si="17"/>
        <v>2868.500621482347</v>
      </c>
      <c r="O165" s="56">
        <f t="shared" si="18"/>
        <v>109.17519318468364</v>
      </c>
      <c r="P165" s="57">
        <f t="shared" si="19"/>
        <v>110.79989137327983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3.4480303429079515</v>
      </c>
      <c r="K166" s="51">
        <f t="shared" si="22"/>
        <v>2.0394543943578047</v>
      </c>
      <c r="L166" s="55">
        <f t="shared" si="23"/>
        <v>6.3089143337400639E-3</v>
      </c>
      <c r="M166" s="51">
        <f t="shared" si="21"/>
        <v>2.0457633086915448</v>
      </c>
      <c r="N166" s="94">
        <f t="shared" si="17"/>
        <v>2805.6296523888714</v>
      </c>
      <c r="O166" s="56">
        <f t="shared" si="18"/>
        <v>109.51015517597854</v>
      </c>
      <c r="P166" s="57">
        <f t="shared" si="19"/>
        <v>111.11259964790514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3.4381875986641375</v>
      </c>
      <c r="K167" s="51">
        <f t="shared" si="22"/>
        <v>2.0408149733370022</v>
      </c>
      <c r="L167" s="55">
        <f t="shared" si="23"/>
        <v>6.202201725760928E-3</v>
      </c>
      <c r="M167" s="51">
        <f t="shared" si="21"/>
        <v>2.0470171750627633</v>
      </c>
      <c r="N167" s="94">
        <f t="shared" si="17"/>
        <v>2742.7586832954003</v>
      </c>
      <c r="O167" s="56">
        <f t="shared" si="18"/>
        <v>109.85377191106869</v>
      </c>
      <c r="P167" s="57">
        <f t="shared" si="19"/>
        <v>111.43386015174832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3.4281165977138253</v>
      </c>
      <c r="K168" s="51">
        <f t="shared" si="22"/>
        <v>2.0422071046220438</v>
      </c>
      <c r="L168" s="55">
        <f t="shared" si="23"/>
        <v>6.0953843364861685E-3</v>
      </c>
      <c r="M168" s="51">
        <f t="shared" si="21"/>
        <v>2.0483024889585302</v>
      </c>
      <c r="N168" s="94">
        <f t="shared" ref="N168:N204" si="24">10^$J168</f>
        <v>2679.8877142019232</v>
      </c>
      <c r="O168" s="56">
        <f t="shared" ref="O168:O204" si="25">10^K168</f>
        <v>110.20647324890082</v>
      </c>
      <c r="P168" s="57">
        <f t="shared" ref="P168:P204" si="26">10^M168</f>
        <v>111.76414213367916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3.417806501503057</v>
      </c>
      <c r="K169" s="51">
        <f t="shared" si="22"/>
        <v>2.0436322864443488</v>
      </c>
      <c r="L169" s="55">
        <f t="shared" si="23"/>
        <v>5.9886470115814482E-3</v>
      </c>
      <c r="M169" s="51">
        <f t="shared" ref="M169:M204" si="28">+$I$14+$I$13*J169+L169</f>
        <v>2.0496209334559303</v>
      </c>
      <c r="N169" s="94">
        <f t="shared" si="24"/>
        <v>2617.0167451084494</v>
      </c>
      <c r="O169" s="56">
        <f t="shared" si="25"/>
        <v>110.56872112976326</v>
      </c>
      <c r="P169" s="57">
        <f t="shared" si="26"/>
        <v>112.10395468715195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3.4072456806768816</v>
      </c>
      <c r="K170" s="51">
        <f t="shared" si="22"/>
        <v>2.0450921263490782</v>
      </c>
      <c r="L170" s="55">
        <f t="shared" si="23"/>
        <v>5.8822074307712871E-3</v>
      </c>
      <c r="M170" s="51">
        <f t="shared" si="28"/>
        <v>2.0509743337798496</v>
      </c>
      <c r="N170" s="94">
        <f t="shared" si="24"/>
        <v>2554.1457760149774</v>
      </c>
      <c r="O170" s="56">
        <f t="shared" si="25"/>
        <v>110.94101280958608</v>
      </c>
      <c r="P170" s="57">
        <f t="shared" si="26"/>
        <v>112.45385132884213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3.3964216362265498</v>
      </c>
      <c r="K171" s="51">
        <f t="shared" si="22"/>
        <v>2.046588352095092</v>
      </c>
      <c r="L171" s="55">
        <f t="shared" si="23"/>
        <v>5.7763214428379495E-3</v>
      </c>
      <c r="M171" s="51">
        <f t="shared" si="28"/>
        <v>2.0523646735379302</v>
      </c>
      <c r="N171" s="94">
        <f t="shared" si="24"/>
        <v>2491.2748069215022</v>
      </c>
      <c r="O171" s="56">
        <f t="shared" si="25"/>
        <v>111.32388450923304</v>
      </c>
      <c r="P171" s="57">
        <f t="shared" si="26"/>
        <v>112.81443521901332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3.3853209105566262</v>
      </c>
      <c r="K172" s="51">
        <f t="shared" si="22"/>
        <v>2.048122823948288</v>
      </c>
      <c r="L172" s="55">
        <f t="shared" si="23"/>
        <v>5.6712892222437142E-3</v>
      </c>
      <c r="M172" s="51">
        <f t="shared" si="28"/>
        <v>2.053794113170532</v>
      </c>
      <c r="N172" s="94">
        <f t="shared" si="24"/>
        <v>2428.4038378280288</v>
      </c>
      <c r="O172" s="56">
        <f t="shared" si="25"/>
        <v>111.71791554402391</v>
      </c>
      <c r="P172" s="57">
        <f t="shared" si="26"/>
        <v>113.1863651223651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3.3739289868850579</v>
      </c>
      <c r="K173" s="51">
        <f t="shared" si="22"/>
        <v>2.0496975485876998</v>
      </c>
      <c r="L173" s="55">
        <f t="shared" si="23"/>
        <v>5.5674623416555324E-3</v>
      </c>
      <c r="M173" s="51">
        <f t="shared" si="28"/>
        <v>2.0552650109293555</v>
      </c>
      <c r="N173" s="94">
        <f t="shared" si="24"/>
        <v>2365.5328687345559</v>
      </c>
      <c r="O173" s="56">
        <f t="shared" si="25"/>
        <v>112.12373301097443</v>
      </c>
      <c r="P173" s="57">
        <f t="shared" si="26"/>
        <v>113.57036222239645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3.3622301750898944</v>
      </c>
      <c r="K174" s="51">
        <f t="shared" si="22"/>
        <v>2.0513146948850949</v>
      </c>
      <c r="L174" s="55">
        <f t="shared" si="23"/>
        <v>5.4652518474938129E-3</v>
      </c>
      <c r="M174" s="51">
        <f t="shared" si="28"/>
        <v>2.0567799467325889</v>
      </c>
      <c r="N174" s="94">
        <f t="shared" si="24"/>
        <v>2302.6618996410812</v>
      </c>
      <c r="O174" s="56">
        <f t="shared" si="25"/>
        <v>112.5420171261691</v>
      </c>
      <c r="P174" s="57">
        <f t="shared" si="26"/>
        <v>113.96721791774628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3.3502074817506555</v>
      </c>
      <c r="K175" s="51">
        <f t="shared" si="22"/>
        <v>2.052976611869374</v>
      </c>
      <c r="L175" s="55">
        <f t="shared" si="23"/>
        <v>5.3651374072282137E-3</v>
      </c>
      <c r="M175" s="51">
        <f t="shared" si="28"/>
        <v>2.0583417492766021</v>
      </c>
      <c r="N175" s="94">
        <f t="shared" si="24"/>
        <v>2239.7909305476073</v>
      </c>
      <c r="O175" s="56">
        <f t="shared" si="25"/>
        <v>112.97350732298511</v>
      </c>
      <c r="P175" s="57">
        <f t="shared" si="26"/>
        <v>114.37780274520921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3.3378424616833469</v>
      </c>
      <c r="K176" s="51">
        <f t="shared" si="22"/>
        <v>2.0546858492491333</v>
      </c>
      <c r="L176" s="55">
        <f t="shared" si="23"/>
        <v>5.2676775622426337E-3</v>
      </c>
      <c r="M176" s="51">
        <f t="shared" si="28"/>
        <v>2.059953526811376</v>
      </c>
      <c r="N176" s="94">
        <f t="shared" si="24"/>
        <v>2176.9199614541335</v>
      </c>
      <c r="O176" s="56">
        <f t="shared" si="25"/>
        <v>113.41900924444451</v>
      </c>
      <c r="P176" s="57">
        <f t="shared" si="26"/>
        <v>114.80307659063843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3.3251150477137643</v>
      </c>
      <c r="K177" s="51">
        <f t="shared" si="22"/>
        <v>2.0564451809433857</v>
      </c>
      <c r="L177" s="55">
        <f t="shared" si="23"/>
        <v>5.1735210620790263E-3</v>
      </c>
      <c r="M177" s="51">
        <f t="shared" si="28"/>
        <v>2.0616187020054646</v>
      </c>
      <c r="N177" s="94">
        <f t="shared" si="24"/>
        <v>2114.0489923606597</v>
      </c>
      <c r="O177" s="56">
        <f t="shared" si="25"/>
        <v>113.87940279091363</v>
      </c>
      <c r="P177" s="57">
        <f t="shared" si="26"/>
        <v>115.24410036506299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3.3120033547454502</v>
      </c>
      <c r="K178" s="51">
        <f t="shared" si="22"/>
        <v>2.0582576321655734</v>
      </c>
      <c r="L178" s="55">
        <f t="shared" si="23"/>
        <v>5.0834191670716435E-3</v>
      </c>
      <c r="M178" s="51">
        <f t="shared" si="28"/>
        <v>2.0633410513326451</v>
      </c>
      <c r="N178" s="94">
        <f t="shared" si="24"/>
        <v>2051.1780232671863</v>
      </c>
      <c r="O178" s="56">
        <f t="shared" si="25"/>
        <v>114.35565141920637</v>
      </c>
      <c r="P178" s="57">
        <f t="shared" si="26"/>
        <v>115.70204933838409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3.2984834533188354</v>
      </c>
      <c r="K179" s="51">
        <f t="shared" si="22"/>
        <v>2.0601265107248672</v>
      </c>
      <c r="L179" s="55">
        <f t="shared" si="23"/>
        <v>4.9982386789866554E-3</v>
      </c>
      <c r="M179" s="51">
        <f t="shared" si="28"/>
        <v>2.065124749403854</v>
      </c>
      <c r="N179" s="94">
        <f t="shared" si="24"/>
        <v>1988.3070541737127</v>
      </c>
      <c r="O179" s="56">
        <f t="shared" si="25"/>
        <v>114.84881293282162</v>
      </c>
      <c r="P179" s="57">
        <f t="shared" si="26"/>
        <v>116.17822833658906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3.2845291067771494</v>
      </c>
      <c r="K180" s="51">
        <f t="shared" si="22"/>
        <v>2.0620554433581613</v>
      </c>
      <c r="L180" s="55">
        <f t="shared" si="23"/>
        <v>4.9189752873440972E-3</v>
      </c>
      <c r="M180" s="51">
        <f t="shared" si="28"/>
        <v>2.0669744186455055</v>
      </c>
      <c r="N180" s="94">
        <f t="shared" si="24"/>
        <v>1925.4360850802384</v>
      </c>
      <c r="O180" s="56">
        <f t="shared" si="25"/>
        <v>115.36005205818341</v>
      </c>
      <c r="P180" s="57">
        <f t="shared" si="26"/>
        <v>116.67408902117539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3.2701114647864498</v>
      </c>
      <c r="K181" s="51">
        <f t="shared" si="22"/>
        <v>2.0640484180953109</v>
      </c>
      <c r="L181" s="55">
        <f t="shared" si="23"/>
        <v>4.8467666021625531E-3</v>
      </c>
      <c r="M181" s="51">
        <f t="shared" si="28"/>
        <v>2.0688951846974737</v>
      </c>
      <c r="N181" s="94">
        <f t="shared" si="24"/>
        <v>1862.5651159867634</v>
      </c>
      <c r="O181" s="56">
        <f t="shared" si="25"/>
        <v>115.89065517181744</v>
      </c>
      <c r="P181" s="57">
        <f t="shared" si="26"/>
        <v>117.19124948422086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3.2551987042127766</v>
      </c>
      <c r="K182" s="51">
        <f t="shared" si="22"/>
        <v>2.066109833901284</v>
      </c>
      <c r="L182" s="55">
        <f t="shared" si="23"/>
        <v>4.782903992628343E-3</v>
      </c>
      <c r="M182" s="51">
        <f t="shared" si="28"/>
        <v>2.0708927378939124</v>
      </c>
      <c r="N182" s="94">
        <f t="shared" si="24"/>
        <v>1799.6941468932903</v>
      </c>
      <c r="O182" s="56">
        <f t="shared" si="25"/>
        <v>116.44204763311193</v>
      </c>
      <c r="P182" s="57">
        <f t="shared" si="26"/>
        <v>117.73151641620213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3.2397556061185178</v>
      </c>
      <c r="K183" s="51">
        <f t="shared" si="22"/>
        <v>2.0682445591486602</v>
      </c>
      <c r="L183" s="55">
        <f t="shared" si="23"/>
        <v>4.7288420951580763E-3</v>
      </c>
      <c r="M183" s="51">
        <f t="shared" si="28"/>
        <v>2.0729734012438183</v>
      </c>
      <c r="N183" s="94">
        <f t="shared" si="24"/>
        <v>1736.8231777998162</v>
      </c>
      <c r="O183" s="56">
        <f t="shared" si="25"/>
        <v>117.01581429305935</v>
      </c>
      <c r="P183" s="57">
        <f t="shared" si="26"/>
        <v>118.29691014997523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3.2237430547376471</v>
      </c>
      <c r="K184" s="51">
        <f t="shared" si="22"/>
        <v>2.0704580008751208</v>
      </c>
      <c r="L184" s="55">
        <f t="shared" si="23"/>
        <v>4.6862046501917817E-3</v>
      </c>
      <c r="M184" s="51">
        <f t="shared" si="28"/>
        <v>2.0751442055253126</v>
      </c>
      <c r="N184" s="94">
        <f t="shared" si="24"/>
        <v>1673.9522087063433</v>
      </c>
      <c r="O184" s="56">
        <f t="shared" si="25"/>
        <v>117.61372389996976</v>
      </c>
      <c r="P184" s="57">
        <f t="shared" si="26"/>
        <v>118.88969297708944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3.207117440497437</v>
      </c>
      <c r="K185" s="51">
        <f t="shared" si="22"/>
        <v>2.0727561873047535</v>
      </c>
      <c r="L185" s="55">
        <f t="shared" si="23"/>
        <v>4.6567852643890698E-3</v>
      </c>
      <c r="M185" s="51">
        <f t="shared" si="28"/>
        <v>2.0774129725691428</v>
      </c>
      <c r="N185" s="94">
        <f t="shared" si="24"/>
        <v>1611.0812396128676</v>
      </c>
      <c r="O185" s="56">
        <f t="shared" si="25"/>
        <v>118.23775832082032</v>
      </c>
      <c r="P185" s="57">
        <f t="shared" si="26"/>
        <v>119.51240130884028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3.1898299441535416</v>
      </c>
      <c r="K186" s="51">
        <f t="shared" si="22"/>
        <v>2.0751458668032576</v>
      </c>
      <c r="L186" s="55">
        <f t="shared" si="23"/>
        <v>4.6425418929749163E-3</v>
      </c>
      <c r="M186" s="51">
        <f t="shared" si="28"/>
        <v>2.0797884086962326</v>
      </c>
      <c r="N186" s="94">
        <f t="shared" si="24"/>
        <v>1548.2102705193956</v>
      </c>
      <c r="O186" s="56">
        <f t="shared" si="25"/>
        <v>118.8901477588351</v>
      </c>
      <c r="P186" s="57">
        <f t="shared" si="26"/>
        <v>120.16788256587935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3.1718256724445317</v>
      </c>
      <c r="K187" s="51">
        <f t="shared" si="22"/>
        <v>2.0776346273578601</v>
      </c>
      <c r="L187" s="55">
        <f t="shared" si="23"/>
        <v>4.645584424764186E-3</v>
      </c>
      <c r="M187" s="51">
        <f t="shared" si="28"/>
        <v>2.0822802117826242</v>
      </c>
      <c r="N187" s="94">
        <f t="shared" si="24"/>
        <v>1485.3393014259209</v>
      </c>
      <c r="O187" s="56">
        <f t="shared" si="25"/>
        <v>119.57341349852298</v>
      </c>
      <c r="P187" s="57">
        <f t="shared" si="26"/>
        <v>120.85933819103334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3.1530426067041133</v>
      </c>
      <c r="K188" s="51">
        <f t="shared" si="22"/>
        <v>2.080231041912405</v>
      </c>
      <c r="L188" s="55">
        <f t="shared" si="23"/>
        <v>4.6681558258353135E-3</v>
      </c>
      <c r="M188" s="51">
        <f t="shared" si="28"/>
        <v>2.0848991977382405</v>
      </c>
      <c r="N188" s="94">
        <f t="shared" si="24"/>
        <v>1422.468332332448</v>
      </c>
      <c r="O188" s="56">
        <f t="shared" si="25"/>
        <v>120.29042018392796</v>
      </c>
      <c r="P188" s="57">
        <f t="shared" si="26"/>
        <v>121.59037495969754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3.1334103136545681</v>
      </c>
      <c r="K189" s="51">
        <f t="shared" si="22"/>
        <v>2.082944846576531</v>
      </c>
      <c r="L189" s="55">
        <f t="shared" si="23"/>
        <v>4.7126088583513588E-3</v>
      </c>
      <c r="M189" s="51">
        <f t="shared" si="28"/>
        <v>2.0876574554348823</v>
      </c>
      <c r="N189" s="94">
        <f t="shared" si="24"/>
        <v>1359.5973632389737</v>
      </c>
      <c r="O189" s="56">
        <f t="shared" si="25"/>
        <v>121.04444028566435</v>
      </c>
      <c r="P189" s="57">
        <f t="shared" si="26"/>
        <v>122.36506787432744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3.1128483507580351</v>
      </c>
      <c r="K190" s="51">
        <f t="shared" si="22"/>
        <v>2.0857871610566261</v>
      </c>
      <c r="L190" s="55">
        <f t="shared" si="23"/>
        <v>4.7813822873271966E-3</v>
      </c>
      <c r="M190" s="51">
        <f t="shared" si="28"/>
        <v>2.0905685433439531</v>
      </c>
      <c r="N190" s="94">
        <f t="shared" si="24"/>
        <v>1296.7263941454983</v>
      </c>
      <c r="O190" s="56">
        <f t="shared" si="25"/>
        <v>121.83923431360178</v>
      </c>
      <c r="P190" s="57">
        <f t="shared" si="26"/>
        <v>123.188039423614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3.0912642749480099</v>
      </c>
      <c r="K191" s="51">
        <f t="shared" si="22"/>
        <v>2.0887707639122004</v>
      </c>
      <c r="L191" s="55">
        <f t="shared" si="23"/>
        <v>4.8769824020764739E-3</v>
      </c>
      <c r="M191" s="51">
        <f t="shared" si="28"/>
        <v>2.0936477463142769</v>
      </c>
      <c r="N191" s="94">
        <f t="shared" si="24"/>
        <v>1233.8554250520265</v>
      </c>
      <c r="O191" s="56">
        <f t="shared" si="25"/>
        <v>122.67915159957518</v>
      </c>
      <c r="P191" s="57">
        <f t="shared" si="26"/>
        <v>124.06456190639744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3.0685511301396278</v>
      </c>
      <c r="K192" s="51">
        <f t="shared" si="22"/>
        <v>2.0919104398615356</v>
      </c>
      <c r="L192" s="55">
        <f t="shared" si="23"/>
        <v>5.0019771982586893E-3</v>
      </c>
      <c r="M192" s="51">
        <f t="shared" si="28"/>
        <v>2.0969124170597944</v>
      </c>
      <c r="N192" s="94">
        <f t="shared" si="24"/>
        <v>1170.9844559585513</v>
      </c>
      <c r="O192" s="56">
        <f t="shared" si="25"/>
        <v>123.56925828413698</v>
      </c>
      <c r="P192" s="57">
        <f t="shared" si="26"/>
        <v>125.000691943627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3.0445842407131223</v>
      </c>
      <c r="K193" s="51">
        <f t="shared" si="22"/>
        <v>2.0952234230238234</v>
      </c>
      <c r="L193" s="55">
        <f t="shared" si="23"/>
        <v>5.1590113532536857E-3</v>
      </c>
      <c r="M193" s="51">
        <f t="shared" si="28"/>
        <v>2.1003824343770772</v>
      </c>
      <c r="N193" s="94">
        <f t="shared" si="24"/>
        <v>1108.113486865077</v>
      </c>
      <c r="O193" s="56">
        <f t="shared" si="25"/>
        <v>124.51550176800993</v>
      </c>
      <c r="P193" s="57">
        <f t="shared" si="26"/>
        <v>126.00344942721296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3.0192170673947696</v>
      </c>
      <c r="K194" s="51">
        <f t="shared" ref="K194:K204" si="29">+$I$14+$I$13*J194</f>
        <v>2.0987299697676653</v>
      </c>
      <c r="L194" s="55">
        <f t="shared" ref="L194:L204" si="30">SQRT(2*$I$20*$I$17)*SQRT((1/$I$2)+((J194-$I$11)^2/$I$8))</f>
        <v>5.3508501325782894E-3</v>
      </c>
      <c r="M194" s="51">
        <f t="shared" si="28"/>
        <v>2.1040808199002434</v>
      </c>
      <c r="N194" s="94">
        <f t="shared" si="24"/>
        <v>1045.2425177716043</v>
      </c>
      <c r="O194" s="56">
        <f t="shared" si="25"/>
        <v>125.52492477114548</v>
      </c>
      <c r="P194" s="57">
        <f t="shared" si="26"/>
        <v>127.08105743144657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2.9922757759967875</v>
      </c>
      <c r="K195" s="51">
        <f t="shared" si="29"/>
        <v>2.1024541094832303</v>
      </c>
      <c r="L195" s="55">
        <f t="shared" si="30"/>
        <v>5.580459984278246E-3</v>
      </c>
      <c r="M195" s="51">
        <f t="shared" si="28"/>
        <v>2.1080345694675087</v>
      </c>
      <c r="N195" s="94">
        <f t="shared" si="24"/>
        <v>982.37154867812978</v>
      </c>
      <c r="O195" s="56">
        <f t="shared" si="25"/>
        <v>126.60594799636613</v>
      </c>
      <c r="P195" s="57">
        <f t="shared" si="26"/>
        <v>128.24326591308591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2.9635520073210655</v>
      </c>
      <c r="K196" s="51">
        <f t="shared" si="29"/>
        <v>2.1064246440105383</v>
      </c>
      <c r="L196" s="55">
        <f t="shared" si="30"/>
        <v>5.8511336735271625E-3</v>
      </c>
      <c r="M196" s="51">
        <f t="shared" si="28"/>
        <v>2.1122757776840655</v>
      </c>
      <c r="N196" s="94">
        <f t="shared" si="24"/>
        <v>919.50057958465607</v>
      </c>
      <c r="O196" s="56">
        <f t="shared" si="25"/>
        <v>127.76874942028434</v>
      </c>
      <c r="P196" s="57">
        <f t="shared" si="26"/>
        <v>129.50179188423141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2.9327930822607242</v>
      </c>
      <c r="K197" s="51">
        <f t="shared" si="29"/>
        <v>2.1106765016046358</v>
      </c>
      <c r="L197" s="55">
        <f t="shared" si="30"/>
        <v>6.1666696132863744E-3</v>
      </c>
      <c r="M197" s="51">
        <f t="shared" si="28"/>
        <v>2.1168431712179223</v>
      </c>
      <c r="N197" s="94">
        <f t="shared" si="24"/>
        <v>856.62961049118292</v>
      </c>
      <c r="O197" s="56">
        <f t="shared" si="25"/>
        <v>129.02578249937002</v>
      </c>
      <c r="P197" s="57">
        <f t="shared" si="26"/>
        <v>130.87092475492983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2.8996884663515741</v>
      </c>
      <c r="K198" s="51">
        <f t="shared" si="29"/>
        <v>2.1152526079632579</v>
      </c>
      <c r="L198" s="55">
        <f t="shared" si="30"/>
        <v>6.5316201026462987E-3</v>
      </c>
      <c r="M198" s="51">
        <f t="shared" si="28"/>
        <v>2.1217842280659043</v>
      </c>
      <c r="N198" s="94">
        <f t="shared" si="24"/>
        <v>793.75864139770715</v>
      </c>
      <c r="O198" s="56">
        <f t="shared" si="25"/>
        <v>130.3924987628252</v>
      </c>
      <c r="P198" s="57">
        <f t="shared" si="26"/>
        <v>132.36837217256073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2.863850636811601</v>
      </c>
      <c r="K199" s="51">
        <f t="shared" si="29"/>
        <v>2.1202065310079212</v>
      </c>
      <c r="L199" s="55">
        <f t="shared" si="30"/>
        <v>6.951633569551828E-3</v>
      </c>
      <c r="M199" s="51">
        <f t="shared" si="28"/>
        <v>2.1271581645774731</v>
      </c>
      <c r="N199" s="94">
        <f t="shared" si="24"/>
        <v>730.88767230423389</v>
      </c>
      <c r="O199" s="56">
        <f t="shared" si="25"/>
        <v>131.88837915171709</v>
      </c>
      <c r="P199" s="57">
        <f t="shared" si="26"/>
        <v>134.01646696464258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2.8247873217892745</v>
      </c>
      <c r="K200" s="51">
        <f t="shared" si="29"/>
        <v>2.1256063182990075</v>
      </c>
      <c r="L200" s="55">
        <f t="shared" si="30"/>
        <v>7.4339350555072377E-3</v>
      </c>
      <c r="M200" s="51">
        <f t="shared" si="28"/>
        <v>2.1330402533545145</v>
      </c>
      <c r="N200" s="94">
        <f t="shared" si="24"/>
        <v>668.01670321076028</v>
      </c>
      <c r="O200" s="56">
        <f t="shared" si="25"/>
        <v>133.53844609213445</v>
      </c>
      <c r="P200" s="57">
        <f t="shared" si="26"/>
        <v>135.84393501133704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2.7818599761421634</v>
      </c>
      <c r="K201" s="51">
        <f t="shared" si="29"/>
        <v>2.1315402369982483</v>
      </c>
      <c r="L201" s="55">
        <f t="shared" si="30"/>
        <v>7.9880238006854853E-3</v>
      </c>
      <c r="M201" s="51">
        <f t="shared" si="28"/>
        <v>2.1395282607989339</v>
      </c>
      <c r="N201" s="94">
        <f t="shared" si="24"/>
        <v>605.14573411728588</v>
      </c>
      <c r="O201" s="56">
        <f t="shared" si="25"/>
        <v>135.37555091076749</v>
      </c>
      <c r="P201" s="57">
        <f t="shared" si="26"/>
        <v>137.88856781315306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2.7342193948357769</v>
      </c>
      <c r="K202" s="51">
        <f t="shared" si="29"/>
        <v>2.1381256741361652</v>
      </c>
      <c r="L202" s="55">
        <f t="shared" si="30"/>
        <v>8.6267313363896127E-3</v>
      </c>
      <c r="M202" s="51">
        <f t="shared" si="28"/>
        <v>2.1467524054725549</v>
      </c>
      <c r="N202" s="94">
        <f t="shared" si="24"/>
        <v>542.27476502381307</v>
      </c>
      <c r="O202" s="56">
        <f t="shared" si="25"/>
        <v>137.44396464837521</v>
      </c>
      <c r="P202" s="57">
        <f t="shared" si="26"/>
        <v>140.20141779224815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2.6807014684649966</v>
      </c>
      <c r="K203" s="51">
        <f t="shared" si="29"/>
        <v>2.1455235465004807</v>
      </c>
      <c r="L203" s="55">
        <f t="shared" si="30"/>
        <v>9.3679108940401632E-3</v>
      </c>
      <c r="M203" s="51">
        <f t="shared" si="28"/>
        <v>2.154891457394521</v>
      </c>
      <c r="N203" s="94">
        <f t="shared" si="24"/>
        <v>479.40379593033896</v>
      </c>
      <c r="O203" s="56">
        <f t="shared" si="25"/>
        <v>139.80527126397001</v>
      </c>
      <c r="P203" s="57">
        <f t="shared" si="26"/>
        <v>142.8536881689177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2.6196492337195605</v>
      </c>
      <c r="K204" s="51">
        <f t="shared" si="29"/>
        <v>2.1539628988975417</v>
      </c>
      <c r="L204" s="55">
        <f t="shared" si="30"/>
        <v>1.0237299421543068E-2</v>
      </c>
      <c r="M204" s="51">
        <f t="shared" si="28"/>
        <v>2.1642001983190848</v>
      </c>
      <c r="N204" s="97">
        <f t="shared" si="24"/>
        <v>416.53282683686507</v>
      </c>
      <c r="O204" s="91">
        <f t="shared" si="25"/>
        <v>142.54858113635476</v>
      </c>
      <c r="P204" s="92">
        <f t="shared" si="26"/>
        <v>145.9486890252148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7" zoomScaleNormal="100" workbookViewId="0">
      <selection activeCell="H44" sqref="H44:I45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G20 120L'!R7</f>
        <v>1.4578648939290255</v>
      </c>
      <c r="B2" s="48">
        <f>'New Vestas G20 120L'!T7</f>
        <v>138.47528590532582</v>
      </c>
      <c r="C2" s="50">
        <f t="shared" ref="C2:D32" si="0">IF(ISNA(A2),"",LOG10(A2))</f>
        <v>0.16371727806983555</v>
      </c>
      <c r="D2" s="50">
        <f t="shared" si="0"/>
        <v>2.1413722704930462</v>
      </c>
      <c r="E2" s="51">
        <f>IF(C2="","",C2^2)</f>
        <v>2.6803347138595855E-2</v>
      </c>
      <c r="F2" s="51">
        <f>IF(D2="","",D2^2)</f>
        <v>4.5854752008365436</v>
      </c>
      <c r="G2" s="52">
        <f>IF(OR(C2="",D2=""),"",C2*D2)</f>
        <v>0.35057963945934517</v>
      </c>
      <c r="H2" s="53" t="s">
        <v>57</v>
      </c>
      <c r="I2" s="54">
        <f>COUNT(C:C)</f>
        <v>31</v>
      </c>
      <c r="J2" s="51">
        <f t="shared" ref="J2:J65" si="1">LOG($I$24+($I$25-$I$24)*(ROW()-2)/100)</f>
        <v>1.194286804047362</v>
      </c>
      <c r="K2" s="51">
        <f t="shared" ref="K2:K65" si="2">+$I$14+$I$13*J2</f>
        <v>1.9871641628468577</v>
      </c>
      <c r="L2" s="55">
        <f t="shared" ref="L2:L65" si="3">SQRT(2*$I$20*$I$17)*SQRT((1/$I$2)+((J2-$I$11)^2/$I$8))</f>
        <v>1.1380562867968054E-2</v>
      </c>
      <c r="M2" s="51">
        <f t="shared" ref="M2:M65" si="4">+$I$14+$I$13*J2-L2</f>
        <v>1.9757835999788897</v>
      </c>
      <c r="N2" s="94">
        <f>10^$J2</f>
        <v>15.641802717763225</v>
      </c>
      <c r="O2" s="56">
        <f>10^K2</f>
        <v>97.087688831235326</v>
      </c>
      <c r="P2" s="57">
        <f t="shared" ref="P2:P65" si="5">10^M2</f>
        <v>94.576578826893027</v>
      </c>
      <c r="R2" s="47"/>
      <c r="S2" s="47"/>
      <c r="T2" s="47"/>
    </row>
    <row r="3" spans="1:20" ht="12.75" customHeight="1" x14ac:dyDescent="0.35">
      <c r="A3" s="49">
        <f>'New Vestas G20 120L'!R8</f>
        <v>2.4297748232150425</v>
      </c>
      <c r="B3" s="48">
        <f>'New Vestas G20 120L'!T8</f>
        <v>128.9393080514532</v>
      </c>
      <c r="C3" s="50">
        <f t="shared" si="0"/>
        <v>0.38556602768619191</v>
      </c>
      <c r="D3" s="50">
        <f t="shared" si="0"/>
        <v>2.1103853352543176</v>
      </c>
      <c r="E3" s="51">
        <f t="shared" ref="E3:F32" si="6">IF(C3="","",C3^2)</f>
        <v>0.14866116170570931</v>
      </c>
      <c r="F3" s="51">
        <f t="shared" si="6"/>
        <v>4.4537262632564785</v>
      </c>
      <c r="G3" s="52">
        <f t="shared" ref="G3:G32" si="7">IF(OR(C3="",D3=""),"",C3*D3)</f>
        <v>0.81369289060119965</v>
      </c>
      <c r="H3" s="53" t="s">
        <v>58</v>
      </c>
      <c r="I3" s="58">
        <f>SUM(C:C)</f>
        <v>17.105951251240008</v>
      </c>
      <c r="J3" s="51">
        <f t="shared" si="1"/>
        <v>1.1901944895924381</v>
      </c>
      <c r="K3" s="51">
        <f t="shared" si="2"/>
        <v>1.9877298503102028</v>
      </c>
      <c r="L3" s="55">
        <f t="shared" si="3"/>
        <v>1.1320163844717587E-2</v>
      </c>
      <c r="M3" s="51">
        <f t="shared" si="4"/>
        <v>1.9764096864654852</v>
      </c>
      <c r="N3" s="94">
        <f t="shared" ref="N3:N66" si="8">10^$J3</f>
        <v>15.495103789878458</v>
      </c>
      <c r="O3" s="56">
        <f t="shared" ref="O3:O66" si="9">10^K3</f>
        <v>97.21423216744229</v>
      </c>
      <c r="P3" s="57">
        <f t="shared" si="5"/>
        <v>94.71302039423837</v>
      </c>
      <c r="R3" s="47"/>
      <c r="S3" s="47"/>
      <c r="T3" s="47"/>
    </row>
    <row r="4" spans="1:20" ht="12.75" customHeight="1" x14ac:dyDescent="0.35">
      <c r="A4" s="49">
        <f>'New Vestas G20 120L'!R9</f>
        <v>2.915729787858051</v>
      </c>
      <c r="B4" s="48">
        <f>'New Vestas G20 120L'!T9</f>
        <v>119.78359925310309</v>
      </c>
      <c r="C4" s="50">
        <f t="shared" si="0"/>
        <v>0.46474727373381675</v>
      </c>
      <c r="D4" s="50">
        <f t="shared" si="0"/>
        <v>2.0783973586085747</v>
      </c>
      <c r="E4" s="51">
        <f t="shared" si="6"/>
        <v>0.21599002844301518</v>
      </c>
      <c r="F4" s="51">
        <f t="shared" si="6"/>
        <v>4.3197355802711002</v>
      </c>
      <c r="G4" s="52">
        <f t="shared" si="7"/>
        <v>0.96592950614890094</v>
      </c>
      <c r="H4" s="59" t="s">
        <v>59</v>
      </c>
      <c r="I4" s="58">
        <f>SUM(D:D)</f>
        <v>64.35524089081234</v>
      </c>
      <c r="J4" s="51">
        <f t="shared" si="1"/>
        <v>1.1860632465473071</v>
      </c>
      <c r="K4" s="51">
        <f t="shared" si="2"/>
        <v>1.9883009189376024</v>
      </c>
      <c r="L4" s="55">
        <f t="shared" si="3"/>
        <v>1.1259256262923347E-2</v>
      </c>
      <c r="M4" s="51">
        <f t="shared" si="4"/>
        <v>1.977041662674679</v>
      </c>
      <c r="N4" s="94">
        <f t="shared" si="8"/>
        <v>15.348404861993686</v>
      </c>
      <c r="O4" s="56">
        <f t="shared" si="9"/>
        <v>97.342146558220378</v>
      </c>
      <c r="P4" s="57">
        <f t="shared" si="5"/>
        <v>94.850945120636737</v>
      </c>
      <c r="R4" s="47"/>
      <c r="S4" s="47"/>
      <c r="T4" s="47"/>
    </row>
    <row r="5" spans="1:20" ht="12.75" customHeight="1" x14ac:dyDescent="0.35">
      <c r="A5" s="49">
        <f>'New Vestas G20 120L'!R10</f>
        <v>0.97190992928601705</v>
      </c>
      <c r="B5" s="48">
        <f>'New Vestas G20 120L'!T10</f>
        <v>144.23390887684323</v>
      </c>
      <c r="C5" s="50">
        <f t="shared" si="0"/>
        <v>-1.2373980985845686E-2</v>
      </c>
      <c r="D5" s="50">
        <f t="shared" si="0"/>
        <v>2.1590673734686971</v>
      </c>
      <c r="E5" s="51">
        <f t="shared" si="6"/>
        <v>1.5311540543807057E-4</v>
      </c>
      <c r="F5" s="51">
        <f t="shared" si="6"/>
        <v>4.6615719231770187</v>
      </c>
      <c r="G5" s="52">
        <f t="shared" si="7"/>
        <v>-2.6716258626461445E-2</v>
      </c>
      <c r="H5" s="59" t="s">
        <v>60</v>
      </c>
      <c r="I5" s="58">
        <f>SUM(E:E)</f>
        <v>11.992368018593165</v>
      </c>
      <c r="J5" s="51">
        <f t="shared" si="1"/>
        <v>1.1818923271683131</v>
      </c>
      <c r="K5" s="51">
        <f t="shared" si="2"/>
        <v>1.9888774720909117</v>
      </c>
      <c r="L5" s="55">
        <f t="shared" si="3"/>
        <v>1.1197832088661524E-2</v>
      </c>
      <c r="M5" s="51">
        <f t="shared" si="4"/>
        <v>1.9776796400022503</v>
      </c>
      <c r="N5" s="94">
        <f t="shared" si="8"/>
        <v>15.201705934108915</v>
      </c>
      <c r="O5" s="56">
        <f t="shared" si="9"/>
        <v>97.47146017772873</v>
      </c>
      <c r="P5" s="57">
        <f t="shared" si="5"/>
        <v>94.990383274491904</v>
      </c>
      <c r="R5" s="47"/>
      <c r="S5" s="47"/>
      <c r="T5" s="47"/>
    </row>
    <row r="6" spans="1:20" ht="12.75" customHeight="1" x14ac:dyDescent="0.35">
      <c r="A6" s="49">
        <f>'New Vestas G20 120L'!R11</f>
        <v>1.4578648939290255</v>
      </c>
      <c r="B6" s="48">
        <f>'New Vestas G20 120L'!T11</f>
        <v>140.89783799974145</v>
      </c>
      <c r="C6" s="50">
        <f t="shared" si="0"/>
        <v>0.16371727806983555</v>
      </c>
      <c r="D6" s="50">
        <f t="shared" si="0"/>
        <v>2.1489043291492007</v>
      </c>
      <c r="E6" s="51">
        <f t="shared" si="6"/>
        <v>2.6803347138595855E-2</v>
      </c>
      <c r="F6" s="51">
        <f t="shared" si="6"/>
        <v>4.6177898158361765</v>
      </c>
      <c r="G6" s="52">
        <f t="shared" si="7"/>
        <v>0.35181276760079311</v>
      </c>
      <c r="H6" s="59" t="s">
        <v>61</v>
      </c>
      <c r="I6" s="58">
        <f>SUM(F:F)</f>
        <v>133.65160125971101</v>
      </c>
      <c r="J6" s="51">
        <f t="shared" si="1"/>
        <v>1.177680961958627</v>
      </c>
      <c r="K6" s="51">
        <f t="shared" si="2"/>
        <v>1.9894596161389624</v>
      </c>
      <c r="L6" s="55">
        <f t="shared" si="3"/>
        <v>1.1135883122377923E-2</v>
      </c>
      <c r="M6" s="51">
        <f t="shared" si="4"/>
        <v>1.9783237330165844</v>
      </c>
      <c r="N6" s="94">
        <f t="shared" si="8"/>
        <v>15.055007006224146</v>
      </c>
      <c r="O6" s="56">
        <f t="shared" si="9"/>
        <v>97.60220205810073</v>
      </c>
      <c r="P6" s="57">
        <f t="shared" si="5"/>
        <v>95.131366033033871</v>
      </c>
      <c r="R6" s="47"/>
      <c r="S6" s="47"/>
      <c r="T6" s="47"/>
    </row>
    <row r="7" spans="1:20" ht="12.75" customHeight="1" x14ac:dyDescent="0.35">
      <c r="A7" s="49">
        <f>'New Vestas G20 120L'!R12</f>
        <v>1.9438198585720341</v>
      </c>
      <c r="B7" s="48">
        <f>'New Vestas G20 120L'!T12</f>
        <v>129.45570016687481</v>
      </c>
      <c r="C7" s="50">
        <f t="shared" si="0"/>
        <v>0.28865601467813551</v>
      </c>
      <c r="D7" s="50">
        <f t="shared" si="0"/>
        <v>2.1121211779575835</v>
      </c>
      <c r="E7" s="51">
        <f t="shared" si="6"/>
        <v>8.3322294809863987E-2</v>
      </c>
      <c r="F7" s="51">
        <f t="shared" si="6"/>
        <v>4.4610558703769296</v>
      </c>
      <c r="G7" s="52">
        <f t="shared" si="7"/>
        <v>0.60967648174652511</v>
      </c>
      <c r="H7" s="59" t="s">
        <v>62</v>
      </c>
      <c r="I7" s="58">
        <f>SUM(G:G)</f>
        <v>35.158599960831985</v>
      </c>
      <c r="J7" s="51">
        <f t="shared" si="1"/>
        <v>1.1734283588161947</v>
      </c>
      <c r="K7" s="51">
        <f t="shared" si="2"/>
        <v>1.9900474605753451</v>
      </c>
      <c r="L7" s="55">
        <f t="shared" si="3"/>
        <v>1.1073400995926557E-2</v>
      </c>
      <c r="M7" s="51">
        <f t="shared" si="4"/>
        <v>1.9789740595794185</v>
      </c>
      <c r="N7" s="94">
        <f t="shared" si="8"/>
        <v>14.908308078339369</v>
      </c>
      <c r="O7" s="56">
        <f t="shared" si="9"/>
        <v>97.73440212423526</v>
      </c>
      <c r="P7" s="57">
        <f t="shared" si="5"/>
        <v>95.273925518385354</v>
      </c>
      <c r="R7" s="47"/>
      <c r="S7" s="47"/>
      <c r="T7" s="47"/>
    </row>
    <row r="8" spans="1:20" ht="12.75" customHeight="1" x14ac:dyDescent="0.35">
      <c r="A8" s="49">
        <f>'New Vestas G20 120L'!R13</f>
        <v>2.915729787858051</v>
      </c>
      <c r="B8" s="48">
        <f>'New Vestas G20 120L'!T13</f>
        <v>124.10042849573773</v>
      </c>
      <c r="C8" s="50">
        <f t="shared" si="0"/>
        <v>0.46474727373381675</v>
      </c>
      <c r="D8" s="50">
        <f t="shared" si="0"/>
        <v>2.0937732810395286</v>
      </c>
      <c r="E8" s="51">
        <f t="shared" si="6"/>
        <v>0.21599002844301518</v>
      </c>
      <c r="F8" s="51">
        <f t="shared" si="6"/>
        <v>4.3838865523950332</v>
      </c>
      <c r="G8" s="52">
        <f t="shared" si="7"/>
        <v>0.9730754241798294</v>
      </c>
      <c r="H8" s="53" t="s">
        <v>63</v>
      </c>
      <c r="I8" s="58">
        <f>+I5-I3^2/$I$2</f>
        <v>2.553220656986726</v>
      </c>
      <c r="J8" s="51">
        <f t="shared" si="1"/>
        <v>1.1691337021395525</v>
      </c>
      <c r="K8" s="51">
        <f t="shared" si="2"/>
        <v>1.9906411181420123</v>
      </c>
      <c r="L8" s="55">
        <f t="shared" si="3"/>
        <v>1.1010377169687776E-2</v>
      </c>
      <c r="M8" s="51">
        <f t="shared" si="4"/>
        <v>1.9796307409723246</v>
      </c>
      <c r="N8" s="94">
        <f t="shared" si="8"/>
        <v>14.761609150454595</v>
      </c>
      <c r="O8" s="56">
        <f t="shared" si="9"/>
        <v>97.868091230355788</v>
      </c>
      <c r="P8" s="57">
        <f t="shared" si="5"/>
        <v>95.41809483540554</v>
      </c>
      <c r="R8" s="47"/>
      <c r="S8" s="47"/>
      <c r="T8" s="47"/>
    </row>
    <row r="9" spans="1:20" ht="12.75" customHeight="1" x14ac:dyDescent="0.35">
      <c r="A9" s="49">
        <f>'New Vestas G20 120L'!R14</f>
        <v>0.97190992928601705</v>
      </c>
      <c r="B9" s="48">
        <f>'New Vestas G20 120L'!T14</f>
        <v>142.5189443282251</v>
      </c>
      <c r="C9" s="50">
        <f t="shared" si="0"/>
        <v>-1.2373980985845686E-2</v>
      </c>
      <c r="D9" s="50">
        <f t="shared" si="0"/>
        <v>2.1538725967681969</v>
      </c>
      <c r="E9" s="51">
        <f t="shared" si="6"/>
        <v>1.5311540543807057E-4</v>
      </c>
      <c r="F9" s="51">
        <f t="shared" si="6"/>
        <v>4.6391671631089757</v>
      </c>
      <c r="G9" s="52">
        <f t="shared" si="7"/>
        <v>-2.6651978558343739E-2</v>
      </c>
      <c r="H9" s="59" t="s">
        <v>64</v>
      </c>
      <c r="I9" s="58">
        <f>+I6-I4^2/$I$2</f>
        <v>5.169706246957162E-2</v>
      </c>
      <c r="J9" s="51">
        <f t="shared" si="1"/>
        <v>1.1647961518889884</v>
      </c>
      <c r="K9" s="51">
        <f t="shared" si="2"/>
        <v>1.9912407049590566</v>
      </c>
      <c r="L9" s="55">
        <f t="shared" si="3"/>
        <v>1.0946802929787973E-2</v>
      </c>
      <c r="M9" s="51">
        <f t="shared" si="4"/>
        <v>1.9802939020292687</v>
      </c>
      <c r="N9" s="94">
        <f t="shared" si="8"/>
        <v>14.614910222569824</v>
      </c>
      <c r="O9" s="56">
        <f t="shared" si="9"/>
        <v>98.003301198448838</v>
      </c>
      <c r="P9" s="57">
        <f t="shared" si="5"/>
        <v>95.563908111419508</v>
      </c>
      <c r="R9" s="47"/>
      <c r="S9" s="47"/>
      <c r="T9" s="47"/>
    </row>
    <row r="10" spans="1:20" ht="12.75" customHeight="1" x14ac:dyDescent="0.35">
      <c r="A10" s="49">
        <f>'New Vestas G20 120L'!R15</f>
        <v>1.4578648939290255</v>
      </c>
      <c r="B10" s="48">
        <f>'New Vestas G20 120L'!T15</f>
        <v>133.45670982827062</v>
      </c>
      <c r="C10" s="50">
        <f t="shared" si="0"/>
        <v>0.16371727806983555</v>
      </c>
      <c r="D10" s="50">
        <f t="shared" si="0"/>
        <v>2.1253404137783507</v>
      </c>
      <c r="E10" s="51">
        <f t="shared" si="6"/>
        <v>2.6803347138595855E-2</v>
      </c>
      <c r="F10" s="51">
        <f t="shared" si="6"/>
        <v>4.5170718744395311</v>
      </c>
      <c r="G10" s="52">
        <f t="shared" si="7"/>
        <v>0.34795494751560957</v>
      </c>
      <c r="H10" s="59" t="s">
        <v>65</v>
      </c>
      <c r="I10" s="58">
        <f>+I7-I3*I4/$I$2</f>
        <v>-0.35293595658877308</v>
      </c>
      <c r="J10" s="51">
        <f t="shared" si="1"/>
        <v>1.160414842600344</v>
      </c>
      <c r="K10" s="51">
        <f t="shared" si="2"/>
        <v>1.9918463406610347</v>
      </c>
      <c r="L10" s="55">
        <f t="shared" si="3"/>
        <v>1.0882669385445892E-2</v>
      </c>
      <c r="M10" s="51">
        <f t="shared" si="4"/>
        <v>1.9809636712755889</v>
      </c>
      <c r="N10" s="94">
        <f t="shared" si="8"/>
        <v>14.46821129468505</v>
      </c>
      <c r="O10" s="56">
        <f t="shared" si="9"/>
        <v>98.140064858694444</v>
      </c>
      <c r="P10" s="57">
        <f t="shared" si="5"/>
        <v>95.711400537942012</v>
      </c>
      <c r="R10" s="47"/>
      <c r="S10" s="47"/>
      <c r="T10" s="47"/>
    </row>
    <row r="11" spans="1:20" ht="12.75" customHeight="1" x14ac:dyDescent="0.35">
      <c r="A11" s="49">
        <f>'New Vestas G20 120L'!R16</f>
        <v>1.9438198585720341</v>
      </c>
      <c r="B11" s="48">
        <f>'New Vestas G20 120L'!T16</f>
        <v>124.71603849452865</v>
      </c>
      <c r="C11" s="50">
        <f t="shared" si="0"/>
        <v>0.28865601467813551</v>
      </c>
      <c r="D11" s="50">
        <f t="shared" si="0"/>
        <v>2.0959223073821125</v>
      </c>
      <c r="E11" s="51">
        <f t="shared" si="6"/>
        <v>8.3322294809863987E-2</v>
      </c>
      <c r="F11" s="51">
        <f t="shared" si="6"/>
        <v>4.3928903185819586</v>
      </c>
      <c r="G11" s="52">
        <f t="shared" si="7"/>
        <v>0.60500058032392268</v>
      </c>
      <c r="H11" s="59" t="s">
        <v>66</v>
      </c>
      <c r="I11" s="58">
        <f>+I3/$I$2</f>
        <v>0.55180487907225828</v>
      </c>
      <c r="J11" s="51">
        <f t="shared" si="1"/>
        <v>1.1559888823485618</v>
      </c>
      <c r="K11" s="51">
        <f t="shared" si="2"/>
        <v>1.9924581485402371</v>
      </c>
      <c r="L11" s="55">
        <f t="shared" si="3"/>
        <v>1.0817967466474124E-2</v>
      </c>
      <c r="M11" s="51">
        <f t="shared" si="4"/>
        <v>1.9816401810737629</v>
      </c>
      <c r="N11" s="94">
        <f t="shared" si="8"/>
        <v>14.321512366800278</v>
      </c>
      <c r="O11" s="56">
        <f t="shared" si="9"/>
        <v>98.278416092016982</v>
      </c>
      <c r="P11" s="57">
        <f t="shared" si="5"/>
        <v>95.860608414516946</v>
      </c>
      <c r="R11" s="47"/>
      <c r="S11" s="47"/>
      <c r="T11" s="47"/>
    </row>
    <row r="12" spans="1:20" ht="12.75" customHeight="1" x14ac:dyDescent="0.35">
      <c r="A12" s="49">
        <f>'New Vestas G20 120L'!R17</f>
        <v>2.915729787858051</v>
      </c>
      <c r="B12" s="48">
        <f>'New Vestas G20 120L'!T17</f>
        <v>123.89751408438963</v>
      </c>
      <c r="C12" s="50">
        <f t="shared" si="0"/>
        <v>0.46474727373381675</v>
      </c>
      <c r="D12" s="50">
        <f t="shared" si="0"/>
        <v>2.0930625926531992</v>
      </c>
      <c r="E12" s="51">
        <f t="shared" si="6"/>
        <v>0.21599002844301518</v>
      </c>
      <c r="F12" s="51">
        <f t="shared" si="6"/>
        <v>4.3809110167641316</v>
      </c>
      <c r="G12" s="52">
        <f t="shared" si="7"/>
        <v>0.97274513368980853</v>
      </c>
      <c r="H12" s="59" t="s">
        <v>67</v>
      </c>
      <c r="I12" s="58">
        <f>+I4/$I$2</f>
        <v>2.0759755126068495</v>
      </c>
      <c r="J12" s="51">
        <f t="shared" si="1"/>
        <v>1.1515173516578741</v>
      </c>
      <c r="K12" s="51">
        <f t="shared" si="2"/>
        <v>1.9930762556973349</v>
      </c>
      <c r="L12" s="55">
        <f t="shared" si="3"/>
        <v>1.0752687920968227E-2</v>
      </c>
      <c r="M12" s="51">
        <f t="shared" si="4"/>
        <v>1.9823235677763666</v>
      </c>
      <c r="N12" s="94">
        <f t="shared" si="8"/>
        <v>14.174813438915509</v>
      </c>
      <c r="O12" s="56">
        <f t="shared" si="9"/>
        <v>98.418389874887467</v>
      </c>
      <c r="P12" s="57">
        <f t="shared" si="5"/>
        <v>96.011569194800558</v>
      </c>
      <c r="R12" s="47"/>
      <c r="S12" s="47"/>
      <c r="T12" s="47"/>
    </row>
    <row r="13" spans="1:20" ht="12.75" customHeight="1" x14ac:dyDescent="0.35">
      <c r="A13" s="49">
        <f>'New Vestas G20 120L'!R18</f>
        <v>3.6513833219278529</v>
      </c>
      <c r="B13" s="48">
        <f>'New Vestas G20 120L'!T18</f>
        <v>125.0881979570498</v>
      </c>
      <c r="C13" s="50">
        <f t="shared" si="0"/>
        <v>0.56245742754285488</v>
      </c>
      <c r="D13" s="50">
        <f t="shared" si="0"/>
        <v>2.0972163360409928</v>
      </c>
      <c r="E13" s="51">
        <f t="shared" si="6"/>
        <v>0.31635835779812582</v>
      </c>
      <c r="F13" s="51">
        <f t="shared" si="6"/>
        <v>4.3983163601572066</v>
      </c>
      <c r="G13" s="52">
        <f t="shared" si="7"/>
        <v>1.1795949053704682</v>
      </c>
      <c r="H13" s="59" t="s">
        <v>68</v>
      </c>
      <c r="I13" s="60">
        <f>+I10/I8</f>
        <v>-0.13823167050720284</v>
      </c>
      <c r="J13" s="51">
        <f t="shared" si="1"/>
        <v>1.1469993023553009</v>
      </c>
      <c r="K13" s="51">
        <f t="shared" si="2"/>
        <v>1.9937007931998636</v>
      </c>
      <c r="L13" s="55">
        <f t="shared" si="3"/>
        <v>1.0686821313220426E-2</v>
      </c>
      <c r="M13" s="51">
        <f t="shared" si="4"/>
        <v>1.9830139718866431</v>
      </c>
      <c r="N13" s="94">
        <f t="shared" si="8"/>
        <v>14.028114511030738</v>
      </c>
      <c r="O13" s="56">
        <f t="shared" si="9"/>
        <v>98.560022326523466</v>
      </c>
      <c r="P13" s="57">
        <f t="shared" si="5"/>
        <v>96.164321535024129</v>
      </c>
      <c r="R13" s="47"/>
      <c r="S13" s="47"/>
      <c r="T13" s="47"/>
    </row>
    <row r="14" spans="1:20" ht="12.75" customHeight="1" x14ac:dyDescent="0.35">
      <c r="A14" s="49">
        <f>'New Vestas G20 120L'!R19</f>
        <v>4.259947208915829</v>
      </c>
      <c r="B14" s="48">
        <f>'New Vestas G20 120L'!T19</f>
        <v>116.38083086759765</v>
      </c>
      <c r="C14" s="50">
        <f t="shared" si="0"/>
        <v>0.62940421717346817</v>
      </c>
      <c r="D14" s="50">
        <f t="shared" si="0"/>
        <v>2.0658814533894834</v>
      </c>
      <c r="E14" s="51">
        <f t="shared" si="6"/>
        <v>0.3961496685957463</v>
      </c>
      <c r="F14" s="51">
        <f t="shared" si="6"/>
        <v>4.2678661794586441</v>
      </c>
      <c r="G14" s="52">
        <f t="shared" si="7"/>
        <v>1.3002744989437944</v>
      </c>
      <c r="H14" s="59" t="s">
        <v>69</v>
      </c>
      <c r="I14" s="60">
        <f>+I12-I13*I11</f>
        <v>2.152252422835033</v>
      </c>
      <c r="J14" s="51">
        <f t="shared" si="1"/>
        <v>1.142433756363882</v>
      </c>
      <c r="K14" s="51">
        <f t="shared" si="2"/>
        <v>1.9943318962490348</v>
      </c>
      <c r="L14" s="55">
        <f t="shared" si="3"/>
        <v>1.0620358021899812E-2</v>
      </c>
      <c r="M14" s="51">
        <f t="shared" si="4"/>
        <v>1.9837115382271351</v>
      </c>
      <c r="N14" s="94">
        <f t="shared" si="8"/>
        <v>13.881415583145966</v>
      </c>
      <c r="O14" s="56">
        <f t="shared" si="9"/>
        <v>98.703350758640013</v>
      </c>
      <c r="P14" s="57">
        <f t="shared" si="5"/>
        <v>96.318905344983605</v>
      </c>
      <c r="R14" s="47"/>
      <c r="S14" s="47"/>
      <c r="T14" s="47"/>
    </row>
    <row r="15" spans="1:20" ht="12.75" customHeight="1" thickBot="1" x14ac:dyDescent="0.4">
      <c r="A15" s="49">
        <f>'New Vestas G20 120L'!R20</f>
        <v>4.8685110959038047</v>
      </c>
      <c r="B15" s="48">
        <f>'New Vestas G20 120L'!T20</f>
        <v>113.91740208566142</v>
      </c>
      <c r="C15" s="50">
        <f t="shared" si="0"/>
        <v>0.6873961641511549</v>
      </c>
      <c r="D15" s="50">
        <f t="shared" si="0"/>
        <v>2.0565900722133681</v>
      </c>
      <c r="E15" s="51">
        <f t="shared" si="6"/>
        <v>0.47251348648972147</v>
      </c>
      <c r="F15" s="51">
        <f t="shared" si="6"/>
        <v>4.2295627251265868</v>
      </c>
      <c r="G15" s="52">
        <f t="shared" si="7"/>
        <v>1.4136921268708158</v>
      </c>
      <c r="H15" s="61" t="s">
        <v>70</v>
      </c>
      <c r="I15" s="62">
        <f>+I10^2/(I8*I9)</f>
        <v>0.94370791164467493</v>
      </c>
      <c r="J15" s="51">
        <f t="shared" si="1"/>
        <v>1.1378197044318021</v>
      </c>
      <c r="K15" s="51">
        <f t="shared" si="2"/>
        <v>1.9949697043554133</v>
      </c>
      <c r="L15" s="55">
        <f t="shared" si="3"/>
        <v>1.0553288238546794E-2</v>
      </c>
      <c r="M15" s="51">
        <f t="shared" si="4"/>
        <v>1.9844164161168665</v>
      </c>
      <c r="N15" s="94">
        <f t="shared" si="8"/>
        <v>13.734716655261193</v>
      </c>
      <c r="O15" s="56">
        <f t="shared" si="9"/>
        <v>98.848413727918668</v>
      </c>
      <c r="P15" s="57">
        <f t="shared" si="5"/>
        <v>96.475361841712584</v>
      </c>
      <c r="R15" s="47"/>
      <c r="S15" s="47"/>
      <c r="T15" s="47"/>
    </row>
    <row r="16" spans="1:20" ht="12.75" customHeight="1" x14ac:dyDescent="0.35">
      <c r="A16" s="49">
        <f>'New Vestas G20 120L'!R21</f>
        <v>5.4770749828917795</v>
      </c>
      <c r="B16" s="48">
        <f>'New Vestas G20 120L'!T21</f>
        <v>111.6490963684362</v>
      </c>
      <c r="C16" s="50">
        <f t="shared" si="0"/>
        <v>0.73854868659853612</v>
      </c>
      <c r="D16" s="50">
        <f t="shared" si="0"/>
        <v>2.0478552124608385</v>
      </c>
      <c r="E16" s="51">
        <f t="shared" si="6"/>
        <v>0.54545416247642275</v>
      </c>
      <c r="F16" s="51">
        <f t="shared" si="6"/>
        <v>4.1937109712030258</v>
      </c>
      <c r="G16" s="52">
        <f t="shared" si="7"/>
        <v>1.5124407775069184</v>
      </c>
      <c r="H16" s="63" t="s">
        <v>71</v>
      </c>
      <c r="I16" s="64"/>
      <c r="J16" s="51">
        <f t="shared" si="1"/>
        <v>1.1331561047932754</v>
      </c>
      <c r="K16" s="51">
        <f t="shared" si="2"/>
        <v>1.9956143615240236</v>
      </c>
      <c r="L16" s="55">
        <f t="shared" si="3"/>
        <v>1.0485601966435845E-2</v>
      </c>
      <c r="M16" s="51">
        <f t="shared" si="4"/>
        <v>1.9851287595575877</v>
      </c>
      <c r="N16" s="94">
        <f t="shared" si="8"/>
        <v>13.588017727376418</v>
      </c>
      <c r="O16" s="56">
        <f t="shared" si="9"/>
        <v>98.995251091373646</v>
      </c>
      <c r="P16" s="57">
        <f t="shared" si="5"/>
        <v>96.633733606007709</v>
      </c>
      <c r="R16" s="47"/>
      <c r="S16" s="47"/>
      <c r="T16" s="47"/>
    </row>
    <row r="17" spans="1:20" ht="12.75" customHeight="1" x14ac:dyDescent="0.35">
      <c r="A17" s="49">
        <f>'New Vestas G20 120L'!R22</f>
        <v>6.6942027568677309</v>
      </c>
      <c r="B17" s="48">
        <f>'New Vestas G20 120L'!T22</f>
        <v>107.64907339062384</v>
      </c>
      <c r="C17" s="50">
        <f t="shared" si="0"/>
        <v>0.82569886231743628</v>
      </c>
      <c r="D17" s="50">
        <f t="shared" si="0"/>
        <v>2.032010295905248</v>
      </c>
      <c r="E17" s="51">
        <f t="shared" si="6"/>
        <v>0.68177861123230854</v>
      </c>
      <c r="F17" s="51">
        <f t="shared" si="6"/>
        <v>4.1290658426649332</v>
      </c>
      <c r="G17" s="52">
        <f t="shared" si="7"/>
        <v>1.6778285895462803</v>
      </c>
      <c r="H17" s="53" t="s">
        <v>72</v>
      </c>
      <c r="I17" s="65">
        <f>(+I9-(+I10^2/I8))/($I$2-2)</f>
        <v>1.0034950373268589E-4</v>
      </c>
      <c r="J17" s="51">
        <f t="shared" si="1"/>
        <v>1.1284418817567492</v>
      </c>
      <c r="K17" s="51">
        <f t="shared" si="2"/>
        <v>1.9962660164495061</v>
      </c>
      <c r="L17" s="55">
        <f t="shared" si="3"/>
        <v>1.0417289019868133E-2</v>
      </c>
      <c r="M17" s="51">
        <f t="shared" si="4"/>
        <v>1.9858487274296379</v>
      </c>
      <c r="N17" s="94">
        <f t="shared" si="8"/>
        <v>13.441318799491651</v>
      </c>
      <c r="O17" s="56">
        <f t="shared" si="9"/>
        <v>99.143904064808879</v>
      </c>
      <c r="P17" s="57">
        <f t="shared" si="5"/>
        <v>96.794064641985543</v>
      </c>
      <c r="R17" s="47"/>
      <c r="S17" s="47"/>
      <c r="T17" s="47"/>
    </row>
    <row r="18" spans="1:20" ht="12.75" customHeight="1" x14ac:dyDescent="0.35">
      <c r="A18" s="49">
        <f>'New Vestas G20 120L'!R23</f>
        <v>7.3027666438557057</v>
      </c>
      <c r="B18" s="48">
        <f>'New Vestas G20 120L'!T23</f>
        <v>106.60028688260051</v>
      </c>
      <c r="C18" s="50">
        <f t="shared" si="0"/>
        <v>0.86348742320683602</v>
      </c>
      <c r="D18" s="50">
        <f t="shared" si="0"/>
        <v>2.0277583734650628</v>
      </c>
      <c r="E18" s="51">
        <f t="shared" si="6"/>
        <v>0.74561053003638156</v>
      </c>
      <c r="F18" s="51">
        <f t="shared" si="6"/>
        <v>4.1118040211576776</v>
      </c>
      <c r="G18" s="52">
        <f t="shared" si="7"/>
        <v>1.7509438527894321</v>
      </c>
      <c r="H18" s="66" t="s">
        <v>53</v>
      </c>
      <c r="I18" s="67">
        <v>0.95</v>
      </c>
      <c r="J18" s="51">
        <f t="shared" si="1"/>
        <v>1.123675924215636</v>
      </c>
      <c r="K18" s="51">
        <f t="shared" si="2"/>
        <v>1.9969248227219807</v>
      </c>
      <c r="L18" s="55">
        <f t="shared" si="3"/>
        <v>1.0348339023963779E-2</v>
      </c>
      <c r="M18" s="51">
        <f t="shared" si="4"/>
        <v>1.9865764836980169</v>
      </c>
      <c r="N18" s="94">
        <f t="shared" si="8"/>
        <v>13.294619871606875</v>
      </c>
      <c r="O18" s="56">
        <f t="shared" si="9"/>
        <v>99.294415284574015</v>
      </c>
      <c r="P18" s="57">
        <f t="shared" si="5"/>
        <v>96.95640043986576</v>
      </c>
      <c r="R18" s="47"/>
      <c r="S18" s="47"/>
      <c r="T18" s="47"/>
    </row>
    <row r="19" spans="1:20" ht="12.75" customHeight="1" x14ac:dyDescent="0.35">
      <c r="A19" s="49">
        <f>'New Vestas G20 120L'!R24</f>
        <v>2.4342555479519024</v>
      </c>
      <c r="B19" s="48">
        <f>'New Vestas G20 120L'!T24</f>
        <v>122.60037878831164</v>
      </c>
      <c r="C19" s="50">
        <f t="shared" si="0"/>
        <v>0.3863661684871737</v>
      </c>
      <c r="D19" s="50">
        <f t="shared" si="0"/>
        <v>2.0884918119884275</v>
      </c>
      <c r="E19" s="51">
        <f t="shared" si="6"/>
        <v>0.1492788161514591</v>
      </c>
      <c r="F19" s="51">
        <f t="shared" si="6"/>
        <v>4.3617980487427053</v>
      </c>
      <c r="G19" s="52">
        <f t="shared" si="7"/>
        <v>0.80692257931480349</v>
      </c>
      <c r="H19" s="53" t="s">
        <v>73</v>
      </c>
      <c r="I19" s="68">
        <f>_xlfn.T.INV(1-(1-I18)/2,I2-2)</f>
        <v>2.0452296421327034</v>
      </c>
      <c r="J19" s="51">
        <f t="shared" si="1"/>
        <v>1.1188570840764203</v>
      </c>
      <c r="K19" s="51">
        <f t="shared" si="2"/>
        <v>1.9975909390443316</v>
      </c>
      <c r="L19" s="55">
        <f t="shared" si="3"/>
        <v>1.0278741415033089E-2</v>
      </c>
      <c r="M19" s="51">
        <f t="shared" si="4"/>
        <v>1.9873121976292984</v>
      </c>
      <c r="N19" s="94">
        <f t="shared" si="8"/>
        <v>13.147920943722104</v>
      </c>
      <c r="O19" s="56">
        <f t="shared" si="9"/>
        <v>99.446828872842971</v>
      </c>
      <c r="P19" s="57">
        <f t="shared" si="5"/>
        <v>97.120788042187542</v>
      </c>
      <c r="R19" s="47"/>
      <c r="S19" s="47"/>
      <c r="T19" s="47"/>
    </row>
    <row r="20" spans="1:20" ht="12.75" customHeight="1" x14ac:dyDescent="0.35">
      <c r="A20" s="49">
        <f>'New Vestas G20 120L'!R25</f>
        <v>3.0428194349398776</v>
      </c>
      <c r="B20" s="48">
        <f>'New Vestas G20 120L'!T25</f>
        <v>118.35645197110961</v>
      </c>
      <c r="C20" s="50">
        <f t="shared" si="0"/>
        <v>0.48327618149523005</v>
      </c>
      <c r="D20" s="50">
        <f t="shared" si="0"/>
        <v>2.073191937626949</v>
      </c>
      <c r="E20" s="51">
        <f t="shared" si="6"/>
        <v>0.23355586760061053</v>
      </c>
      <c r="F20" s="51">
        <f t="shared" si="6"/>
        <v>4.2981248102413829</v>
      </c>
      <c r="G20" s="52">
        <f t="shared" si="7"/>
        <v>1.001924283123049</v>
      </c>
      <c r="H20" s="53" t="s">
        <v>74</v>
      </c>
      <c r="I20" s="68">
        <f>_xlfn.F.INV(I18,2,I2-2)</f>
        <v>3.3276544985720586</v>
      </c>
      <c r="J20" s="51">
        <f t="shared" si="1"/>
        <v>1.113984174598575</v>
      </c>
      <c r="K20" s="51">
        <f t="shared" si="2"/>
        <v>1.9982645294616845</v>
      </c>
      <c r="L20" s="55">
        <f t="shared" si="3"/>
        <v>1.0208485441616819E-2</v>
      </c>
      <c r="M20" s="51">
        <f t="shared" si="4"/>
        <v>1.9880560440200676</v>
      </c>
      <c r="N20" s="94">
        <f t="shared" si="8"/>
        <v>13.001222015837334</v>
      </c>
      <c r="O20" s="56">
        <f t="shared" si="9"/>
        <v>99.601190506660629</v>
      </c>
      <c r="P20" s="57">
        <f t="shared" si="5"/>
        <v>97.287276113683433</v>
      </c>
      <c r="R20" s="47"/>
      <c r="S20" s="47"/>
      <c r="T20" s="47"/>
    </row>
    <row r="21" spans="1:20" ht="12.75" customHeight="1" x14ac:dyDescent="0.35">
      <c r="A21" s="49">
        <f>'New Vestas G20 120L'!R26</f>
        <v>3.6513833219278529</v>
      </c>
      <c r="B21" s="48">
        <f>'New Vestas G20 120L'!T26</f>
        <v>117.42961737884711</v>
      </c>
      <c r="C21" s="50">
        <f t="shared" si="0"/>
        <v>0.56245742754285488</v>
      </c>
      <c r="D21" s="50">
        <f t="shared" si="0"/>
        <v>2.0697776458212562</v>
      </c>
      <c r="E21" s="51">
        <f t="shared" si="6"/>
        <v>0.31635835779812582</v>
      </c>
      <c r="F21" s="51">
        <f t="shared" si="6"/>
        <v>4.2839795031413814</v>
      </c>
      <c r="G21" s="52">
        <f t="shared" si="7"/>
        <v>1.1641618102543301</v>
      </c>
      <c r="H21" s="53" t="s">
        <v>75</v>
      </c>
      <c r="I21" s="68">
        <f>I19*SQRT(I17)*(($I$8)^(-1/2))</f>
        <v>1.282199249275769E-2</v>
      </c>
      <c r="J21" s="51">
        <f t="shared" si="1"/>
        <v>1.1090559686402823</v>
      </c>
      <c r="K21" s="51">
        <f t="shared" si="2"/>
        <v>1.9989457636039027</v>
      </c>
      <c r="L21" s="55">
        <f t="shared" si="3"/>
        <v>1.0137560166297712E-2</v>
      </c>
      <c r="M21" s="51">
        <f t="shared" si="4"/>
        <v>1.9888082034376051</v>
      </c>
      <c r="N21" s="94">
        <f t="shared" si="8"/>
        <v>12.854523087952559</v>
      </c>
      <c r="O21" s="56">
        <f t="shared" si="9"/>
        <v>99.757547491017917</v>
      </c>
      <c r="P21" s="57">
        <f t="shared" si="5"/>
        <v>97.455915015049655</v>
      </c>
      <c r="R21" s="47"/>
      <c r="S21" s="47"/>
      <c r="T21" s="47"/>
    </row>
    <row r="22" spans="1:20" ht="12.75" customHeight="1" thickBot="1" x14ac:dyDescent="0.4">
      <c r="A22" s="49">
        <f>'New Vestas G20 120L'!R27</f>
        <v>4.259947208915829</v>
      </c>
      <c r="B22" s="48">
        <f>'New Vestas G20 120L'!T27</f>
        <v>115.47838665829444</v>
      </c>
      <c r="C22" s="50">
        <f t="shared" si="0"/>
        <v>0.62940421717346817</v>
      </c>
      <c r="D22" s="50">
        <f t="shared" si="0"/>
        <v>2.0625007077485633</v>
      </c>
      <c r="E22" s="51">
        <f t="shared" si="6"/>
        <v>0.3961496685957463</v>
      </c>
      <c r="F22" s="51">
        <f t="shared" si="6"/>
        <v>4.2539091694633244</v>
      </c>
      <c r="G22" s="52">
        <f t="shared" si="7"/>
        <v>1.2981466433802085</v>
      </c>
      <c r="H22" s="61" t="s">
        <v>76</v>
      </c>
      <c r="I22" s="69">
        <f>I19*SQRT(I17)*(1/I2+I11^2/I8)^(1/2)</f>
        <v>7.9749348736784346E-3</v>
      </c>
      <c r="J22" s="51">
        <f t="shared" si="1"/>
        <v>1.1040711968034729</v>
      </c>
      <c r="K22" s="51">
        <f t="shared" si="2"/>
        <v>1.9996348169420024</v>
      </c>
      <c r="L22" s="55">
        <f t="shared" si="3"/>
        <v>1.0065954468399597E-2</v>
      </c>
      <c r="M22" s="51">
        <f t="shared" si="4"/>
        <v>1.9895688624736028</v>
      </c>
      <c r="N22" s="94">
        <f t="shared" si="8"/>
        <v>12.707824160067785</v>
      </c>
      <c r="O22" s="56">
        <f t="shared" si="9"/>
        <v>99.915948836240204</v>
      </c>
      <c r="P22" s="57">
        <f t="shared" si="5"/>
        <v>97.626756880871923</v>
      </c>
      <c r="R22" s="47"/>
      <c r="S22" s="47"/>
      <c r="T22" s="47"/>
    </row>
    <row r="23" spans="1:20" ht="12.75" customHeight="1" x14ac:dyDescent="0.35">
      <c r="A23" s="49">
        <f>'New Vestas G20 120L'!R28</f>
        <v>5.4770749828917795</v>
      </c>
      <c r="B23" s="48">
        <f>'New Vestas G20 120L'!T28</f>
        <v>114.47838091401121</v>
      </c>
      <c r="C23" s="50">
        <f t="shared" si="0"/>
        <v>0.73854868659853612</v>
      </c>
      <c r="D23" s="50">
        <f t="shared" si="0"/>
        <v>2.0587234784990724</v>
      </c>
      <c r="E23" s="51">
        <f t="shared" si="6"/>
        <v>0.54545416247642275</v>
      </c>
      <c r="F23" s="51">
        <f t="shared" si="6"/>
        <v>4.2383423609233208</v>
      </c>
      <c r="G23" s="52">
        <f t="shared" si="7"/>
        <v>1.5204675211150596</v>
      </c>
      <c r="H23" s="63" t="s">
        <v>77</v>
      </c>
      <c r="I23" s="70"/>
      <c r="J23" s="51">
        <f t="shared" si="1"/>
        <v>1.0990285454711683</v>
      </c>
      <c r="K23" s="51">
        <f t="shared" si="2"/>
        <v>2.0003318710594522</v>
      </c>
      <c r="L23" s="55">
        <f t="shared" si="3"/>
        <v>9.9936570477061754E-3</v>
      </c>
      <c r="M23" s="51">
        <f t="shared" si="4"/>
        <v>1.990338214011746</v>
      </c>
      <c r="N23" s="94">
        <f t="shared" si="8"/>
        <v>12.561125232183015</v>
      </c>
      <c r="O23" s="56">
        <f t="shared" si="9"/>
        <v>100.07644533999644</v>
      </c>
      <c r="P23" s="57">
        <f t="shared" si="5"/>
        <v>97.799855701983304</v>
      </c>
      <c r="R23" s="47"/>
      <c r="S23" s="47"/>
      <c r="T23" s="47"/>
    </row>
    <row r="24" spans="1:20" ht="12.75" customHeight="1" x14ac:dyDescent="0.35">
      <c r="A24" s="49">
        <f>'New Vestas G20 120L'!R29</f>
        <v>6.0856388698797552</v>
      </c>
      <c r="B24" s="48">
        <f>'New Vestas G20 120L'!T29</f>
        <v>113.47837516972798</v>
      </c>
      <c r="C24" s="50">
        <f t="shared" si="0"/>
        <v>0.78430617715921125</v>
      </c>
      <c r="D24" s="50">
        <f t="shared" si="0"/>
        <v>2.0549131087604637</v>
      </c>
      <c r="E24" s="51">
        <f t="shared" si="6"/>
        <v>0.61513617953009603</v>
      </c>
      <c r="F24" s="51">
        <f t="shared" si="6"/>
        <v>4.2226678845555936</v>
      </c>
      <c r="G24" s="52">
        <f t="shared" si="7"/>
        <v>1.6116810447262697</v>
      </c>
      <c r="H24" s="66" t="s">
        <v>78</v>
      </c>
      <c r="I24" s="71">
        <f>10^(MAX(C:C))</f>
        <v>15.641802717763225</v>
      </c>
      <c r="J24" s="51">
        <f t="shared" si="1"/>
        <v>1.0939266547295354</v>
      </c>
      <c r="K24" s="51">
        <f t="shared" si="2"/>
        <v>2.0010371139394132</v>
      </c>
      <c r="L24" s="55">
        <f t="shared" si="3"/>
        <v>9.920656429349679E-3</v>
      </c>
      <c r="M24" s="51">
        <f t="shared" si="4"/>
        <v>1.9911164575100635</v>
      </c>
      <c r="N24" s="94">
        <f t="shared" si="8"/>
        <v>12.414426304298242</v>
      </c>
      <c r="O24" s="56">
        <f t="shared" si="9"/>
        <v>100.23908967426364</v>
      </c>
      <c r="P24" s="57">
        <f t="shared" si="5"/>
        <v>97.975267412554928</v>
      </c>
      <c r="R24" s="47"/>
      <c r="S24" s="47"/>
      <c r="T24" s="47"/>
    </row>
    <row r="25" spans="1:20" ht="12.75" customHeight="1" thickBot="1" x14ac:dyDescent="0.4">
      <c r="A25" s="49">
        <f>'New Vestas G20 120L'!R30</f>
        <v>6.6942027568677309</v>
      </c>
      <c r="B25" s="48">
        <f>'New Vestas G20 120L'!T30</f>
        <v>107.47834070402855</v>
      </c>
      <c r="C25" s="50">
        <f t="shared" si="0"/>
        <v>0.82569886231743628</v>
      </c>
      <c r="D25" s="50">
        <f t="shared" si="0"/>
        <v>2.0313209529914356</v>
      </c>
      <c r="E25" s="51">
        <f t="shared" si="6"/>
        <v>0.68177861123230854</v>
      </c>
      <c r="F25" s="51">
        <f t="shared" si="6"/>
        <v>4.1262648140620337</v>
      </c>
      <c r="G25" s="52">
        <f t="shared" si="7"/>
        <v>1.6772593998865988</v>
      </c>
      <c r="H25" s="72" t="s">
        <v>79</v>
      </c>
      <c r="I25" s="73">
        <f>10^(MIN(C:C))</f>
        <v>0.97190992928601705</v>
      </c>
      <c r="J25" s="51">
        <f t="shared" si="1"/>
        <v>1.0887641161664279</v>
      </c>
      <c r="K25" s="51">
        <f t="shared" si="2"/>
        <v>2.0017507402690495</v>
      </c>
      <c r="L25" s="55">
        <f t="shared" si="3"/>
        <v>9.8469409700403486E-3</v>
      </c>
      <c r="M25" s="51">
        <f t="shared" si="4"/>
        <v>1.9919037992990092</v>
      </c>
      <c r="N25" s="94">
        <f t="shared" si="8"/>
        <v>12.267727376413472</v>
      </c>
      <c r="O25" s="56">
        <f t="shared" si="9"/>
        <v>100.40393647760692</v>
      </c>
      <c r="P25" s="57">
        <f t="shared" si="5"/>
        <v>98.153049982240887</v>
      </c>
      <c r="R25" s="47"/>
      <c r="S25" s="47"/>
      <c r="T25" s="47"/>
    </row>
    <row r="26" spans="1:20" ht="12.75" customHeight="1" x14ac:dyDescent="0.35">
      <c r="A26" s="49">
        <f>'New Vestas G20 120L'!R31</f>
        <v>3.0428194349398776</v>
      </c>
      <c r="B26" s="48">
        <f>'New Vestas G20 120L'!T31</f>
        <v>118.64312103662732</v>
      </c>
      <c r="C26" s="50">
        <f t="shared" si="0"/>
        <v>0.48327618149523005</v>
      </c>
      <c r="D26" s="50">
        <f t="shared" si="0"/>
        <v>2.0742425627603511</v>
      </c>
      <c r="E26" s="51">
        <f t="shared" si="6"/>
        <v>0.23355586760061053</v>
      </c>
      <c r="F26" s="51">
        <f t="shared" si="6"/>
        <v>4.3024822091666293</v>
      </c>
      <c r="G26" s="52">
        <f t="shared" si="7"/>
        <v>1.0024320252257026</v>
      </c>
      <c r="H26" s="63" t="s">
        <v>80</v>
      </c>
      <c r="I26" s="70"/>
      <c r="J26" s="51">
        <f t="shared" si="1"/>
        <v>1.0835394705375012</v>
      </c>
      <c r="K26" s="51">
        <f t="shared" si="2"/>
        <v>2.0024729517621442</v>
      </c>
      <c r="L26" s="55">
        <f t="shared" si="3"/>
        <v>9.7724988658312723E-3</v>
      </c>
      <c r="M26" s="51">
        <f t="shared" si="4"/>
        <v>1.992700452896313</v>
      </c>
      <c r="N26" s="94">
        <f t="shared" si="8"/>
        <v>12.121028448528699</v>
      </c>
      <c r="O26" s="56">
        <f t="shared" si="9"/>
        <v>100.57104245316872</v>
      </c>
      <c r="P26" s="57">
        <f t="shared" si="5"/>
        <v>98.333263513724148</v>
      </c>
      <c r="R26" s="47" t="s">
        <v>81</v>
      </c>
      <c r="S26" s="47"/>
      <c r="T26" s="47"/>
    </row>
    <row r="27" spans="1:20" ht="12.75" customHeight="1" x14ac:dyDescent="0.35">
      <c r="A27" s="49">
        <f>'New Vestas G20 120L'!R32</f>
        <v>3.6513833219278529</v>
      </c>
      <c r="B27" s="48">
        <f>'New Vestas G20 120L'!T32</f>
        <v>115.05547298976759</v>
      </c>
      <c r="C27" s="50">
        <f t="shared" si="0"/>
        <v>0.56245742754285488</v>
      </c>
      <c r="D27" s="50">
        <f t="shared" si="0"/>
        <v>2.0609072821330621</v>
      </c>
      <c r="E27" s="51">
        <f t="shared" si="6"/>
        <v>0.31635835779812582</v>
      </c>
      <c r="F27" s="51">
        <f t="shared" si="6"/>
        <v>4.2473388255490843</v>
      </c>
      <c r="G27" s="52">
        <f t="shared" si="7"/>
        <v>1.1591726083128988</v>
      </c>
      <c r="H27" s="53" t="str">
        <f>"m lower " &amp; TEXT(I18,"##%") &amp; " conf"</f>
        <v>m lower 95% conf</v>
      </c>
      <c r="I27" s="74">
        <f>-I13-I21</f>
        <v>0.12540967801444514</v>
      </c>
      <c r="J27" s="51">
        <f t="shared" si="1"/>
        <v>1.0782512052902247</v>
      </c>
      <c r="K27" s="51">
        <f t="shared" si="2"/>
        <v>2.0032039575013605</v>
      </c>
      <c r="L27" s="55">
        <f t="shared" si="3"/>
        <v>9.6973181616401109E-3</v>
      </c>
      <c r="M27" s="51">
        <f t="shared" si="4"/>
        <v>1.9935066393397203</v>
      </c>
      <c r="N27" s="94">
        <f t="shared" si="8"/>
        <v>11.974329520643931</v>
      </c>
      <c r="O27" s="56">
        <f t="shared" si="9"/>
        <v>100.74046647279499</v>
      </c>
      <c r="P27" s="57">
        <f t="shared" si="5"/>
        <v>98.51597034604012</v>
      </c>
      <c r="R27" s="47"/>
      <c r="S27" s="47"/>
      <c r="T27" s="47"/>
    </row>
    <row r="28" spans="1:20" ht="12.75" customHeight="1" x14ac:dyDescent="0.35">
      <c r="A28" s="49">
        <f>'New Vestas G20 120L'!R33</f>
        <v>4.8685110959038047</v>
      </c>
      <c r="B28" s="48">
        <f>'New Vestas G20 120L'!T33</f>
        <v>112.3464326278531</v>
      </c>
      <c r="C28" s="50">
        <f t="shared" si="0"/>
        <v>0.6873961641511549</v>
      </c>
      <c r="D28" s="50">
        <f t="shared" si="0"/>
        <v>2.0505592866827347</v>
      </c>
      <c r="E28" s="51">
        <f t="shared" si="6"/>
        <v>0.47251348648972147</v>
      </c>
      <c r="F28" s="51">
        <f t="shared" si="6"/>
        <v>4.2047933882008053</v>
      </c>
      <c r="G28" s="52">
        <f t="shared" si="7"/>
        <v>1.4095465880302402</v>
      </c>
      <c r="H28" s="75" t="s">
        <v>82</v>
      </c>
      <c r="I28" s="76">
        <f>-I13</f>
        <v>0.13823167050720284</v>
      </c>
      <c r="J28" s="51">
        <f t="shared" si="1"/>
        <v>1.0728977519352778</v>
      </c>
      <c r="K28" s="51">
        <f t="shared" si="2"/>
        <v>2.0039439743015972</v>
      </c>
      <c r="L28" s="55">
        <f t="shared" si="3"/>
        <v>9.6213867627802305E-3</v>
      </c>
      <c r="M28" s="51">
        <f t="shared" si="4"/>
        <v>1.9943225875388171</v>
      </c>
      <c r="N28" s="94">
        <f t="shared" si="8"/>
        <v>11.827630592759158</v>
      </c>
      <c r="O28" s="56">
        <f t="shared" si="9"/>
        <v>100.91226968776171</v>
      </c>
      <c r="P28" s="57">
        <f t="shared" si="5"/>
        <v>98.701235164080913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G20 120L'!R34</f>
        <v>5.4770749828917795</v>
      </c>
      <c r="B29" s="48">
        <f>'New Vestas G20 120L'!T34</f>
        <v>110.88208648627773</v>
      </c>
      <c r="C29" s="50">
        <f t="shared" si="0"/>
        <v>0.73854868659853612</v>
      </c>
      <c r="D29" s="50">
        <f t="shared" si="0"/>
        <v>2.0448613895346086</v>
      </c>
      <c r="E29" s="51">
        <f t="shared" si="6"/>
        <v>0.54545416247642275</v>
      </c>
      <c r="F29" s="51">
        <f t="shared" si="6"/>
        <v>4.18145810240941</v>
      </c>
      <c r="G29" s="52">
        <f t="shared" si="7"/>
        <v>1.5102296935168427</v>
      </c>
      <c r="H29" s="77" t="str">
        <f>"m upper " &amp; TEXT(I18,"##%") &amp; " conf"</f>
        <v>m upper 95% conf</v>
      </c>
      <c r="I29" s="74">
        <f>-I13+I21</f>
        <v>0.15105366299996054</v>
      </c>
      <c r="J29" s="51">
        <f t="shared" si="1"/>
        <v>1.0674774832539049</v>
      </c>
      <c r="K29" s="51">
        <f t="shared" si="2"/>
        <v>2.0046932270960212</v>
      </c>
      <c r="L29" s="55">
        <f t="shared" si="3"/>
        <v>9.5446924487891799E-3</v>
      </c>
      <c r="M29" s="51">
        <f t="shared" si="4"/>
        <v>1.995148534647232</v>
      </c>
      <c r="N29" s="94">
        <f t="shared" si="8"/>
        <v>11.680931664874381</v>
      </c>
      <c r="O29" s="56">
        <f t="shared" si="9"/>
        <v>101.0865156466093</v>
      </c>
      <c r="P29" s="57">
        <f t="shared" si="5"/>
        <v>98.889125114717899</v>
      </c>
      <c r="R29" s="47"/>
      <c r="S29" s="47"/>
      <c r="T29" s="47"/>
    </row>
    <row r="30" spans="1:20" ht="12.75" customHeight="1" x14ac:dyDescent="0.35">
      <c r="A30" s="49">
        <f>'New Vestas G20 120L'!R35</f>
        <v>6.0856388698797552</v>
      </c>
      <c r="B30" s="48">
        <f>'New Vestas G20 120L'!T35</f>
        <v>110.63802879601515</v>
      </c>
      <c r="C30" s="50">
        <f t="shared" si="0"/>
        <v>0.78430617715921125</v>
      </c>
      <c r="D30" s="50">
        <f t="shared" si="0"/>
        <v>2.0439044294779753</v>
      </c>
      <c r="E30" s="51">
        <f t="shared" si="6"/>
        <v>0.61513617953009603</v>
      </c>
      <c r="F30" s="51">
        <f t="shared" si="6"/>
        <v>4.1775453168396881</v>
      </c>
      <c r="G30" s="52">
        <f t="shared" si="7"/>
        <v>1.6030468695626496</v>
      </c>
      <c r="H30" s="77" t="str">
        <f>"C lower " &amp; TEXT(I18,"##%") &amp; " conf"</f>
        <v>C lower 95% conf</v>
      </c>
      <c r="I30" s="78">
        <f>10^(I14-I22)</f>
        <v>139.4047230490475</v>
      </c>
      <c r="J30" s="51">
        <f t="shared" si="1"/>
        <v>1.0619887103287851</v>
      </c>
      <c r="K30" s="51">
        <f t="shared" si="2"/>
        <v>2.0054519493464951</v>
      </c>
      <c r="L30" s="55">
        <f t="shared" si="3"/>
        <v>9.4672228898831246E-3</v>
      </c>
      <c r="M30" s="51">
        <f t="shared" si="4"/>
        <v>1.995984726456612</v>
      </c>
      <c r="N30" s="94">
        <f t="shared" si="8"/>
        <v>11.534232736989608</v>
      </c>
      <c r="O30" s="56">
        <f t="shared" si="9"/>
        <v>101.26327042063589</v>
      </c>
      <c r="P30" s="57">
        <f t="shared" si="5"/>
        <v>99.079709930015369</v>
      </c>
      <c r="R30" s="47"/>
      <c r="S30" s="47"/>
      <c r="T30" s="47"/>
    </row>
    <row r="31" spans="1:20" ht="12.75" customHeight="1" x14ac:dyDescent="0.35">
      <c r="A31" s="49">
        <f>'New Vestas G20 120L'!R36</f>
        <v>15.641802717763225</v>
      </c>
      <c r="B31" s="48">
        <f>'New Vestas G20 120L'!T36</f>
        <v>101.0765920893912</v>
      </c>
      <c r="C31" s="50">
        <f t="shared" si="0"/>
        <v>1.194286804047362</v>
      </c>
      <c r="D31" s="50">
        <f t="shared" si="0"/>
        <v>2.0046505907694194</v>
      </c>
      <c r="E31" s="51">
        <f t="shared" si="6"/>
        <v>1.4263209703216619</v>
      </c>
      <c r="F31" s="51">
        <f t="shared" si="6"/>
        <v>4.0186239910721824</v>
      </c>
      <c r="G31" s="52">
        <f t="shared" si="7"/>
        <v>2.394127747281666</v>
      </c>
      <c r="H31" s="75" t="s">
        <v>83</v>
      </c>
      <c r="I31" s="79">
        <f>10^I14</f>
        <v>141.98825532194067</v>
      </c>
      <c r="J31" s="51">
        <f t="shared" si="1"/>
        <v>1.0564296793848633</v>
      </c>
      <c r="K31" s="51">
        <f t="shared" si="2"/>
        <v>2.0062203834802745</v>
      </c>
      <c r="L31" s="55">
        <f t="shared" si="3"/>
        <v>9.3889656664125805E-3</v>
      </c>
      <c r="M31" s="51">
        <f t="shared" si="4"/>
        <v>1.996831417813862</v>
      </c>
      <c r="N31" s="94">
        <f t="shared" si="8"/>
        <v>11.387533809104839</v>
      </c>
      <c r="O31" s="56">
        <f t="shared" si="9"/>
        <v>101.442602737652</v>
      </c>
      <c r="P31" s="57">
        <f t="shared" si="5"/>
        <v>99.273062058044658</v>
      </c>
      <c r="R31" s="47"/>
      <c r="S31" s="47"/>
      <c r="T31" s="47"/>
    </row>
    <row r="32" spans="1:20" ht="12.75" customHeight="1" thickBot="1" x14ac:dyDescent="0.4">
      <c r="A32" s="49">
        <f>'New Vestas G20 120L'!R37</f>
        <v>13.034835598136022</v>
      </c>
      <c r="B32" s="48">
        <f>'New Vestas G20 120L'!T37</f>
        <v>99.463772200994654</v>
      </c>
      <c r="C32" s="50">
        <f t="shared" si="0"/>
        <v>1.1151055579997373</v>
      </c>
      <c r="D32" s="50">
        <f t="shared" si="0"/>
        <v>1.9976649259902204</v>
      </c>
      <c r="E32" s="51">
        <f t="shared" si="6"/>
        <v>1.2434604054819056</v>
      </c>
      <c r="F32" s="51">
        <f t="shared" si="6"/>
        <v>3.9906651565315125</v>
      </c>
      <c r="G32" s="52">
        <f t="shared" si="7"/>
        <v>2.2276072619928287</v>
      </c>
      <c r="H32" s="61" t="str">
        <f>"C upper " &amp; TEXT(I18,"##%") &amp; " conf"</f>
        <v>C upper 95% conf</v>
      </c>
      <c r="I32" s="80">
        <f>10^(I14+I22)</f>
        <v>144.61966717064084</v>
      </c>
      <c r="J32" s="51">
        <f t="shared" si="1"/>
        <v>1.0507985684253576</v>
      </c>
      <c r="K32" s="51">
        <f t="shared" si="2"/>
        <v>2.0069987813550187</v>
      </c>
      <c r="L32" s="55">
        <f t="shared" si="3"/>
        <v>9.3099082917485303E-3</v>
      </c>
      <c r="M32" s="51">
        <f t="shared" si="4"/>
        <v>1.9976888730632703</v>
      </c>
      <c r="N32" s="94">
        <f t="shared" si="8"/>
        <v>11.240834881220065</v>
      </c>
      <c r="O32" s="56">
        <f t="shared" si="9"/>
        <v>101.62458412465486</v>
      </c>
      <c r="P32" s="57">
        <f t="shared" si="5"/>
        <v>99.46925680185295</v>
      </c>
      <c r="R32" s="47"/>
      <c r="S32" s="47"/>
      <c r="T32" s="47"/>
    </row>
    <row r="33" spans="1:20" ht="12.75" customHeight="1" x14ac:dyDescent="0.35">
      <c r="A33" s="49"/>
      <c r="B33" s="48"/>
      <c r="C33" s="50"/>
      <c r="D33" s="50"/>
      <c r="E33" s="51"/>
      <c r="F33" s="51"/>
      <c r="G33" s="52"/>
      <c r="H33" s="63" t="s">
        <v>84</v>
      </c>
      <c r="I33" s="81"/>
      <c r="J33" s="51">
        <f t="shared" si="1"/>
        <v>1.0450934836467949</v>
      </c>
      <c r="K33" s="51">
        <f t="shared" si="2"/>
        <v>2.0077874047543447</v>
      </c>
      <c r="L33" s="55">
        <f t="shared" si="3"/>
        <v>9.2300382390897578E-3</v>
      </c>
      <c r="M33" s="51">
        <f t="shared" si="4"/>
        <v>1.998557366515255</v>
      </c>
      <c r="N33" s="94">
        <f t="shared" si="8"/>
        <v>11.094135953335291</v>
      </c>
      <c r="O33" s="56">
        <f t="shared" si="9"/>
        <v>101.80928906014225</v>
      </c>
      <c r="P33" s="57">
        <f t="shared" si="5"/>
        <v>99.668372467182976</v>
      </c>
      <c r="R33" s="47"/>
      <c r="S33" s="47"/>
      <c r="T33" s="47"/>
    </row>
    <row r="34" spans="1:20" ht="12.75" customHeight="1" thickBot="1" x14ac:dyDescent="0.4">
      <c r="A34" s="49"/>
      <c r="B34" s="48"/>
      <c r="C34" s="50"/>
      <c r="D34" s="50"/>
      <c r="E34" s="51"/>
      <c r="F34" s="51"/>
      <c r="G34" s="52"/>
      <c r="H34" s="82" t="str">
        <f>"G20 Fit: S = " &amp; TEXT(I31,"0,00 E+00 ") &amp; " * N ^ -" &amp; TEXT(I28,"0,00")</f>
        <v>G20 Fit: S = 142 E+00  * N ^ -000</v>
      </c>
      <c r="I34" s="62"/>
      <c r="J34" s="51">
        <f t="shared" si="1"/>
        <v>1.0393124556154303</v>
      </c>
      <c r="K34" s="51">
        <f t="shared" si="2"/>
        <v>2.0085865259163689</v>
      </c>
      <c r="L34" s="55">
        <f t="shared" si="3"/>
        <v>9.1493429727536567E-3</v>
      </c>
      <c r="M34" s="51">
        <f t="shared" si="4"/>
        <v>1.9994371829436153</v>
      </c>
      <c r="N34" s="94">
        <f t="shared" si="8"/>
        <v>10.947437025450524</v>
      </c>
      <c r="O34" s="56">
        <f t="shared" si="9"/>
        <v>101.9967951368546</v>
      </c>
      <c r="P34" s="57">
        <f t="shared" si="5"/>
        <v>99.870490519594114</v>
      </c>
      <c r="R34" s="47"/>
      <c r="S34" s="47"/>
      <c r="T34" s="47"/>
    </row>
    <row r="35" spans="1:20" ht="12.75" customHeight="1" thickBot="1" x14ac:dyDescent="0.4">
      <c r="A35" s="49"/>
      <c r="B35" s="48"/>
      <c r="C35" s="50"/>
      <c r="D35" s="50"/>
      <c r="E35" s="51"/>
      <c r="F35" s="51"/>
      <c r="G35" s="52"/>
      <c r="H35" s="82" t="str">
        <f>"G20 Fit: N = " &amp; TEXT((1/I31)^(-1/I28),"0,00 E+00 ") &amp; " * S ^ -" &amp; TEXT(1/I28,"0,00")</f>
        <v>G20 Fit: N = 3,714 E+12  * S ^ -007</v>
      </c>
      <c r="I35" s="84"/>
      <c r="J35" s="51">
        <f t="shared" si="1"/>
        <v>1.0334534351857254</v>
      </c>
      <c r="K35" s="51">
        <f t="shared" si="2"/>
        <v>2.0093964280979031</v>
      </c>
      <c r="L35" s="55">
        <f t="shared" si="3"/>
        <v>9.0678099845948115E-3</v>
      </c>
      <c r="M35" s="51">
        <f t="shared" si="4"/>
        <v>2.0003286181133082</v>
      </c>
      <c r="N35" s="94">
        <f t="shared" si="8"/>
        <v>10.80073809756575</v>
      </c>
      <c r="O35" s="56">
        <f t="shared" si="9"/>
        <v>102.18718323580978</v>
      </c>
      <c r="P35" s="57">
        <f t="shared" si="5"/>
        <v>100.07569575168401</v>
      </c>
      <c r="R35" s="47"/>
      <c r="S35" s="47"/>
      <c r="T35" s="47"/>
    </row>
    <row r="36" spans="1:20" ht="12.75" customHeight="1" x14ac:dyDescent="0.35">
      <c r="A36" s="49"/>
      <c r="B36" s="48"/>
      <c r="C36" s="50"/>
      <c r="D36" s="50"/>
      <c r="E36" s="51"/>
      <c r="F36" s="51"/>
      <c r="G36" s="52"/>
      <c r="H36" s="83"/>
      <c r="I36" s="83"/>
      <c r="J36" s="51">
        <f t="shared" si="1"/>
        <v>1.0275142891397282</v>
      </c>
      <c r="K36" s="51">
        <f t="shared" si="2"/>
        <v>2.0102174061772273</v>
      </c>
      <c r="L36" s="55">
        <f t="shared" si="3"/>
        <v>8.9854268362909145E-3</v>
      </c>
      <c r="M36" s="51">
        <f t="shared" si="4"/>
        <v>2.0012319793409366</v>
      </c>
      <c r="N36" s="94">
        <f t="shared" si="8"/>
        <v>10.654039169680976</v>
      </c>
      <c r="O36" s="56">
        <f t="shared" si="9"/>
        <v>102.38053771257756</v>
      </c>
      <c r="P36" s="57">
        <f t="shared" si="5"/>
        <v>100.28407646117483</v>
      </c>
      <c r="R36" s="47"/>
      <c r="S36" s="47"/>
      <c r="T36" s="47"/>
    </row>
    <row r="37" spans="1:20" ht="12.75" customHeight="1" x14ac:dyDescent="0.35">
      <c r="A37" s="49"/>
      <c r="B37" s="48"/>
      <c r="C37" s="50"/>
      <c r="D37" s="50"/>
      <c r="E37" s="51"/>
      <c r="F37" s="51"/>
      <c r="G37" s="52"/>
      <c r="H37" s="95">
        <f>1/I28</f>
        <v>7.2342321866673309</v>
      </c>
      <c r="I37" s="85">
        <f>I31-I30</f>
        <v>2.5835322728931658</v>
      </c>
      <c r="J37" s="51">
        <f t="shared" si="1"/>
        <v>1.0214927955241266</v>
      </c>
      <c r="K37" s="51">
        <f t="shared" si="2"/>
        <v>2.0110497672986605</v>
      </c>
      <c r="L37" s="55">
        <f t="shared" si="3"/>
        <v>8.9021812083452424E-3</v>
      </c>
      <c r="M37" s="51">
        <f t="shared" si="4"/>
        <v>2.0021475860903153</v>
      </c>
      <c r="N37" s="94">
        <f t="shared" si="8"/>
        <v>10.507340241796202</v>
      </c>
      <c r="O37" s="56">
        <f t="shared" si="9"/>
        <v>102.5769465968406</v>
      </c>
      <c r="P37" s="57">
        <f t="shared" si="5"/>
        <v>100.49572464068886</v>
      </c>
      <c r="R37" s="47"/>
      <c r="S37" s="47"/>
      <c r="T37" s="47"/>
    </row>
    <row r="38" spans="1:20" ht="12.75" customHeight="1" x14ac:dyDescent="0.35">
      <c r="A38" s="49"/>
      <c r="B38" s="48"/>
      <c r="C38" s="50"/>
      <c r="D38" s="50"/>
      <c r="E38" s="51"/>
      <c r="F38" s="51"/>
      <c r="G38" s="52"/>
      <c r="H38" s="95">
        <f>((1/I27)-(1/I29))/2</f>
        <v>0.67685120157513001</v>
      </c>
      <c r="I38" s="85">
        <f>I32-I31</f>
        <v>2.6314118487001679</v>
      </c>
      <c r="J38" s="51">
        <f t="shared" si="1"/>
        <v>1.0153866386594739</v>
      </c>
      <c r="K38" s="51">
        <f t="shared" si="2"/>
        <v>2.0118938315624404</v>
      </c>
      <c r="L38" s="55">
        <f t="shared" si="3"/>
        <v>8.8180609567823816E-3</v>
      </c>
      <c r="M38" s="51">
        <f t="shared" si="4"/>
        <v>2.0030757706056579</v>
      </c>
      <c r="N38" s="94">
        <f t="shared" si="8"/>
        <v>10.360641313911433</v>
      </c>
      <c r="O38" s="56">
        <f t="shared" si="9"/>
        <v>102.77650180638527</v>
      </c>
      <c r="P38" s="57">
        <f t="shared" si="5"/>
        <v>100.71073618011083</v>
      </c>
      <c r="R38" s="47"/>
      <c r="S38" s="47"/>
      <c r="T38" s="47"/>
    </row>
    <row r="39" spans="1:20" ht="12.75" customHeight="1" x14ac:dyDescent="0.35">
      <c r="A39" s="49"/>
      <c r="B39" s="48"/>
      <c r="C39" s="50"/>
      <c r="D39" s="50"/>
      <c r="E39" s="51"/>
      <c r="F39" s="51"/>
      <c r="G39" s="52"/>
      <c r="H39" s="86"/>
      <c r="I39" s="86"/>
      <c r="J39" s="51">
        <f t="shared" si="1"/>
        <v>1.0091934037935302</v>
      </c>
      <c r="K39" s="51">
        <f t="shared" si="2"/>
        <v>2.0127499327638034</v>
      </c>
      <c r="L39" s="55">
        <f t="shared" si="3"/>
        <v>8.733054178661501E-3</v>
      </c>
      <c r="M39" s="51">
        <f t="shared" si="4"/>
        <v>2.004016878585142</v>
      </c>
      <c r="N39" s="94">
        <f t="shared" si="8"/>
        <v>10.213942386026659</v>
      </c>
      <c r="O39" s="56">
        <f t="shared" si="9"/>
        <v>102.97929937679035</v>
      </c>
      <c r="P39" s="57">
        <f t="shared" si="5"/>
        <v>100.92921108251083</v>
      </c>
      <c r="R39" s="47"/>
      <c r="S39" s="47"/>
      <c r="T39" s="47"/>
    </row>
    <row r="40" spans="1:20" ht="12.75" customHeight="1" x14ac:dyDescent="0.35">
      <c r="A40" s="49"/>
      <c r="B40" s="48"/>
      <c r="C40" s="50"/>
      <c r="D40" s="50"/>
      <c r="E40" s="51"/>
      <c r="F40" s="51"/>
      <c r="G40" s="52"/>
      <c r="H40" s="86" t="b">
        <f>H37=H38</f>
        <v>0</v>
      </c>
      <c r="I40" s="86"/>
      <c r="J40" s="51">
        <f t="shared" si="1"/>
        <v>1.0029105713678304</v>
      </c>
      <c r="K40" s="51">
        <f t="shared" si="2"/>
        <v>2.0136184191855246</v>
      </c>
      <c r="L40" s="55">
        <f t="shared" si="3"/>
        <v>8.6471492877028509E-3</v>
      </c>
      <c r="M40" s="51">
        <f t="shared" si="4"/>
        <v>2.0049712698978217</v>
      </c>
      <c r="N40" s="94">
        <f t="shared" si="8"/>
        <v>10.067243458141894</v>
      </c>
      <c r="O40" s="56">
        <f t="shared" si="9"/>
        <v>103.18543970820639</v>
      </c>
      <c r="P40" s="57">
        <f t="shared" si="5"/>
        <v>101.15125369468498</v>
      </c>
      <c r="R40" s="47"/>
      <c r="S40" s="47"/>
      <c r="T40" s="47"/>
    </row>
    <row r="41" spans="1:20" ht="12.75" customHeight="1" x14ac:dyDescent="0.35">
      <c r="A41" s="49"/>
      <c r="B41" s="48"/>
      <c r="C41" s="50"/>
      <c r="D41" s="50"/>
      <c r="E41" s="51"/>
      <c r="F41" s="51"/>
      <c r="G41" s="52"/>
      <c r="H41" s="86"/>
      <c r="I41" s="86"/>
      <c r="J41" s="51">
        <f t="shared" si="1"/>
        <v>0.99653551086340286</v>
      </c>
      <c r="K41" s="51">
        <f t="shared" si="2"/>
        <v>2.014499654448636</v>
      </c>
      <c r="L41" s="55">
        <f t="shared" si="3"/>
        <v>8.5603351015224351E-3</v>
      </c>
      <c r="M41" s="51">
        <f t="shared" si="4"/>
        <v>2.0059393193471133</v>
      </c>
      <c r="N41" s="94">
        <f t="shared" si="8"/>
        <v>9.920544530257116</v>
      </c>
      <c r="O41" s="56">
        <f t="shared" si="9"/>
        <v>103.39502783076979</v>
      </c>
      <c r="P41" s="57">
        <f t="shared" si="5"/>
        <v>101.37697295346699</v>
      </c>
      <c r="R41" s="47"/>
      <c r="S41" s="47"/>
      <c r="T41" s="47"/>
    </row>
    <row r="42" spans="1:20" ht="12.75" customHeight="1" x14ac:dyDescent="0.35">
      <c r="A42" s="49"/>
      <c r="B42" s="48"/>
      <c r="C42" s="50"/>
      <c r="D42" s="50"/>
      <c r="E42" s="51"/>
      <c r="F42" s="51"/>
      <c r="G42" s="52"/>
      <c r="H42" s="86"/>
      <c r="I42" s="86"/>
      <c r="J42" s="51">
        <f t="shared" si="1"/>
        <v>0.99006547418802626</v>
      </c>
      <c r="K42" s="51">
        <f t="shared" si="2"/>
        <v>2.0153940184265164</v>
      </c>
      <c r="L42" s="55">
        <f t="shared" si="3"/>
        <v>8.4726009422019868E-3</v>
      </c>
      <c r="M42" s="51">
        <f t="shared" si="4"/>
        <v>2.0069214174843144</v>
      </c>
      <c r="N42" s="94">
        <f t="shared" si="8"/>
        <v>9.7738456023723419</v>
      </c>
      <c r="O42" s="56">
        <f t="shared" si="9"/>
        <v>103.60817369035583</v>
      </c>
      <c r="P42" s="57">
        <f t="shared" si="5"/>
        <v>101.60648264905871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-001</v>
      </c>
      <c r="J43" s="51">
        <f t="shared" si="1"/>
        <v>0.98349758856340941</v>
      </c>
      <c r="K43" s="51">
        <f t="shared" si="2"/>
        <v>2.0163019082281073</v>
      </c>
      <c r="L43" s="55">
        <f t="shared" si="3"/>
        <v>8.3839367521915606E-3</v>
      </c>
      <c r="M43" s="51">
        <f t="shared" si="4"/>
        <v>2.0079179714759157</v>
      </c>
      <c r="N43" s="94">
        <f t="shared" si="8"/>
        <v>9.6271466744875696</v>
      </c>
      <c r="O43" s="56">
        <f t="shared" si="9"/>
        <v>103.82499245656081</v>
      </c>
      <c r="P43" s="57">
        <f t="shared" si="5"/>
        <v>101.8399017067411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 t="s">
        <v>83</v>
      </c>
      <c r="I44" s="86">
        <f>(1/$I$31)^(-1/$I$28)</f>
        <v>3714443451912400.5</v>
      </c>
      <c r="J44" s="51">
        <f t="shared" si="1"/>
        <v>0.97682884886622434</v>
      </c>
      <c r="K44" s="51">
        <f t="shared" si="2"/>
        <v>2.017223739256627</v>
      </c>
      <c r="L44" s="55">
        <f t="shared" si="3"/>
        <v>8.2943332278578447E-3</v>
      </c>
      <c r="M44" s="51">
        <f t="shared" si="4"/>
        <v>2.008929406028769</v>
      </c>
      <c r="N44" s="94">
        <f t="shared" si="8"/>
        <v>9.4804477466027972</v>
      </c>
      <c r="O44" s="56">
        <f t="shared" si="9"/>
        <v>104.04560485501288</v>
      </c>
      <c r="P44" s="57">
        <f t="shared" si="5"/>
        <v>102.07735448844959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7.2342321866673309</v>
      </c>
      <c r="J45" s="51">
        <f t="shared" si="1"/>
        <v>0.97005610937187914</v>
      </c>
      <c r="K45" s="51">
        <f t="shared" si="2"/>
        <v>2.0181599463508402</v>
      </c>
      <c r="L45" s="55">
        <f t="shared" si="3"/>
        <v>8.2037819733599415E-3</v>
      </c>
      <c r="M45" s="51">
        <f t="shared" si="4"/>
        <v>2.0099561643774804</v>
      </c>
      <c r="N45" s="94">
        <f t="shared" si="8"/>
        <v>9.3337488187180266</v>
      </c>
      <c r="O45" s="56">
        <f t="shared" si="9"/>
        <v>104.27013752634048</v>
      </c>
      <c r="P45" s="57">
        <f t="shared" si="5"/>
        <v>102.31897111582182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0.96317607484425638</v>
      </c>
      <c r="K46" s="51">
        <f t="shared" si="2"/>
        <v>2.019110985016741</v>
      </c>
      <c r="L46" s="55">
        <f t="shared" si="3"/>
        <v>8.112275677965769E-3</v>
      </c>
      <c r="M46" s="51">
        <f t="shared" si="4"/>
        <v>2.0109987093387751</v>
      </c>
      <c r="N46" s="94">
        <f t="shared" si="8"/>
        <v>9.1870498908332543</v>
      </c>
      <c r="O46" s="56">
        <f t="shared" si="9"/>
        <v>104.49872341439659</v>
      </c>
      <c r="P46" s="57">
        <f t="shared" si="5"/>
        <v>102.56488781647765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0.95618529090823978</v>
      </c>
      <c r="K47" s="51">
        <f t="shared" si="2"/>
        <v>2.0200773327583712</v>
      </c>
      <c r="L47" s="55">
        <f t="shared" si="3"/>
        <v>8.0198083204273494E-3</v>
      </c>
      <c r="M47" s="51">
        <f t="shared" si="4"/>
        <v>2.0120575244379437</v>
      </c>
      <c r="N47" s="94">
        <f t="shared" si="8"/>
        <v>9.0403509629484837</v>
      </c>
      <c r="O47" s="56">
        <f t="shared" si="9"/>
        <v>104.731502186629</v>
      </c>
      <c r="P47" s="57">
        <f t="shared" si="5"/>
        <v>102.81524729544186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0.94908013363461974</v>
      </c>
      <c r="K48" s="51">
        <f t="shared" si="2"/>
        <v>2.0210594905175201</v>
      </c>
      <c r="L48" s="55">
        <f t="shared" si="3"/>
        <v>7.9263754046255408E-3</v>
      </c>
      <c r="M48" s="51">
        <f t="shared" si="4"/>
        <v>2.0131331151128946</v>
      </c>
      <c r="N48" s="94">
        <f t="shared" si="8"/>
        <v>8.8936520350637132</v>
      </c>
      <c r="O48" s="56">
        <f t="shared" si="9"/>
        <v>104.96862068983408</v>
      </c>
      <c r="P48" s="57">
        <f t="shared" si="5"/>
        <v>103.07019913379435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0.94185679825876578</v>
      </c>
      <c r="K49" s="51">
        <f t="shared" si="2"/>
        <v>2.0220579842331583</v>
      </c>
      <c r="L49" s="55">
        <f t="shared" si="3"/>
        <v>7.8319742313895813E-3</v>
      </c>
      <c r="M49" s="51">
        <f t="shared" si="4"/>
        <v>2.0142260100017686</v>
      </c>
      <c r="N49" s="94">
        <f t="shared" si="8"/>
        <v>8.746953107178939</v>
      </c>
      <c r="O49" s="56">
        <f t="shared" si="9"/>
        <v>105.21023344490602</v>
      </c>
      <c r="P49" s="57">
        <f t="shared" si="5"/>
        <v>103.32990021681782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0.93451128694514829</v>
      </c>
      <c r="K50" s="51">
        <f t="shared" si="2"/>
        <v>2.0230733665327691</v>
      </c>
      <c r="L50" s="55">
        <f t="shared" si="3"/>
        <v>7.736604212213046E-3</v>
      </c>
      <c r="M50" s="51">
        <f t="shared" si="4"/>
        <v>2.015336762320556</v>
      </c>
      <c r="N50" s="94">
        <f t="shared" si="8"/>
        <v>8.6002541792941667</v>
      </c>
      <c r="O50" s="56">
        <f t="shared" si="9"/>
        <v>105.45650318463832</v>
      </c>
      <c r="P50" s="57">
        <f t="shared" si="5"/>
        <v>103.59451519411979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0.9270393954992</v>
      </c>
      <c r="K51" s="51">
        <f t="shared" si="2"/>
        <v>2.0241062185691909</v>
      </c>
      <c r="L51" s="55">
        <f t="shared" si="3"/>
        <v>7.6402672315467948E-3</v>
      </c>
      <c r="M51" s="51">
        <f t="shared" si="4"/>
        <v>2.0164659513376439</v>
      </c>
      <c r="N51" s="94">
        <f t="shared" si="8"/>
        <v>8.4535552514093943</v>
      </c>
      <c r="O51" s="56">
        <f t="shared" si="9"/>
        <v>105.70760143912933</v>
      </c>
      <c r="P51" s="57">
        <f t="shared" si="5"/>
        <v>103.86421697442468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0.9194366989159346</v>
      </c>
      <c r="K52" s="51">
        <f t="shared" si="2"/>
        <v>2.0251571520182554</v>
      </c>
      <c r="L52" s="55">
        <f t="shared" si="3"/>
        <v>7.542968065477375E-3</v>
      </c>
      <c r="M52" s="51">
        <f t="shared" si="4"/>
        <v>2.0176141839527779</v>
      </c>
      <c r="N52" s="94">
        <f t="shared" si="8"/>
        <v>8.3068563235246202</v>
      </c>
      <c r="O52" s="56">
        <f t="shared" si="9"/>
        <v>105.96370917391309</v>
      </c>
      <c r="P52" s="57">
        <f t="shared" si="5"/>
        <v>104.13918725798123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0.91169853564094716</v>
      </c>
      <c r="K53" s="51">
        <f t="shared" si="2"/>
        <v>2.0262268112544142</v>
      </c>
      <c r="L53" s="55">
        <f t="shared" si="3"/>
        <v>7.4447148659256114E-3</v>
      </c>
      <c r="M53" s="51">
        <f t="shared" si="4"/>
        <v>2.0187820963884886</v>
      </c>
      <c r="N53" s="94">
        <f t="shared" si="8"/>
        <v>8.1601573956398514</v>
      </c>
      <c r="O53" s="56">
        <f t="shared" si="9"/>
        <v>106.22501748659084</v>
      </c>
      <c r="P53" s="57">
        <f t="shared" si="5"/>
        <v>104.41961710979091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0.90381999040361971</v>
      </c>
      <c r="K54" s="51">
        <f t="shared" si="2"/>
        <v>2.0273158757237368</v>
      </c>
      <c r="L54" s="55">
        <f t="shared" si="3"/>
        <v>7.3455197210602662E-3</v>
      </c>
      <c r="M54" s="51">
        <f t="shared" si="4"/>
        <v>2.0199703560026765</v>
      </c>
      <c r="N54" s="94">
        <f t="shared" si="8"/>
        <v>8.0134584677550791</v>
      </c>
      <c r="O54" s="56">
        <f t="shared" si="9"/>
        <v>106.49172836848744</v>
      </c>
      <c r="P54" s="57">
        <f t="shared" si="5"/>
        <v>104.70570757716172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0.89579587546422812</v>
      </c>
      <c r="K55" s="51">
        <f t="shared" si="2"/>
        <v>2.0284250625361504</v>
      </c>
      <c r="L55" s="55">
        <f t="shared" si="3"/>
        <v>7.2453993044558993E-3</v>
      </c>
      <c r="M55" s="51">
        <f t="shared" si="4"/>
        <v>2.0211796632316945</v>
      </c>
      <c r="N55" s="94">
        <f t="shared" si="8"/>
        <v>7.8667595398703076</v>
      </c>
      <c r="O55" s="56">
        <f t="shared" si="9"/>
        <v>106.76405553871398</v>
      </c>
      <c r="P55" s="57">
        <f t="shared" si="5"/>
        <v>104.99767035540718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0.88762071009577737</v>
      </c>
      <c r="K56" s="51">
        <f t="shared" si="2"/>
        <v>2.0295551293017042</v>
      </c>
      <c r="L56" s="55">
        <f t="shared" si="3"/>
        <v>7.1443756276791687E-3</v>
      </c>
      <c r="M56" s="51">
        <f t="shared" si="4"/>
        <v>2.0224107536740252</v>
      </c>
      <c r="N56" s="94">
        <f t="shared" si="8"/>
        <v>7.7200606119855335</v>
      </c>
      <c r="O56" s="56">
        <f t="shared" si="9"/>
        <v>107.04222535902014</v>
      </c>
      <c r="P56" s="57">
        <f t="shared" si="5"/>
        <v>105.29572850587023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0.87928869809733012</v>
      </c>
      <c r="K57" s="51">
        <f t="shared" si="2"/>
        <v>2.0307068772389356</v>
      </c>
      <c r="L57" s="55">
        <f t="shared" si="3"/>
        <v>7.0424769135165087E-3</v>
      </c>
      <c r="M57" s="51">
        <f t="shared" si="4"/>
        <v>2.0236644003254192</v>
      </c>
      <c r="N57" s="94">
        <f t="shared" si="8"/>
        <v>7.5733616841007638</v>
      </c>
      <c r="O57" s="56">
        <f t="shared" si="9"/>
        <v>107.32647783895982</v>
      </c>
      <c r="P57" s="57">
        <f t="shared" si="5"/>
        <v>105.60011723083689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0.87079370310775628</v>
      </c>
      <c r="K58" s="51">
        <f t="shared" si="2"/>
        <v>2.0318811545872948</v>
      </c>
      <c r="L58" s="55">
        <f t="shared" si="3"/>
        <v>6.9397386100174671E-3</v>
      </c>
      <c r="M58" s="51">
        <f t="shared" si="4"/>
        <v>2.0249414159772772</v>
      </c>
      <c r="N58" s="94">
        <f t="shared" si="8"/>
        <v>7.4266627562159933</v>
      </c>
      <c r="O58" s="56">
        <f t="shared" si="9"/>
        <v>107.61706774223308</v>
      </c>
      <c r="P58" s="57">
        <f t="shared" si="5"/>
        <v>105.91108471035162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0.86212922145655635</v>
      </c>
      <c r="K59" s="51">
        <f t="shared" si="2"/>
        <v>2.0330788603600189</v>
      </c>
      <c r="L59" s="55">
        <f t="shared" si="3"/>
        <v>6.8362045689862464E-3</v>
      </c>
      <c r="M59" s="51">
        <f t="shared" si="4"/>
        <v>2.0262426557910329</v>
      </c>
      <c r="N59" s="94">
        <f t="shared" si="8"/>
        <v>7.2799638283312182</v>
      </c>
      <c r="O59" s="56">
        <f t="shared" si="9"/>
        <v>107.91426580661188</v>
      </c>
      <c r="P59" s="57">
        <f t="shared" si="5"/>
        <v>106.22889300643342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0.85328835225087674</v>
      </c>
      <c r="K60" s="51">
        <f t="shared" si="2"/>
        <v>2.0343009484790557</v>
      </c>
      <c r="L60" s="55">
        <f t="shared" si="3"/>
        <v>6.7319284165767851E-3</v>
      </c>
      <c r="M60" s="51">
        <f t="shared" si="4"/>
        <v>2.027569020062479</v>
      </c>
      <c r="N60" s="94">
        <f t="shared" si="8"/>
        <v>7.1332649004464468</v>
      </c>
      <c r="O60" s="56">
        <f t="shared" si="9"/>
        <v>108.21836009166573</v>
      </c>
      <c r="P60" s="57">
        <f t="shared" si="5"/>
        <v>106.55381904076309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0.84426376435405515</v>
      </c>
      <c r="K61" s="51">
        <f t="shared" si="2"/>
        <v>2.0355484323396724</v>
      </c>
      <c r="L61" s="55">
        <f t="shared" si="3"/>
        <v>6.626975148301629E-3</v>
      </c>
      <c r="M61" s="51">
        <f t="shared" si="4"/>
        <v>2.028921457191371</v>
      </c>
      <c r="N61" s="94">
        <f t="shared" si="8"/>
        <v>6.9865659725616736</v>
      </c>
      <c r="O61" s="56">
        <f t="shared" si="9"/>
        <v>108.52965747061434</v>
      </c>
      <c r="P61" s="57">
        <f t="shared" si="5"/>
        <v>106.88615565257123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0.83504765985982987</v>
      </c>
      <c r="K62" s="51">
        <f t="shared" si="2"/>
        <v>2.0368223898594784</v>
      </c>
      <c r="L62" s="55">
        <f t="shared" si="3"/>
        <v>6.5214229861125022E-3</v>
      </c>
      <c r="M62" s="51">
        <f t="shared" si="4"/>
        <v>2.0303009668733658</v>
      </c>
      <c r="N62" s="94">
        <f t="shared" si="8"/>
        <v>6.8398670446769021</v>
      </c>
      <c r="O62" s="56">
        <f t="shared" si="9"/>
        <v>108.84848528511223</v>
      </c>
      <c r="P62" s="57">
        <f t="shared" si="5"/>
        <v>107.22621274423976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0.82563173360624642</v>
      </c>
      <c r="K63" s="51">
        <f t="shared" si="2"/>
        <v>2.0381239690748836</v>
      </c>
      <c r="L63" s="55">
        <f t="shared" si="3"/>
        <v>6.4153655412949283E-3</v>
      </c>
      <c r="M63" s="51">
        <f t="shared" si="4"/>
        <v>2.0317086035335885</v>
      </c>
      <c r="N63" s="94">
        <f t="shared" si="8"/>
        <v>6.6931681167921298</v>
      </c>
      <c r="O63" s="56">
        <f t="shared" si="9"/>
        <v>109.1751931846849</v>
      </c>
      <c r="P63" s="57">
        <f t="shared" si="5"/>
        <v>107.57431852308871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0.81600712820254573</v>
      </c>
      <c r="K64" s="51">
        <f t="shared" si="2"/>
        <v>2.0394543943578101</v>
      </c>
      <c r="L64" s="55">
        <f t="shared" si="3"/>
        <v>6.3089143337504991E-3</v>
      </c>
      <c r="M64" s="51">
        <f t="shared" si="4"/>
        <v>2.0331454800240594</v>
      </c>
      <c r="N64" s="94">
        <f t="shared" si="8"/>
        <v>6.5464691889073592</v>
      </c>
      <c r="O64" s="56">
        <f t="shared" si="9"/>
        <v>109.5101551759799</v>
      </c>
      <c r="P64" s="57">
        <f t="shared" si="5"/>
        <v>107.93082084901836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0.80616438395873113</v>
      </c>
      <c r="K65" s="51">
        <f t="shared" si="2"/>
        <v>2.0408149733370076</v>
      </c>
      <c r="L65" s="55">
        <f t="shared" si="3"/>
        <v>6.2022017257711845E-3</v>
      </c>
      <c r="M65" s="51">
        <f t="shared" si="4"/>
        <v>2.0346127716112363</v>
      </c>
      <c r="N65" s="94">
        <f t="shared" si="8"/>
        <v>6.3997702610225859</v>
      </c>
      <c r="O65" s="56">
        <f t="shared" si="9"/>
        <v>109.85377191107006</v>
      </c>
      <c r="P65" s="57">
        <f t="shared" si="5"/>
        <v>108.29608869920881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0.79609338300841925</v>
      </c>
      <c r="K66" s="51">
        <f t="shared" ref="K66:K129" si="11">+$I$14+$I$13*J66</f>
        <v>2.0422071046220487</v>
      </c>
      <c r="L66" s="55">
        <f t="shared" ref="L66:L129" si="12">SQRT(2*$I$20*$I$17)*SQRT((1/$I$2)+((J66-$I$11)^2/$I$8))</f>
        <v>6.0953843364962576E-3</v>
      </c>
      <c r="M66" s="51">
        <f t="shared" ref="M66:M102" si="13">+$I$14+$I$13*J66-L66</f>
        <v>2.0361117202855525</v>
      </c>
      <c r="N66" s="94">
        <f t="shared" si="8"/>
        <v>6.2530713331378127</v>
      </c>
      <c r="O66" s="56">
        <f t="shared" si="9"/>
        <v>110.2064732489021</v>
      </c>
      <c r="P66" s="57">
        <f t="shared" ref="P66:P102" si="14">10^M66</f>
        <v>108.67051376311368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0.78578328679765108</v>
      </c>
      <c r="K67" s="51">
        <f t="shared" si="11"/>
        <v>2.0436322864443532</v>
      </c>
      <c r="L67" s="55">
        <f t="shared" si="12"/>
        <v>5.9886470115913665E-3</v>
      </c>
      <c r="M67" s="51">
        <f t="shared" si="13"/>
        <v>2.0376436394327619</v>
      </c>
      <c r="N67" s="94">
        <f t="shared" ref="N67:N101" si="15">10^$J67</f>
        <v>6.1063724052530413</v>
      </c>
      <c r="O67" s="56">
        <f t="shared" ref="O67:O102" si="16">10^K67</f>
        <v>110.56872112976444</v>
      </c>
      <c r="P67" s="57">
        <f t="shared" si="14"/>
        <v>109.05451218370224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0.77522246597147548</v>
      </c>
      <c r="K68" s="51">
        <f t="shared" si="11"/>
        <v>2.0450921263490827</v>
      </c>
      <c r="L68" s="55">
        <f t="shared" si="12"/>
        <v>5.8822074307810319E-3</v>
      </c>
      <c r="M68" s="51">
        <f t="shared" si="13"/>
        <v>2.0392099189183015</v>
      </c>
      <c r="N68" s="94">
        <f t="shared" si="15"/>
        <v>5.9596734773682689</v>
      </c>
      <c r="O68" s="56">
        <f t="shared" si="16"/>
        <v>110.94101280958728</v>
      </c>
      <c r="P68" s="57">
        <f t="shared" si="14"/>
        <v>109.44852646465006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0.76439842152114368</v>
      </c>
      <c r="K69" s="51">
        <f t="shared" si="11"/>
        <v>2.0465883520950965</v>
      </c>
      <c r="L69" s="55">
        <f t="shared" si="12"/>
        <v>5.7763214428475235E-3</v>
      </c>
      <c r="M69" s="51">
        <f t="shared" si="13"/>
        <v>2.040812030652249</v>
      </c>
      <c r="N69" s="94">
        <f t="shared" si="15"/>
        <v>5.8129745494834957</v>
      </c>
      <c r="O69" s="56">
        <f t="shared" si="16"/>
        <v>111.32388450923423</v>
      </c>
      <c r="P69" s="57">
        <f t="shared" si="14"/>
        <v>109.85302756837498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0.75329769585121997</v>
      </c>
      <c r="K70" s="51">
        <f t="shared" si="11"/>
        <v>2.048122823948292</v>
      </c>
      <c r="L70" s="55">
        <f t="shared" si="12"/>
        <v>5.6712892222531191E-3</v>
      </c>
      <c r="M70" s="51">
        <f t="shared" si="13"/>
        <v>2.0424515347260388</v>
      </c>
      <c r="N70" s="94">
        <f t="shared" si="15"/>
        <v>5.6662756215987242</v>
      </c>
      <c r="O70" s="56">
        <f t="shared" si="16"/>
        <v>111.7179155440249</v>
      </c>
      <c r="P70" s="57">
        <f t="shared" si="14"/>
        <v>110.26851723711141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0.7419057721796517</v>
      </c>
      <c r="K71" s="51">
        <f t="shared" si="11"/>
        <v>2.0496975485877034</v>
      </c>
      <c r="L71" s="55">
        <f t="shared" si="12"/>
        <v>5.5674623416647707E-3</v>
      </c>
      <c r="M71" s="51">
        <f t="shared" si="13"/>
        <v>2.0441300862460388</v>
      </c>
      <c r="N71" s="94">
        <f t="shared" si="15"/>
        <v>5.5195766937139519</v>
      </c>
      <c r="O71" s="56">
        <f t="shared" si="16"/>
        <v>112.12373301097533</v>
      </c>
      <c r="P71" s="57">
        <f t="shared" si="14"/>
        <v>110.69553057951711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0.73020696038448807</v>
      </c>
      <c r="K72" s="51">
        <f t="shared" si="11"/>
        <v>2.0513146948850984</v>
      </c>
      <c r="L72" s="55">
        <f t="shared" si="12"/>
        <v>5.4652518475028864E-3</v>
      </c>
      <c r="M72" s="51">
        <f t="shared" si="13"/>
        <v>2.0458494430375955</v>
      </c>
      <c r="N72" s="94">
        <f t="shared" si="15"/>
        <v>5.3728777658291786</v>
      </c>
      <c r="O72" s="56">
        <f t="shared" si="16"/>
        <v>112.54201712616999</v>
      </c>
      <c r="P72" s="57">
        <f t="shared" si="14"/>
        <v>111.13463897985126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0.71818426704524962</v>
      </c>
      <c r="K73" s="51">
        <f t="shared" si="11"/>
        <v>2.0529766118693771</v>
      </c>
      <c r="L73" s="55">
        <f t="shared" si="12"/>
        <v>5.3651374072371302E-3</v>
      </c>
      <c r="M73" s="51">
        <f t="shared" si="13"/>
        <v>2.0476114744621401</v>
      </c>
      <c r="N73" s="94">
        <f t="shared" si="15"/>
        <v>5.226178837944409</v>
      </c>
      <c r="O73" s="56">
        <f t="shared" si="16"/>
        <v>112.97350732298592</v>
      </c>
      <c r="P73" s="57">
        <f t="shared" si="14"/>
        <v>111.5864534072892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0.70581924697794085</v>
      </c>
      <c r="K74" s="51">
        <f t="shared" si="11"/>
        <v>2.0546858492491364</v>
      </c>
      <c r="L74" s="55">
        <f t="shared" si="12"/>
        <v>5.2676775622513923E-3</v>
      </c>
      <c r="M74" s="51">
        <f t="shared" si="13"/>
        <v>2.0494181716868849</v>
      </c>
      <c r="N74" s="94">
        <f t="shared" si="15"/>
        <v>5.0794799100596366</v>
      </c>
      <c r="O74" s="56">
        <f t="shared" si="16"/>
        <v>113.41900924444532</v>
      </c>
      <c r="P74" s="57">
        <f t="shared" si="14"/>
        <v>112.0516282317141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0.69309183300835819</v>
      </c>
      <c r="K75" s="51">
        <f t="shared" si="11"/>
        <v>2.0564451809433884</v>
      </c>
      <c r="L75" s="55">
        <f t="shared" si="12"/>
        <v>5.173521062087634E-3</v>
      </c>
      <c r="M75" s="51">
        <f t="shared" si="13"/>
        <v>2.0512716598813006</v>
      </c>
      <c r="N75" s="94">
        <f t="shared" si="15"/>
        <v>4.9327809821748634</v>
      </c>
      <c r="O75" s="56">
        <f t="shared" si="16"/>
        <v>113.87940279091434</v>
      </c>
      <c r="P75" s="57">
        <f t="shared" si="14"/>
        <v>112.53086569233584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0.67998014004004403</v>
      </c>
      <c r="K76" s="51">
        <f t="shared" si="11"/>
        <v>2.0582576321655761</v>
      </c>
      <c r="L76" s="55">
        <f t="shared" si="12"/>
        <v>5.0834191670801072E-3</v>
      </c>
      <c r="M76" s="51">
        <f t="shared" si="13"/>
        <v>2.053174212998496</v>
      </c>
      <c r="N76" s="94">
        <f t="shared" si="15"/>
        <v>4.7860820542900919</v>
      </c>
      <c r="O76" s="56">
        <f t="shared" si="16"/>
        <v>114.35565141920709</v>
      </c>
      <c r="P76" s="57">
        <f t="shared" si="14"/>
        <v>113.02492122041009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0.66646023861342918</v>
      </c>
      <c r="K77" s="51">
        <f t="shared" si="11"/>
        <v>2.0601265107248699</v>
      </c>
      <c r="L77" s="55">
        <f t="shared" si="12"/>
        <v>4.9982386789949821E-3</v>
      </c>
      <c r="M77" s="51">
        <f t="shared" si="13"/>
        <v>2.055128272045875</v>
      </c>
      <c r="N77" s="94">
        <f t="shared" si="15"/>
        <v>4.6393831264053196</v>
      </c>
      <c r="O77" s="56">
        <f t="shared" si="16"/>
        <v>114.84881293282233</v>
      </c>
      <c r="P77" s="57">
        <f t="shared" si="14"/>
        <v>113.5346098914814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0.65250589207174348</v>
      </c>
      <c r="K78" s="51">
        <f t="shared" si="11"/>
        <v>2.0620554433581635</v>
      </c>
      <c r="L78" s="55">
        <f t="shared" si="12"/>
        <v>4.918975287352299E-3</v>
      </c>
      <c r="M78" s="51">
        <f t="shared" si="13"/>
        <v>2.0571364680708113</v>
      </c>
      <c r="N78" s="94">
        <f t="shared" si="15"/>
        <v>4.4926841985205481</v>
      </c>
      <c r="O78" s="56">
        <f t="shared" si="16"/>
        <v>115.36005205818402</v>
      </c>
      <c r="P78" s="57">
        <f t="shared" si="14"/>
        <v>114.0608143805719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0.63808825008104397</v>
      </c>
      <c r="K79" s="51">
        <f t="shared" si="11"/>
        <v>2.0640484180953127</v>
      </c>
      <c r="L79" s="55">
        <f t="shared" si="12"/>
        <v>4.8467666021706404E-3</v>
      </c>
      <c r="M79" s="51">
        <f t="shared" si="13"/>
        <v>2.0592016514931419</v>
      </c>
      <c r="N79" s="94">
        <f t="shared" si="15"/>
        <v>4.3459852706357758</v>
      </c>
      <c r="O79" s="56">
        <f t="shared" si="16"/>
        <v>115.89065517181785</v>
      </c>
      <c r="P79" s="57">
        <f t="shared" si="14"/>
        <v>114.60449491974445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0.62317548950737056</v>
      </c>
      <c r="K80" s="51">
        <f t="shared" si="11"/>
        <v>2.0661098339012853</v>
      </c>
      <c r="L80" s="55">
        <f t="shared" si="12"/>
        <v>4.7829039926363262E-3</v>
      </c>
      <c r="M80" s="51">
        <f t="shared" si="13"/>
        <v>2.061326929908649</v>
      </c>
      <c r="N80" s="94">
        <f t="shared" si="15"/>
        <v>4.1992863427510034</v>
      </c>
      <c r="O80" s="56">
        <f t="shared" si="16"/>
        <v>116.44204763311224</v>
      </c>
      <c r="P80" s="57">
        <f t="shared" si="14"/>
        <v>115.16670191403189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0.60773239141311153</v>
      </c>
      <c r="K81" s="51">
        <f t="shared" si="11"/>
        <v>2.0682445591486616</v>
      </c>
      <c r="L81" s="55">
        <f t="shared" si="12"/>
        <v>4.7288420951659737E-3</v>
      </c>
      <c r="M81" s="51">
        <f t="shared" si="13"/>
        <v>2.0635157170534955</v>
      </c>
      <c r="N81" s="94">
        <f t="shared" si="15"/>
        <v>4.0525874148662311</v>
      </c>
      <c r="O81" s="56">
        <f t="shared" si="16"/>
        <v>117.01581429305966</v>
      </c>
      <c r="P81" s="57">
        <f t="shared" si="14"/>
        <v>115.74859205796764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0.59171984003224098</v>
      </c>
      <c r="K82" s="51">
        <f t="shared" si="11"/>
        <v>2.0704580008751217</v>
      </c>
      <c r="L82" s="55">
        <f t="shared" si="12"/>
        <v>4.6862046501996105E-3</v>
      </c>
      <c r="M82" s="51">
        <f t="shared" si="13"/>
        <v>2.0657717962249222</v>
      </c>
      <c r="N82" s="94">
        <f t="shared" si="15"/>
        <v>3.9058884869814592</v>
      </c>
      <c r="O82" s="56">
        <f t="shared" si="16"/>
        <v>117.61372389997007</v>
      </c>
      <c r="P82" s="57">
        <f t="shared" si="14"/>
        <v>116.35144900478282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0.57509422579203096</v>
      </c>
      <c r="K83" s="51">
        <f t="shared" si="11"/>
        <v>2.072756187304754</v>
      </c>
      <c r="L83" s="55">
        <f t="shared" si="12"/>
        <v>4.6567852643968526E-3</v>
      </c>
      <c r="M83" s="51">
        <f t="shared" si="13"/>
        <v>2.0680994020403571</v>
      </c>
      <c r="N83" s="94">
        <f t="shared" si="15"/>
        <v>3.7591895590966864</v>
      </c>
      <c r="O83" s="56">
        <f t="shared" si="16"/>
        <v>118.23775832082042</v>
      </c>
      <c r="P83" s="57">
        <f t="shared" si="14"/>
        <v>116.97670986130862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0.55780672944813536</v>
      </c>
      <c r="K84" s="51">
        <f t="shared" si="11"/>
        <v>2.0751458668032581</v>
      </c>
      <c r="L84" s="55">
        <f t="shared" si="12"/>
        <v>4.6425418929826757E-3</v>
      </c>
      <c r="M84" s="51">
        <f t="shared" si="13"/>
        <v>2.0705033249102756</v>
      </c>
      <c r="N84" s="94">
        <f t="shared" si="15"/>
        <v>3.6124906312119145</v>
      </c>
      <c r="O84" s="56">
        <f t="shared" si="16"/>
        <v>118.89014775883521</v>
      </c>
      <c r="P84" s="57">
        <f t="shared" si="14"/>
        <v>117.62599899659777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0.53980245773912539</v>
      </c>
      <c r="K85" s="51">
        <f t="shared" si="11"/>
        <v>2.0776346273578601</v>
      </c>
      <c r="L85" s="55">
        <f t="shared" si="12"/>
        <v>4.6455844247719506E-3</v>
      </c>
      <c r="M85" s="51">
        <f t="shared" si="13"/>
        <v>2.0729890429330879</v>
      </c>
      <c r="N85" s="94">
        <f t="shared" si="15"/>
        <v>3.4657917033271421</v>
      </c>
      <c r="O85" s="56">
        <f t="shared" si="16"/>
        <v>119.57341349852298</v>
      </c>
      <c r="P85" s="57">
        <f t="shared" si="14"/>
        <v>118.30117084613704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0.52101939199870695</v>
      </c>
      <c r="K86" s="51">
        <f t="shared" si="11"/>
        <v>2.0802310419124046</v>
      </c>
      <c r="L86" s="55">
        <f t="shared" si="12"/>
        <v>4.6681558258431137E-3</v>
      </c>
      <c r="M86" s="51">
        <f t="shared" si="13"/>
        <v>2.0755628860865616</v>
      </c>
      <c r="N86" s="94">
        <f t="shared" si="15"/>
        <v>3.3190927754423698</v>
      </c>
      <c r="O86" s="56">
        <f t="shared" si="16"/>
        <v>120.29042018392775</v>
      </c>
      <c r="P86" s="57">
        <f t="shared" si="14"/>
        <v>119.00436356760838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0.50138709894916178</v>
      </c>
      <c r="K87" s="51">
        <f t="shared" si="11"/>
        <v>2.0829448465765301</v>
      </c>
      <c r="L87" s="55">
        <f t="shared" si="12"/>
        <v>4.712608858359231E-3</v>
      </c>
      <c r="M87" s="51">
        <f t="shared" si="13"/>
        <v>2.0782322377181708</v>
      </c>
      <c r="N87" s="94">
        <f t="shared" si="15"/>
        <v>3.172393847557597</v>
      </c>
      <c r="O87" s="56">
        <f t="shared" si="16"/>
        <v>121.04444028566404</v>
      </c>
      <c r="P87" s="57">
        <f t="shared" si="14"/>
        <v>119.73806559824116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0.480825136052629</v>
      </c>
      <c r="K88" s="51">
        <f t="shared" si="11"/>
        <v>2.0857871610566252</v>
      </c>
      <c r="L88" s="55">
        <f t="shared" si="12"/>
        <v>4.781382287335178E-3</v>
      </c>
      <c r="M88" s="51">
        <f t="shared" si="13"/>
        <v>2.0810057787692902</v>
      </c>
      <c r="N88" s="94">
        <f t="shared" si="15"/>
        <v>3.0256949196728247</v>
      </c>
      <c r="O88" s="56">
        <f t="shared" si="16"/>
        <v>121.83923431360157</v>
      </c>
      <c r="P88" s="57">
        <f t="shared" si="14"/>
        <v>120.50519748168703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0.45924106024260342</v>
      </c>
      <c r="K89" s="51">
        <f t="shared" si="11"/>
        <v>2.0887707639121991</v>
      </c>
      <c r="L89" s="55">
        <f t="shared" si="12"/>
        <v>4.8769824020846089E-3</v>
      </c>
      <c r="M89" s="51">
        <f t="shared" si="13"/>
        <v>2.0838937815101146</v>
      </c>
      <c r="N89" s="94">
        <f t="shared" si="15"/>
        <v>2.8789959917880528</v>
      </c>
      <c r="O89" s="56">
        <f t="shared" si="16"/>
        <v>122.67915159957485</v>
      </c>
      <c r="P89" s="57">
        <f t="shared" si="14"/>
        <v>121.309211961318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0.43652791543422187</v>
      </c>
      <c r="K90" s="51">
        <f t="shared" si="11"/>
        <v>2.0919104398615334</v>
      </c>
      <c r="L90" s="55">
        <f t="shared" si="12"/>
        <v>5.0019771982670203E-3</v>
      </c>
      <c r="M90" s="51">
        <f t="shared" si="13"/>
        <v>2.0869084626632661</v>
      </c>
      <c r="N90" s="94">
        <f t="shared" si="15"/>
        <v>2.7322970639032835</v>
      </c>
      <c r="O90" s="56">
        <f t="shared" si="16"/>
        <v>123.56925828413632</v>
      </c>
      <c r="P90" s="57">
        <f t="shared" si="14"/>
        <v>122.15421655247766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0.4125610260077166</v>
      </c>
      <c r="K91" s="51">
        <f t="shared" si="11"/>
        <v>2.0952234230238207</v>
      </c>
      <c r="L91" s="55">
        <f t="shared" si="12"/>
        <v>5.1590113532622673E-3</v>
      </c>
      <c r="M91" s="51">
        <f t="shared" si="13"/>
        <v>2.0900644116705585</v>
      </c>
      <c r="N91" s="94">
        <f t="shared" si="15"/>
        <v>2.5855981360185112</v>
      </c>
      <c r="O91" s="56">
        <f t="shared" si="16"/>
        <v>124.51550176800914</v>
      </c>
      <c r="P91" s="57">
        <f t="shared" si="14"/>
        <v>123.04512496298752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0.38719385268936346</v>
      </c>
      <c r="K92" s="51">
        <f t="shared" si="11"/>
        <v>2.0987299697676627</v>
      </c>
      <c r="L92" s="55">
        <f t="shared" si="12"/>
        <v>5.3508501325871798E-3</v>
      </c>
      <c r="M92" s="51">
        <f t="shared" si="13"/>
        <v>2.0933791196350757</v>
      </c>
      <c r="N92" s="94">
        <f t="shared" si="15"/>
        <v>2.4388992081337393</v>
      </c>
      <c r="O92" s="56">
        <f t="shared" si="16"/>
        <v>125.5249247711447</v>
      </c>
      <c r="P92" s="57">
        <f t="shared" si="14"/>
        <v>123.98784726276851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0.36025256129138145</v>
      </c>
      <c r="K93" s="51">
        <f t="shared" si="11"/>
        <v>2.1024541094832268</v>
      </c>
      <c r="L93" s="55">
        <f t="shared" si="12"/>
        <v>5.5804599842875051E-3</v>
      </c>
      <c r="M93" s="51">
        <f t="shared" si="13"/>
        <v>2.0968736494989391</v>
      </c>
      <c r="N93" s="94">
        <f t="shared" si="15"/>
        <v>2.2922002802489665</v>
      </c>
      <c r="O93" s="56">
        <f t="shared" si="16"/>
        <v>126.60594799636512</v>
      </c>
      <c r="P93" s="57">
        <f t="shared" si="14"/>
        <v>124.98953417890532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0.33152879261565965</v>
      </c>
      <c r="K94" s="51">
        <f t="shared" si="11"/>
        <v>2.1064246440105343</v>
      </c>
      <c r="L94" s="55">
        <f t="shared" si="12"/>
        <v>5.8511336735368536E-3</v>
      </c>
      <c r="M94" s="51">
        <f t="shared" si="13"/>
        <v>2.1005735103369974</v>
      </c>
      <c r="N94" s="94">
        <f t="shared" si="15"/>
        <v>2.1455013523641946</v>
      </c>
      <c r="O94" s="56">
        <f t="shared" si="16"/>
        <v>127.7687494202832</v>
      </c>
      <c r="P94" s="57">
        <f t="shared" si="14"/>
        <v>126.05889919281242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0.30076986755531798</v>
      </c>
      <c r="K95" s="51">
        <f t="shared" si="11"/>
        <v>2.1106765016046314</v>
      </c>
      <c r="L95" s="55">
        <f t="shared" si="12"/>
        <v>6.1666696132965781E-3</v>
      </c>
      <c r="M95" s="51">
        <f t="shared" si="13"/>
        <v>2.1045098319913347</v>
      </c>
      <c r="N95" s="94">
        <f t="shared" si="15"/>
        <v>1.998802424479422</v>
      </c>
      <c r="O95" s="56">
        <f t="shared" si="16"/>
        <v>129.02578249936866</v>
      </c>
      <c r="P95" s="57">
        <f t="shared" si="14"/>
        <v>127.20665480700713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0.26766525164616867</v>
      </c>
      <c r="K96" s="51">
        <f t="shared" si="11"/>
        <v>2.1152526079632525</v>
      </c>
      <c r="L96" s="55">
        <f t="shared" si="12"/>
        <v>6.5316201026570809E-3</v>
      </c>
      <c r="M96" s="51">
        <f t="shared" si="13"/>
        <v>2.1087209878605955</v>
      </c>
      <c r="N96" s="94">
        <f t="shared" si="15"/>
        <v>1.8521034965946497</v>
      </c>
      <c r="O96" s="56">
        <f t="shared" si="16"/>
        <v>130.39249876282358</v>
      </c>
      <c r="P96" s="57">
        <f t="shared" si="14"/>
        <v>128.44611937546517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0.23182742210619503</v>
      </c>
      <c r="K97" s="51">
        <f t="shared" si="11"/>
        <v>2.1202065310079155</v>
      </c>
      <c r="L97" s="55">
        <f t="shared" si="12"/>
        <v>6.9516335695632937E-3</v>
      </c>
      <c r="M97" s="51">
        <f t="shared" si="13"/>
        <v>2.113254897438352</v>
      </c>
      <c r="N97" s="94">
        <f t="shared" si="15"/>
        <v>1.7054045687098773</v>
      </c>
      <c r="O97" s="56">
        <f t="shared" si="16"/>
        <v>131.88837915171533</v>
      </c>
      <c r="P97" s="57">
        <f t="shared" si="14"/>
        <v>129.79408388564357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0.19276410708386829</v>
      </c>
      <c r="K98" s="51">
        <f t="shared" si="11"/>
        <v>2.1256063182990008</v>
      </c>
      <c r="L98" s="55">
        <f t="shared" si="12"/>
        <v>7.4339350555194866E-3</v>
      </c>
      <c r="M98" s="51">
        <f t="shared" si="13"/>
        <v>2.1181723832434813</v>
      </c>
      <c r="N98" s="94">
        <f t="shared" si="15"/>
        <v>1.5587056408251048</v>
      </c>
      <c r="O98" s="56">
        <f t="shared" si="16"/>
        <v>133.53844609213243</v>
      </c>
      <c r="P98" s="57">
        <f t="shared" si="14"/>
        <v>131.27208500852737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0.14983676143675773</v>
      </c>
      <c r="K99" s="51">
        <f t="shared" si="11"/>
        <v>2.1315402369982408</v>
      </c>
      <c r="L99" s="55">
        <f t="shared" si="12"/>
        <v>7.9880238006986223E-3</v>
      </c>
      <c r="M99" s="51">
        <f t="shared" si="13"/>
        <v>2.1235522131975424</v>
      </c>
      <c r="N99" s="94">
        <f t="shared" si="15"/>
        <v>1.4120067129403324</v>
      </c>
      <c r="O99" s="56">
        <f t="shared" si="16"/>
        <v>135.37555091076521</v>
      </c>
      <c r="P99" s="57">
        <f t="shared" si="14"/>
        <v>132.90833370048816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0.1021961801303703</v>
      </c>
      <c r="K100" s="51">
        <f t="shared" si="11"/>
        <v>2.1381256741361567</v>
      </c>
      <c r="L100" s="55">
        <f t="shared" si="12"/>
        <v>8.6267313364037992E-3</v>
      </c>
      <c r="M100" s="51">
        <f t="shared" si="13"/>
        <v>2.1294989427997528</v>
      </c>
      <c r="N100" s="94">
        <f t="shared" si="15"/>
        <v>1.2653077850555601</v>
      </c>
      <c r="O100" s="56">
        <f t="shared" si="16"/>
        <v>137.44396464837254</v>
      </c>
      <c r="P100" s="57">
        <f t="shared" si="14"/>
        <v>134.74074453551879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4.8678253759590673E-2</v>
      </c>
      <c r="K101" s="51">
        <f t="shared" si="11"/>
        <v>2.1455235465004714</v>
      </c>
      <c r="L101" s="55">
        <f t="shared" si="12"/>
        <v>9.3679108940555398E-3</v>
      </c>
      <c r="M101" s="51">
        <f t="shared" si="13"/>
        <v>2.136155635606416</v>
      </c>
      <c r="N101" s="94">
        <f t="shared" si="15"/>
        <v>1.1186088571707895</v>
      </c>
      <c r="O101" s="56">
        <f t="shared" si="16"/>
        <v>139.80527126396703</v>
      </c>
      <c r="P101" s="57">
        <f t="shared" si="14"/>
        <v>136.82190585152773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-1.2373980985844843E-2</v>
      </c>
      <c r="K102" s="51">
        <f t="shared" si="11"/>
        <v>2.1539628988975306</v>
      </c>
      <c r="L102" s="55">
        <f t="shared" si="12"/>
        <v>1.023729942155985E-2</v>
      </c>
      <c r="M102" s="51">
        <f t="shared" si="13"/>
        <v>2.1437255994759705</v>
      </c>
      <c r="N102" s="94">
        <f>10^$J102</f>
        <v>0.97190992928601894</v>
      </c>
      <c r="O102" s="56">
        <f t="shared" si="16"/>
        <v>142.54858113635109</v>
      </c>
      <c r="P102" s="57">
        <f t="shared" si="14"/>
        <v>139.22768419301116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1.194286804047362</v>
      </c>
      <c r="K104" s="51">
        <f t="shared" si="11"/>
        <v>1.9871641628468577</v>
      </c>
      <c r="L104" s="55">
        <f t="shared" si="12"/>
        <v>1.1380562867968054E-2</v>
      </c>
      <c r="M104" s="51">
        <f>+$I$14+$I$13*J104+L104</f>
        <v>1.9985447257148257</v>
      </c>
      <c r="N104" s="94">
        <f t="shared" ref="N104:N167" si="17">10^$J104</f>
        <v>15.641802717763225</v>
      </c>
      <c r="O104" s="56">
        <f t="shared" ref="O104:O167" si="18">10^K104</f>
        <v>97.087688831235326</v>
      </c>
      <c r="P104" s="57">
        <f t="shared" ref="P104:P167" si="19">10^M104</f>
        <v>99.665471510061352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1.1901944895924381</v>
      </c>
      <c r="K105" s="51">
        <f t="shared" si="11"/>
        <v>1.9877298503102028</v>
      </c>
      <c r="L105" s="55">
        <f t="shared" si="12"/>
        <v>1.1320163844717587E-2</v>
      </c>
      <c r="M105" s="51">
        <f t="shared" ref="M105:M168" si="21">+$I$14+$I$13*J105+L105</f>
        <v>1.9990500141549203</v>
      </c>
      <c r="N105" s="94">
        <f t="shared" si="17"/>
        <v>15.495103789878458</v>
      </c>
      <c r="O105" s="56">
        <f t="shared" si="18"/>
        <v>97.21423216744229</v>
      </c>
      <c r="P105" s="57">
        <f t="shared" si="19"/>
        <v>99.781496742134053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1.1860632465473071</v>
      </c>
      <c r="K106" s="51">
        <f t="shared" si="11"/>
        <v>1.9883009189376024</v>
      </c>
      <c r="L106" s="55">
        <f t="shared" si="12"/>
        <v>1.1259256262923347E-2</v>
      </c>
      <c r="M106" s="51">
        <f t="shared" si="21"/>
        <v>1.9995601752005259</v>
      </c>
      <c r="N106" s="94">
        <f t="shared" si="17"/>
        <v>15.348404861993686</v>
      </c>
      <c r="O106" s="56">
        <f t="shared" si="18"/>
        <v>97.342146558220378</v>
      </c>
      <c r="P106" s="57">
        <f t="shared" si="19"/>
        <v>99.898777861523584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1.1818923271683131</v>
      </c>
      <c r="K107" s="51">
        <f t="shared" si="11"/>
        <v>1.9888774720909117</v>
      </c>
      <c r="L107" s="55">
        <f t="shared" si="12"/>
        <v>1.1197832088661524E-2</v>
      </c>
      <c r="M107" s="51">
        <f t="shared" si="21"/>
        <v>2.0000753041795734</v>
      </c>
      <c r="N107" s="94">
        <f t="shared" si="17"/>
        <v>15.201705934108915</v>
      </c>
      <c r="O107" s="56">
        <f t="shared" si="18"/>
        <v>97.47146017772873</v>
      </c>
      <c r="P107" s="57">
        <f t="shared" si="19"/>
        <v>100.01734093149838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1.177680961958627</v>
      </c>
      <c r="K108" s="51">
        <f t="shared" si="11"/>
        <v>1.9894596161389624</v>
      </c>
      <c r="L108" s="55">
        <f t="shared" si="12"/>
        <v>1.1135883122377923E-2</v>
      </c>
      <c r="M108" s="51">
        <f t="shared" si="21"/>
        <v>2.0005954992613404</v>
      </c>
      <c r="N108" s="94">
        <f t="shared" si="17"/>
        <v>15.055007006224146</v>
      </c>
      <c r="O108" s="56">
        <f t="shared" si="18"/>
        <v>97.60220205810073</v>
      </c>
      <c r="P108" s="57">
        <f t="shared" si="19"/>
        <v>100.13721282297577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1.1734283588161947</v>
      </c>
      <c r="K109" s="51">
        <f t="shared" si="11"/>
        <v>1.9900474605753451</v>
      </c>
      <c r="L109" s="55">
        <f t="shared" si="12"/>
        <v>1.1073400995926557E-2</v>
      </c>
      <c r="M109" s="51">
        <f t="shared" si="21"/>
        <v>2.0011208615712714</v>
      </c>
      <c r="N109" s="94">
        <f t="shared" si="17"/>
        <v>14.908308078339369</v>
      </c>
      <c r="O109" s="56">
        <f t="shared" si="18"/>
        <v>97.73440212423526</v>
      </c>
      <c r="P109" s="57">
        <f t="shared" si="19"/>
        <v>100.25842124809296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1.1691337021395525</v>
      </c>
      <c r="K110" s="51">
        <f t="shared" si="11"/>
        <v>1.9906411181420123</v>
      </c>
      <c r="L110" s="55">
        <f t="shared" si="12"/>
        <v>1.1010377169687776E-2</v>
      </c>
      <c r="M110" s="51">
        <f t="shared" si="21"/>
        <v>2.0016514953116999</v>
      </c>
      <c r="N110" s="94">
        <f t="shared" si="17"/>
        <v>14.761609150454595</v>
      </c>
      <c r="O110" s="56">
        <f t="shared" si="18"/>
        <v>97.868091230355788</v>
      </c>
      <c r="P110" s="57">
        <f t="shared" si="19"/>
        <v>100.3809947955407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1.1647961518889884</v>
      </c>
      <c r="K111" s="51">
        <f t="shared" si="11"/>
        <v>1.9912407049590566</v>
      </c>
      <c r="L111" s="55">
        <f t="shared" si="12"/>
        <v>1.0946802929787973E-2</v>
      </c>
      <c r="M111" s="51">
        <f t="shared" si="21"/>
        <v>2.0021875078888445</v>
      </c>
      <c r="N111" s="94">
        <f t="shared" si="17"/>
        <v>14.614910222569824</v>
      </c>
      <c r="O111" s="56">
        <f t="shared" si="18"/>
        <v>98.003301198448838</v>
      </c>
      <c r="P111" s="57">
        <f t="shared" si="19"/>
        <v>100.50496296777294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1.160414842600344</v>
      </c>
      <c r="K112" s="51">
        <f t="shared" si="11"/>
        <v>1.9918463406610347</v>
      </c>
      <c r="L112" s="55">
        <f t="shared" si="12"/>
        <v>1.0882669385445892E-2</v>
      </c>
      <c r="M112" s="51">
        <f t="shared" si="21"/>
        <v>2.0027290100464805</v>
      </c>
      <c r="N112" s="94">
        <f t="shared" si="17"/>
        <v>14.46821129468505</v>
      </c>
      <c r="O112" s="56">
        <f t="shared" si="18"/>
        <v>98.140064858694444</v>
      </c>
      <c r="P112" s="57">
        <f t="shared" si="19"/>
        <v>100.63035622021469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1.1559888823485618</v>
      </c>
      <c r="K113" s="51">
        <f t="shared" si="11"/>
        <v>1.9924581485402371</v>
      </c>
      <c r="L113" s="55">
        <f t="shared" si="12"/>
        <v>1.0817967466474124E-2</v>
      </c>
      <c r="M113" s="51">
        <f t="shared" si="21"/>
        <v>2.0032761160067114</v>
      </c>
      <c r="N113" s="94">
        <f t="shared" si="17"/>
        <v>14.321512366800278</v>
      </c>
      <c r="O113" s="56">
        <f t="shared" si="18"/>
        <v>98.278416092016982</v>
      </c>
      <c r="P113" s="57">
        <f t="shared" si="19"/>
        <v>100.75720600259548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1.1515173516578741</v>
      </c>
      <c r="K114" s="51">
        <f t="shared" si="11"/>
        <v>1.9930762556973349</v>
      </c>
      <c r="L114" s="55">
        <f t="shared" si="12"/>
        <v>1.0752687920968227E-2</v>
      </c>
      <c r="M114" s="51">
        <f t="shared" si="21"/>
        <v>2.003828943618303</v>
      </c>
      <c r="N114" s="94">
        <f t="shared" si="17"/>
        <v>14.174813438915509</v>
      </c>
      <c r="O114" s="56">
        <f t="shared" si="18"/>
        <v>98.418389874887467</v>
      </c>
      <c r="P114" s="57">
        <f t="shared" si="19"/>
        <v>100.88554480255168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1.1469993023553009</v>
      </c>
      <c r="K115" s="51">
        <f t="shared" si="11"/>
        <v>1.9937007931998636</v>
      </c>
      <c r="L115" s="55">
        <f t="shared" si="12"/>
        <v>1.0686821313220426E-2</v>
      </c>
      <c r="M115" s="51">
        <f t="shared" si="21"/>
        <v>2.0043876145130839</v>
      </c>
      <c r="N115" s="94">
        <f t="shared" si="17"/>
        <v>14.028114511030738</v>
      </c>
      <c r="O115" s="56">
        <f t="shared" si="18"/>
        <v>98.560022326523466</v>
      </c>
      <c r="P115" s="57">
        <f t="shared" si="19"/>
        <v>101.01540619164901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1.142433756363882</v>
      </c>
      <c r="K116" s="51">
        <f t="shared" si="11"/>
        <v>1.9943318962490348</v>
      </c>
      <c r="L116" s="55">
        <f t="shared" si="12"/>
        <v>1.0620358021899812E-2</v>
      </c>
      <c r="M116" s="51">
        <f t="shared" si="21"/>
        <v>2.0049522542709348</v>
      </c>
      <c r="N116" s="94">
        <f t="shared" si="17"/>
        <v>13.881415583145966</v>
      </c>
      <c r="O116" s="56">
        <f t="shared" si="18"/>
        <v>98.703350758640013</v>
      </c>
      <c r="P116" s="57">
        <f t="shared" si="19"/>
        <v>101.14682487398643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1.1378197044318021</v>
      </c>
      <c r="K117" s="51">
        <f t="shared" si="11"/>
        <v>1.9949697043554133</v>
      </c>
      <c r="L117" s="55">
        <f t="shared" si="12"/>
        <v>1.0553288238546794E-2</v>
      </c>
      <c r="M117" s="51">
        <f t="shared" si="21"/>
        <v>2.0055229925939599</v>
      </c>
      <c r="N117" s="94">
        <f t="shared" si="17"/>
        <v>13.734716655261193</v>
      </c>
      <c r="O117" s="56">
        <f t="shared" si="18"/>
        <v>98.848413727918668</v>
      </c>
      <c r="P117" s="57">
        <f t="shared" si="19"/>
        <v>101.27983673756097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1.1331561047932754</v>
      </c>
      <c r="K118" s="51">
        <f t="shared" si="11"/>
        <v>1.9956143615240236</v>
      </c>
      <c r="L118" s="55">
        <f t="shared" si="12"/>
        <v>1.0485601966435845E-2</v>
      </c>
      <c r="M118" s="51">
        <f t="shared" si="21"/>
        <v>2.0060999634904593</v>
      </c>
      <c r="N118" s="94">
        <f t="shared" si="17"/>
        <v>13.588017727376418</v>
      </c>
      <c r="O118" s="56">
        <f t="shared" si="18"/>
        <v>98.995251091373646</v>
      </c>
      <c r="P118" s="57">
        <f t="shared" si="19"/>
        <v>101.41447890858308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1.1284418817567492</v>
      </c>
      <c r="K119" s="51">
        <f t="shared" si="11"/>
        <v>1.9962660164495061</v>
      </c>
      <c r="L119" s="55">
        <f t="shared" si="12"/>
        <v>1.0417289019868133E-2</v>
      </c>
      <c r="M119" s="51">
        <f t="shared" si="21"/>
        <v>2.006683305469374</v>
      </c>
      <c r="N119" s="94">
        <f t="shared" si="17"/>
        <v>13.441318799491651</v>
      </c>
      <c r="O119" s="56">
        <f t="shared" si="18"/>
        <v>99.143904064808879</v>
      </c>
      <c r="P119" s="57">
        <f t="shared" si="19"/>
        <v>101.55078980894828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1.123675924215636</v>
      </c>
      <c r="K120" s="51">
        <f t="shared" si="11"/>
        <v>1.9969248227219807</v>
      </c>
      <c r="L120" s="55">
        <f t="shared" si="12"/>
        <v>1.0348339023963779E-2</v>
      </c>
      <c r="M120" s="51">
        <f t="shared" si="21"/>
        <v>2.0072731617459443</v>
      </c>
      <c r="N120" s="94">
        <f t="shared" si="17"/>
        <v>13.294619871606875</v>
      </c>
      <c r="O120" s="56">
        <f t="shared" si="18"/>
        <v>99.294415284574015</v>
      </c>
      <c r="P120" s="57">
        <f t="shared" si="19"/>
        <v>101.6888092170915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1.1188570840764203</v>
      </c>
      <c r="K121" s="51">
        <f t="shared" si="11"/>
        <v>1.9975909390443316</v>
      </c>
      <c r="L121" s="55">
        <f t="shared" si="12"/>
        <v>1.0278741415033089E-2</v>
      </c>
      <c r="M121" s="51">
        <f t="shared" si="21"/>
        <v>2.0078696804593648</v>
      </c>
      <c r="N121" s="94">
        <f t="shared" si="17"/>
        <v>13.147920943722104</v>
      </c>
      <c r="O121" s="56">
        <f t="shared" si="18"/>
        <v>99.446828872842971</v>
      </c>
      <c r="P121" s="57">
        <f t="shared" si="19"/>
        <v>101.82857833246386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1.113984174598575</v>
      </c>
      <c r="K122" s="51">
        <f t="shared" si="11"/>
        <v>1.9982645294616845</v>
      </c>
      <c r="L122" s="55">
        <f t="shared" si="12"/>
        <v>1.0208485441616819E-2</v>
      </c>
      <c r="M122" s="51">
        <f t="shared" si="21"/>
        <v>2.0084730149033012</v>
      </c>
      <c r="N122" s="94">
        <f t="shared" si="17"/>
        <v>13.001222015837334</v>
      </c>
      <c r="O122" s="56">
        <f t="shared" si="18"/>
        <v>99.601190506660629</v>
      </c>
      <c r="P122" s="57">
        <f t="shared" si="19"/>
        <v>101.97013984389683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1.1090559686402823</v>
      </c>
      <c r="K123" s="51">
        <f t="shared" si="11"/>
        <v>1.9989457636039027</v>
      </c>
      <c r="L123" s="55">
        <f t="shared" si="12"/>
        <v>1.0137560166297712E-2</v>
      </c>
      <c r="M123" s="51">
        <f t="shared" si="21"/>
        <v>2.0090833237702004</v>
      </c>
      <c r="N123" s="94">
        <f t="shared" si="17"/>
        <v>12.854523087952559</v>
      </c>
      <c r="O123" s="56">
        <f t="shared" si="18"/>
        <v>99.757547491017917</v>
      </c>
      <c r="P123" s="57">
        <f t="shared" si="19"/>
        <v>102.11353800214097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1.1040711968034729</v>
      </c>
      <c r="K124" s="51">
        <f t="shared" si="11"/>
        <v>1.9996348169420024</v>
      </c>
      <c r="L124" s="55">
        <f t="shared" si="12"/>
        <v>1.0065954468399597E-2</v>
      </c>
      <c r="M124" s="51">
        <f t="shared" si="21"/>
        <v>2.0097007714104018</v>
      </c>
      <c r="N124" s="94">
        <f t="shared" si="17"/>
        <v>12.707824160067785</v>
      </c>
      <c r="O124" s="56">
        <f t="shared" si="18"/>
        <v>99.915948836240204</v>
      </c>
      <c r="P124" s="57">
        <f t="shared" si="19"/>
        <v>102.25881869688706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1.0990285454711683</v>
      </c>
      <c r="K125" s="51">
        <f t="shared" si="11"/>
        <v>2.0003318710594522</v>
      </c>
      <c r="L125" s="55">
        <f t="shared" si="12"/>
        <v>9.9936570477061754E-3</v>
      </c>
      <c r="M125" s="51">
        <f t="shared" si="21"/>
        <v>2.0103255281071584</v>
      </c>
      <c r="N125" s="94">
        <f t="shared" si="17"/>
        <v>12.561125232183015</v>
      </c>
      <c r="O125" s="56">
        <f t="shared" si="18"/>
        <v>100.07644533999644</v>
      </c>
      <c r="P125" s="57">
        <f t="shared" si="19"/>
        <v>102.40602953861202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1.0939266547295354</v>
      </c>
      <c r="K126" s="51">
        <f t="shared" si="11"/>
        <v>2.0010371139394132</v>
      </c>
      <c r="L126" s="55">
        <f t="shared" si="12"/>
        <v>9.920656429349679E-3</v>
      </c>
      <c r="M126" s="51">
        <f t="shared" si="21"/>
        <v>2.0109577703687629</v>
      </c>
      <c r="N126" s="94">
        <f t="shared" si="17"/>
        <v>12.414426304298242</v>
      </c>
      <c r="O126" s="56">
        <f t="shared" si="18"/>
        <v>100.23908967426364</v>
      </c>
      <c r="P126" s="57">
        <f t="shared" si="19"/>
        <v>102.55521994561553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1.0887641161664279</v>
      </c>
      <c r="K127" s="51">
        <f t="shared" si="11"/>
        <v>2.0017507402690495</v>
      </c>
      <c r="L127" s="55">
        <f t="shared" si="12"/>
        <v>9.8469409700403486E-3</v>
      </c>
      <c r="M127" s="51">
        <f t="shared" si="21"/>
        <v>2.0115976812390897</v>
      </c>
      <c r="N127" s="94">
        <f t="shared" si="17"/>
        <v>12.267727376413472</v>
      </c>
      <c r="O127" s="56">
        <f t="shared" si="18"/>
        <v>100.40393647760692</v>
      </c>
      <c r="P127" s="57">
        <f t="shared" si="19"/>
        <v>102.70644123665339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1.0835394705375012</v>
      </c>
      <c r="K128" s="51">
        <f t="shared" si="11"/>
        <v>2.0024729517621442</v>
      </c>
      <c r="L128" s="55">
        <f t="shared" si="12"/>
        <v>9.7724988658312723E-3</v>
      </c>
      <c r="M128" s="51">
        <f t="shared" si="21"/>
        <v>2.0122454506279754</v>
      </c>
      <c r="N128" s="94">
        <f t="shared" si="17"/>
        <v>12.121028448528699</v>
      </c>
      <c r="O128" s="56">
        <f t="shared" si="18"/>
        <v>100.57104245316872</v>
      </c>
      <c r="P128" s="57">
        <f t="shared" si="19"/>
        <v>102.85974672960397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1.0782512052902247</v>
      </c>
      <c r="K129" s="51">
        <f t="shared" si="11"/>
        <v>2.0032039575013605</v>
      </c>
      <c r="L129" s="55">
        <f t="shared" si="12"/>
        <v>9.6973181616401109E-3</v>
      </c>
      <c r="M129" s="51">
        <f t="shared" si="21"/>
        <v>2.0129012756630007</v>
      </c>
      <c r="N129" s="94">
        <f t="shared" si="17"/>
        <v>11.974329520643931</v>
      </c>
      <c r="O129" s="56">
        <f t="shared" si="18"/>
        <v>100.74046647279499</v>
      </c>
      <c r="P129" s="57">
        <f t="shared" si="19"/>
        <v>103.01519184665128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1.0728977519352778</v>
      </c>
      <c r="K130" s="51">
        <f t="shared" ref="K130:K193" si="22">+$I$14+$I$13*J130</f>
        <v>2.0039439743015972</v>
      </c>
      <c r="L130" s="55">
        <f t="shared" ref="L130:L193" si="23">SQRT(2*$I$20*$I$17)*SQRT((1/$I$2)+((J130-$I$11)^2/$I$8))</f>
        <v>9.6213867627802305E-3</v>
      </c>
      <c r="M130" s="51">
        <f t="shared" si="21"/>
        <v>2.0135653610643773</v>
      </c>
      <c r="N130" s="94">
        <f t="shared" si="17"/>
        <v>11.827630592759158</v>
      </c>
      <c r="O130" s="56">
        <f t="shared" si="18"/>
        <v>100.91226968776171</v>
      </c>
      <c r="P130" s="57">
        <f t="shared" si="19"/>
        <v>103.17283422651043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1.0674774832539049</v>
      </c>
      <c r="K131" s="51">
        <f t="shared" si="22"/>
        <v>2.0046932270960212</v>
      </c>
      <c r="L131" s="55">
        <f t="shared" si="23"/>
        <v>9.5446924487891799E-3</v>
      </c>
      <c r="M131" s="51">
        <f t="shared" si="21"/>
        <v>2.0142379195448101</v>
      </c>
      <c r="N131" s="94">
        <f t="shared" si="17"/>
        <v>11.680931664874381</v>
      </c>
      <c r="O131" s="56">
        <f t="shared" si="18"/>
        <v>101.0865156466093</v>
      </c>
      <c r="P131" s="57">
        <f t="shared" si="19"/>
        <v>103.33273384427321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1.0619887103287851</v>
      </c>
      <c r="K132" s="51">
        <f t="shared" si="22"/>
        <v>2.0054519493464951</v>
      </c>
      <c r="L132" s="55">
        <f t="shared" si="23"/>
        <v>9.4672228898831246E-3</v>
      </c>
      <c r="M132" s="51">
        <f t="shared" si="21"/>
        <v>2.0149191722363784</v>
      </c>
      <c r="N132" s="94">
        <f t="shared" si="17"/>
        <v>11.534232736989608</v>
      </c>
      <c r="O132" s="56">
        <f t="shared" si="18"/>
        <v>101.26327042063589</v>
      </c>
      <c r="P132" s="57">
        <f t="shared" si="19"/>
        <v>103.49495313950661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1.0564296793848633</v>
      </c>
      <c r="K133" s="51">
        <f t="shared" si="22"/>
        <v>2.0062203834802745</v>
      </c>
      <c r="L133" s="55">
        <f t="shared" si="23"/>
        <v>9.3889656664125805E-3</v>
      </c>
      <c r="M133" s="51">
        <f t="shared" si="21"/>
        <v>2.0156093491466871</v>
      </c>
      <c r="N133" s="94">
        <f t="shared" si="17"/>
        <v>11.387533809104839</v>
      </c>
      <c r="O133" s="56">
        <f t="shared" si="18"/>
        <v>101.442602737652</v>
      </c>
      <c r="P133" s="57">
        <f t="shared" si="19"/>
        <v>103.65955715330111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1.0507985684253576</v>
      </c>
      <c r="K134" s="51">
        <f t="shared" si="22"/>
        <v>2.0069987813550187</v>
      </c>
      <c r="L134" s="55">
        <f t="shared" si="23"/>
        <v>9.3099082917485303E-3</v>
      </c>
      <c r="M134" s="51">
        <f t="shared" si="21"/>
        <v>2.0163086896467672</v>
      </c>
      <c r="N134" s="94">
        <f t="shared" si="17"/>
        <v>11.240834881220065</v>
      </c>
      <c r="O134" s="56">
        <f t="shared" si="18"/>
        <v>101.62458412465486</v>
      </c>
      <c r="P134" s="57">
        <f t="shared" si="19"/>
        <v>103.82661367503728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1.0450934836467949</v>
      </c>
      <c r="K135" s="51">
        <f t="shared" si="22"/>
        <v>2.0077874047543447</v>
      </c>
      <c r="L135" s="55">
        <f t="shared" si="23"/>
        <v>9.2300382390897578E-3</v>
      </c>
      <c r="M135" s="51">
        <f t="shared" si="21"/>
        <v>2.0170174429934344</v>
      </c>
      <c r="N135" s="94">
        <f t="shared" si="17"/>
        <v>11.094135953335291</v>
      </c>
      <c r="O135" s="56">
        <f t="shared" si="18"/>
        <v>101.80928906014225</v>
      </c>
      <c r="P135" s="57">
        <f t="shared" si="19"/>
        <v>103.996193399711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1.0393124556154303</v>
      </c>
      <c r="K136" s="51">
        <f t="shared" si="22"/>
        <v>2.0085865259163689</v>
      </c>
      <c r="L136" s="55">
        <f t="shared" si="23"/>
        <v>9.1493429727536567E-3</v>
      </c>
      <c r="M136" s="51">
        <f t="shared" si="21"/>
        <v>2.0177358688891225</v>
      </c>
      <c r="N136" s="94">
        <f t="shared" si="17"/>
        <v>10.947437025450524</v>
      </c>
      <c r="O136" s="56">
        <f t="shared" si="18"/>
        <v>101.9967951368546</v>
      </c>
      <c r="P136" s="57">
        <f t="shared" si="19"/>
        <v>104.16837009675454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1.0334534351857254</v>
      </c>
      <c r="K137" s="51">
        <f t="shared" si="22"/>
        <v>2.0093964280979031</v>
      </c>
      <c r="L137" s="55">
        <f t="shared" si="23"/>
        <v>9.0678099845948115E-3</v>
      </c>
      <c r="M137" s="51">
        <f t="shared" si="21"/>
        <v>2.018464238082498</v>
      </c>
      <c r="N137" s="94">
        <f t="shared" si="17"/>
        <v>10.80073809756575</v>
      </c>
      <c r="O137" s="56">
        <f t="shared" si="18"/>
        <v>102.18718323580978</v>
      </c>
      <c r="P137" s="57">
        <f t="shared" si="19"/>
        <v>104.3432207913803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1.0275142891397282</v>
      </c>
      <c r="K138" s="51">
        <f t="shared" si="22"/>
        <v>2.0102174061772273</v>
      </c>
      <c r="L138" s="55">
        <f t="shared" si="23"/>
        <v>8.9854268362909145E-3</v>
      </c>
      <c r="M138" s="51">
        <f t="shared" si="21"/>
        <v>2.0192028330135181</v>
      </c>
      <c r="N138" s="94">
        <f t="shared" si="17"/>
        <v>10.654039169680976</v>
      </c>
      <c r="O138" s="56">
        <f t="shared" si="18"/>
        <v>102.38053771257756</v>
      </c>
      <c r="P138" s="57">
        <f t="shared" si="19"/>
        <v>104.52082595958846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1.0214927955241266</v>
      </c>
      <c r="K139" s="51">
        <f t="shared" si="22"/>
        <v>2.0110497672986605</v>
      </c>
      <c r="L139" s="55">
        <f t="shared" si="23"/>
        <v>8.9021812083452424E-3</v>
      </c>
      <c r="M139" s="51">
        <f t="shared" si="21"/>
        <v>2.0199519485070057</v>
      </c>
      <c r="N139" s="94">
        <f t="shared" si="17"/>
        <v>10.507340241796202</v>
      </c>
      <c r="O139" s="56">
        <f t="shared" si="18"/>
        <v>102.5769465968406</v>
      </c>
      <c r="P139" s="57">
        <f t="shared" si="19"/>
        <v>104.70126973810498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1.0153866386594739</v>
      </c>
      <c r="K140" s="51">
        <f t="shared" si="22"/>
        <v>2.0118938315624404</v>
      </c>
      <c r="L140" s="55">
        <f t="shared" si="23"/>
        <v>8.8180609567823816E-3</v>
      </c>
      <c r="M140" s="51">
        <f t="shared" si="21"/>
        <v>2.0207118925192229</v>
      </c>
      <c r="N140" s="94">
        <f t="shared" si="17"/>
        <v>10.360641313911433</v>
      </c>
      <c r="O140" s="56">
        <f t="shared" si="18"/>
        <v>102.77650180638527</v>
      </c>
      <c r="P140" s="57">
        <f t="shared" si="19"/>
        <v>104.88464015064942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1.0091934037935302</v>
      </c>
      <c r="K141" s="51">
        <f t="shared" si="22"/>
        <v>2.0127499327638034</v>
      </c>
      <c r="L141" s="55">
        <f t="shared" si="23"/>
        <v>8.733054178661501E-3</v>
      </c>
      <c r="M141" s="51">
        <f t="shared" si="21"/>
        <v>2.0214829869424649</v>
      </c>
      <c r="N141" s="94">
        <f t="shared" si="17"/>
        <v>10.213942386026659</v>
      </c>
      <c r="O141" s="56">
        <f t="shared" si="18"/>
        <v>102.97929937679035</v>
      </c>
      <c r="P141" s="57">
        <f t="shared" si="19"/>
        <v>105.07102935209824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1.0029105713678304</v>
      </c>
      <c r="K142" s="51">
        <f t="shared" si="22"/>
        <v>2.0136184191855246</v>
      </c>
      <c r="L142" s="55">
        <f t="shared" si="23"/>
        <v>8.6471492877028509E-3</v>
      </c>
      <c r="M142" s="51">
        <f t="shared" si="21"/>
        <v>2.0222655684732276</v>
      </c>
      <c r="N142" s="94">
        <f t="shared" si="17"/>
        <v>10.067243458141894</v>
      </c>
      <c r="O142" s="56">
        <f t="shared" si="18"/>
        <v>103.18543970820639</v>
      </c>
      <c r="P142" s="57">
        <f t="shared" si="19"/>
        <v>105.26053389227896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0.99653551086340286</v>
      </c>
      <c r="K143" s="51">
        <f t="shared" si="22"/>
        <v>2.014499654448636</v>
      </c>
      <c r="L143" s="55">
        <f t="shared" si="23"/>
        <v>8.5603351015224351E-3</v>
      </c>
      <c r="M143" s="51">
        <f t="shared" si="21"/>
        <v>2.0230599895501586</v>
      </c>
      <c r="N143" s="94">
        <f t="shared" si="17"/>
        <v>9.920544530257116</v>
      </c>
      <c r="O143" s="56">
        <f t="shared" si="18"/>
        <v>103.39502783076979</v>
      </c>
      <c r="P143" s="57">
        <f t="shared" si="19"/>
        <v>105.45325500133771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0.99006547418802626</v>
      </c>
      <c r="K144" s="51">
        <f t="shared" si="22"/>
        <v>2.0153940184265164</v>
      </c>
      <c r="L144" s="55">
        <f t="shared" si="23"/>
        <v>8.4726009422019868E-3</v>
      </c>
      <c r="M144" s="51">
        <f t="shared" si="21"/>
        <v>2.0238666193687185</v>
      </c>
      <c r="N144" s="94">
        <f t="shared" si="17"/>
        <v>9.7738456023723419</v>
      </c>
      <c r="O144" s="56">
        <f t="shared" si="18"/>
        <v>103.60817369035583</v>
      </c>
      <c r="P144" s="57">
        <f t="shared" si="19"/>
        <v>105.64929889884728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0.98349758856340941</v>
      </c>
      <c r="K145" s="51">
        <f t="shared" si="22"/>
        <v>2.0163019082281073</v>
      </c>
      <c r="L145" s="55">
        <f t="shared" si="23"/>
        <v>8.3839367521915606E-3</v>
      </c>
      <c r="M145" s="51">
        <f t="shared" si="21"/>
        <v>2.0246858449802989</v>
      </c>
      <c r="N145" s="94">
        <f t="shared" si="17"/>
        <v>9.6271466744875696</v>
      </c>
      <c r="O145" s="56">
        <f t="shared" si="18"/>
        <v>103.82499245656081</v>
      </c>
      <c r="P145" s="57">
        <f t="shared" si="19"/>
        <v>105.84877712908633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0.97682884886622434</v>
      </c>
      <c r="K146" s="51">
        <f t="shared" si="22"/>
        <v>2.017223739256627</v>
      </c>
      <c r="L146" s="55">
        <f t="shared" si="23"/>
        <v>8.2943332278578447E-3</v>
      </c>
      <c r="M146" s="51">
        <f t="shared" si="21"/>
        <v>2.025518072484485</v>
      </c>
      <c r="N146" s="94">
        <f t="shared" si="17"/>
        <v>9.4804477466027972</v>
      </c>
      <c r="O146" s="56">
        <f t="shared" si="18"/>
        <v>104.04560485501288</v>
      </c>
      <c r="P146" s="57">
        <f t="shared" si="19"/>
        <v>106.05180692521193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0.97005610937187914</v>
      </c>
      <c r="K147" s="51">
        <f t="shared" si="22"/>
        <v>2.0181599463508402</v>
      </c>
      <c r="L147" s="55">
        <f t="shared" si="23"/>
        <v>8.2037819733599415E-3</v>
      </c>
      <c r="M147" s="51">
        <f t="shared" si="21"/>
        <v>2.0263637283242</v>
      </c>
      <c r="N147" s="94">
        <f t="shared" si="17"/>
        <v>9.3337488187180266</v>
      </c>
      <c r="O147" s="56">
        <f t="shared" si="18"/>
        <v>104.27013752634048</v>
      </c>
      <c r="P147" s="57">
        <f t="shared" si="19"/>
        <v>106.25851160538852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0.96317607484425638</v>
      </c>
      <c r="K148" s="51">
        <f t="shared" si="22"/>
        <v>2.019110985016741</v>
      </c>
      <c r="L148" s="55">
        <f t="shared" si="23"/>
        <v>8.112275677965769E-3</v>
      </c>
      <c r="M148" s="51">
        <f t="shared" si="21"/>
        <v>2.0272232606947069</v>
      </c>
      <c r="N148" s="94">
        <f t="shared" si="17"/>
        <v>9.1870498908332543</v>
      </c>
      <c r="O148" s="56">
        <f t="shared" si="18"/>
        <v>104.49872341439659</v>
      </c>
      <c r="P148" s="57">
        <f t="shared" si="19"/>
        <v>106.46902100432277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0.95618529090823978</v>
      </c>
      <c r="K149" s="51">
        <f t="shared" si="22"/>
        <v>2.0200773327583712</v>
      </c>
      <c r="L149" s="55">
        <f t="shared" si="23"/>
        <v>8.0198083204273494E-3</v>
      </c>
      <c r="M149" s="51">
        <f t="shared" si="21"/>
        <v>2.0280971410787987</v>
      </c>
      <c r="N149" s="94">
        <f t="shared" si="17"/>
        <v>9.0403509629484837</v>
      </c>
      <c r="O149" s="56">
        <f t="shared" si="18"/>
        <v>104.731502186629</v>
      </c>
      <c r="P149" s="57">
        <f t="shared" si="19"/>
        <v>106.68347194408929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0.94908013363461974</v>
      </c>
      <c r="K150" s="51">
        <f t="shared" si="22"/>
        <v>2.0210594905175201</v>
      </c>
      <c r="L150" s="55">
        <f t="shared" si="23"/>
        <v>7.9263754046255408E-3</v>
      </c>
      <c r="M150" s="51">
        <f t="shared" si="21"/>
        <v>2.0289858659221456</v>
      </c>
      <c r="N150" s="94">
        <f t="shared" si="17"/>
        <v>8.8936520350637132</v>
      </c>
      <c r="O150" s="56">
        <f t="shared" si="18"/>
        <v>104.96862068983408</v>
      </c>
      <c r="P150" s="57">
        <f t="shared" si="19"/>
        <v>106.90200874865265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0.94185679825876578</v>
      </c>
      <c r="K151" s="51">
        <f t="shared" si="22"/>
        <v>2.0220579842331583</v>
      </c>
      <c r="L151" s="55">
        <f t="shared" si="23"/>
        <v>7.8319742313895813E-3</v>
      </c>
      <c r="M151" s="51">
        <f t="shared" si="21"/>
        <v>2.029889958464548</v>
      </c>
      <c r="N151" s="94">
        <f t="shared" si="17"/>
        <v>8.746953107178939</v>
      </c>
      <c r="O151" s="56">
        <f t="shared" si="18"/>
        <v>105.21023344490602</v>
      </c>
      <c r="P151" s="57">
        <f t="shared" si="19"/>
        <v>107.12478380705932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0.93451128694514829</v>
      </c>
      <c r="K152" s="51">
        <f t="shared" si="22"/>
        <v>2.0230733665327691</v>
      </c>
      <c r="L152" s="55">
        <f t="shared" si="23"/>
        <v>7.736604212213046E-3</v>
      </c>
      <c r="M152" s="51">
        <f t="shared" si="21"/>
        <v>2.0308099707449823</v>
      </c>
      <c r="N152" s="94">
        <f t="shared" si="17"/>
        <v>8.6002541792941667</v>
      </c>
      <c r="O152" s="56">
        <f t="shared" si="18"/>
        <v>105.45650318463832</v>
      </c>
      <c r="P152" s="57">
        <f t="shared" si="19"/>
        <v>107.35195819095733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0.9270393954992</v>
      </c>
      <c r="K153" s="51">
        <f t="shared" si="22"/>
        <v>2.0241062185691909</v>
      </c>
      <c r="L153" s="55">
        <f t="shared" si="23"/>
        <v>7.6402672315467948E-3</v>
      </c>
      <c r="M153" s="51">
        <f t="shared" si="21"/>
        <v>2.0317464858007379</v>
      </c>
      <c r="N153" s="94">
        <f t="shared" si="17"/>
        <v>8.4535552514093943</v>
      </c>
      <c r="O153" s="56">
        <f t="shared" si="18"/>
        <v>105.70760143912933</v>
      </c>
      <c r="P153" s="57">
        <f t="shared" si="19"/>
        <v>107.58370233287664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0.9194366989159346</v>
      </c>
      <c r="K154" s="51">
        <f t="shared" si="22"/>
        <v>2.0251571520182554</v>
      </c>
      <c r="L154" s="55">
        <f t="shared" si="23"/>
        <v>7.542968065477375E-3</v>
      </c>
      <c r="M154" s="51">
        <f t="shared" si="21"/>
        <v>2.0327001200837329</v>
      </c>
      <c r="N154" s="94">
        <f t="shared" si="17"/>
        <v>8.3068563235246202</v>
      </c>
      <c r="O154" s="56">
        <f t="shared" si="18"/>
        <v>105.96370917391309</v>
      </c>
      <c r="P154" s="57">
        <f t="shared" si="19"/>
        <v>107.8201967725947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0.91169853564094716</v>
      </c>
      <c r="K155" s="51">
        <f t="shared" si="22"/>
        <v>2.0262268112544142</v>
      </c>
      <c r="L155" s="55">
        <f t="shared" si="23"/>
        <v>7.4447148659256114E-3</v>
      </c>
      <c r="M155" s="51">
        <f t="shared" si="21"/>
        <v>2.0336715261203397</v>
      </c>
      <c r="N155" s="94">
        <f t="shared" si="17"/>
        <v>8.1601573956398514</v>
      </c>
      <c r="O155" s="56">
        <f t="shared" si="18"/>
        <v>106.22501748659084</v>
      </c>
      <c r="P155" s="57">
        <f t="shared" si="19"/>
        <v>108.06163297996339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0.90381999040361971</v>
      </c>
      <c r="K156" s="51">
        <f t="shared" si="22"/>
        <v>2.0273158757237368</v>
      </c>
      <c r="L156" s="55">
        <f t="shared" si="23"/>
        <v>7.3455197210602662E-3</v>
      </c>
      <c r="M156" s="51">
        <f t="shared" si="21"/>
        <v>2.0346613954447972</v>
      </c>
      <c r="N156" s="94">
        <f t="shared" si="17"/>
        <v>8.0134584677550791</v>
      </c>
      <c r="O156" s="56">
        <f t="shared" si="18"/>
        <v>106.49172836848744</v>
      </c>
      <c r="P156" s="57">
        <f t="shared" si="19"/>
        <v>108.30821426377807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0.89579587546422812</v>
      </c>
      <c r="K157" s="51">
        <f t="shared" si="22"/>
        <v>2.0284250625361504</v>
      </c>
      <c r="L157" s="55">
        <f t="shared" si="23"/>
        <v>7.2453993044558993E-3</v>
      </c>
      <c r="M157" s="51">
        <f t="shared" si="21"/>
        <v>2.0356704618406063</v>
      </c>
      <c r="N157" s="94">
        <f t="shared" si="17"/>
        <v>7.8667595398703076</v>
      </c>
      <c r="O157" s="56">
        <f t="shared" si="18"/>
        <v>106.76405553871398</v>
      </c>
      <c r="P157" s="57">
        <f t="shared" si="19"/>
        <v>108.56015677767461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0.88762071009577737</v>
      </c>
      <c r="K158" s="51">
        <f t="shared" si="22"/>
        <v>2.0295551293017042</v>
      </c>
      <c r="L158" s="55">
        <f t="shared" si="23"/>
        <v>7.1443756276791687E-3</v>
      </c>
      <c r="M158" s="51">
        <f t="shared" si="21"/>
        <v>2.0366995049293832</v>
      </c>
      <c r="N158" s="94">
        <f t="shared" si="17"/>
        <v>7.7200606119855335</v>
      </c>
      <c r="O158" s="56">
        <f t="shared" si="18"/>
        <v>107.04222535902014</v>
      </c>
      <c r="P158" s="57">
        <f t="shared" si="19"/>
        <v>108.81769063568859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0.87928869809733012</v>
      </c>
      <c r="K159" s="51">
        <f t="shared" si="22"/>
        <v>2.0307068772389356</v>
      </c>
      <c r="L159" s="55">
        <f t="shared" si="23"/>
        <v>7.0424769135165087E-3</v>
      </c>
      <c r="M159" s="51">
        <f t="shared" si="21"/>
        <v>2.0377493541524521</v>
      </c>
      <c r="N159" s="94">
        <f t="shared" si="17"/>
        <v>7.5733616841007638</v>
      </c>
      <c r="O159" s="56">
        <f t="shared" si="18"/>
        <v>107.32647783895982</v>
      </c>
      <c r="P159" s="57">
        <f t="shared" si="19"/>
        <v>109.08106115201359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0.87079370310775628</v>
      </c>
      <c r="K160" s="51">
        <f t="shared" si="22"/>
        <v>2.0318811545872948</v>
      </c>
      <c r="L160" s="55">
        <f t="shared" si="23"/>
        <v>6.9397386100174671E-3</v>
      </c>
      <c r="M160" s="51">
        <f t="shared" si="21"/>
        <v>2.0388208931973124</v>
      </c>
      <c r="N160" s="94">
        <f t="shared" si="17"/>
        <v>7.4266627562159933</v>
      </c>
      <c r="O160" s="56">
        <f t="shared" si="18"/>
        <v>107.61706774223308</v>
      </c>
      <c r="P160" s="57">
        <f t="shared" si="19"/>
        <v>109.35053022173832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0.86212922145655635</v>
      </c>
      <c r="K161" s="51">
        <f t="shared" si="22"/>
        <v>2.0330788603600189</v>
      </c>
      <c r="L161" s="55">
        <f t="shared" si="23"/>
        <v>6.8362045689862464E-3</v>
      </c>
      <c r="M161" s="51">
        <f t="shared" si="21"/>
        <v>2.039915064929005</v>
      </c>
      <c r="N161" s="94">
        <f t="shared" si="17"/>
        <v>7.2799638283312182</v>
      </c>
      <c r="O161" s="56">
        <f t="shared" si="18"/>
        <v>107.91426580661188</v>
      </c>
      <c r="P161" s="57">
        <f t="shared" si="19"/>
        <v>109.62637786195153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0.85328835225087674</v>
      </c>
      <c r="K162" s="51">
        <f t="shared" si="22"/>
        <v>2.0343009484790557</v>
      </c>
      <c r="L162" s="55">
        <f t="shared" si="23"/>
        <v>6.7319284165767851E-3</v>
      </c>
      <c r="M162" s="51">
        <f t="shared" si="21"/>
        <v>2.0410328768956325</v>
      </c>
      <c r="N162" s="94">
        <f t="shared" si="17"/>
        <v>7.1332649004464468</v>
      </c>
      <c r="O162" s="56">
        <f t="shared" si="18"/>
        <v>108.21836009166573</v>
      </c>
      <c r="P162" s="57">
        <f t="shared" si="19"/>
        <v>109.9089039356648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0.84426376435405515</v>
      </c>
      <c r="K163" s="51">
        <f t="shared" si="22"/>
        <v>2.0355484323396724</v>
      </c>
      <c r="L163" s="55">
        <f t="shared" si="23"/>
        <v>6.626975148301629E-3</v>
      </c>
      <c r="M163" s="51">
        <f t="shared" si="21"/>
        <v>2.0421754074879739</v>
      </c>
      <c r="N163" s="94">
        <f t="shared" si="17"/>
        <v>6.9865659725616736</v>
      </c>
      <c r="O163" s="56">
        <f t="shared" si="18"/>
        <v>108.52965747061434</v>
      </c>
      <c r="P163" s="57">
        <f t="shared" si="19"/>
        <v>110.19843008457501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0.83504765985982987</v>
      </c>
      <c r="K164" s="51">
        <f t="shared" si="22"/>
        <v>2.0368223898594784</v>
      </c>
      <c r="L164" s="55">
        <f t="shared" si="23"/>
        <v>6.5214229861125022E-3</v>
      </c>
      <c r="M164" s="51">
        <f t="shared" si="21"/>
        <v>2.043343812845591</v>
      </c>
      <c r="N164" s="94">
        <f t="shared" si="17"/>
        <v>6.8398670446769021</v>
      </c>
      <c r="O164" s="56">
        <f t="shared" si="18"/>
        <v>108.84848528511223</v>
      </c>
      <c r="P164" s="57">
        <f t="shared" si="19"/>
        <v>110.495301900885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0.82563173360624642</v>
      </c>
      <c r="K165" s="51">
        <f t="shared" si="22"/>
        <v>2.0381239690748836</v>
      </c>
      <c r="L165" s="55">
        <f t="shared" si="23"/>
        <v>6.4153655412949283E-3</v>
      </c>
      <c r="M165" s="51">
        <f t="shared" si="21"/>
        <v>2.0445393346161786</v>
      </c>
      <c r="N165" s="94">
        <f t="shared" si="17"/>
        <v>6.6931681167921298</v>
      </c>
      <c r="O165" s="56">
        <f t="shared" si="18"/>
        <v>109.1751931846849</v>
      </c>
      <c r="P165" s="57">
        <f t="shared" si="19"/>
        <v>110.79989137328387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0.81600712820254573</v>
      </c>
      <c r="K166" s="51">
        <f t="shared" si="22"/>
        <v>2.0394543943578101</v>
      </c>
      <c r="L166" s="55">
        <f t="shared" si="23"/>
        <v>6.3089143337504991E-3</v>
      </c>
      <c r="M166" s="51">
        <f t="shared" si="21"/>
        <v>2.0457633086915608</v>
      </c>
      <c r="N166" s="94">
        <f t="shared" si="17"/>
        <v>6.5464691889073592</v>
      </c>
      <c r="O166" s="56">
        <f t="shared" si="18"/>
        <v>109.5101551759799</v>
      </c>
      <c r="P166" s="57">
        <f t="shared" si="19"/>
        <v>111.11259964790929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0.80616438395873113</v>
      </c>
      <c r="K167" s="51">
        <f t="shared" si="22"/>
        <v>2.0408149733370076</v>
      </c>
      <c r="L167" s="55">
        <f t="shared" si="23"/>
        <v>6.2022017257711845E-3</v>
      </c>
      <c r="M167" s="51">
        <f t="shared" si="21"/>
        <v>2.0470171750627788</v>
      </c>
      <c r="N167" s="94">
        <f t="shared" si="17"/>
        <v>6.3997702610225859</v>
      </c>
      <c r="O167" s="56">
        <f t="shared" si="18"/>
        <v>109.85377191107006</v>
      </c>
      <c r="P167" s="57">
        <f t="shared" si="19"/>
        <v>111.43386015175228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0.79609338300841925</v>
      </c>
      <c r="K168" s="51">
        <f t="shared" si="22"/>
        <v>2.0422071046220487</v>
      </c>
      <c r="L168" s="55">
        <f t="shared" si="23"/>
        <v>6.0953843364962576E-3</v>
      </c>
      <c r="M168" s="51">
        <f t="shared" si="21"/>
        <v>2.0483024889585448</v>
      </c>
      <c r="N168" s="94">
        <f t="shared" ref="N168:N204" si="24">10^$J168</f>
        <v>6.2530713331378127</v>
      </c>
      <c r="O168" s="56">
        <f t="shared" ref="O168:O204" si="25">10^K168</f>
        <v>110.2064732489021</v>
      </c>
      <c r="P168" s="57">
        <f t="shared" ref="P168:P204" si="26">10^M168</f>
        <v>111.76414213368292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0.78578328679765108</v>
      </c>
      <c r="K169" s="51">
        <f t="shared" si="22"/>
        <v>2.0436322864443532</v>
      </c>
      <c r="L169" s="55">
        <f t="shared" si="23"/>
        <v>5.9886470115913665E-3</v>
      </c>
      <c r="M169" s="51">
        <f t="shared" ref="M169:M204" si="28">+$I$14+$I$13*J169+L169</f>
        <v>2.0496209334559445</v>
      </c>
      <c r="N169" s="94">
        <f t="shared" si="24"/>
        <v>6.1063724052530413</v>
      </c>
      <c r="O169" s="56">
        <f t="shared" si="25"/>
        <v>110.56872112976444</v>
      </c>
      <c r="P169" s="57">
        <f t="shared" si="26"/>
        <v>112.10395468715564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0.77522246597147548</v>
      </c>
      <c r="K170" s="51">
        <f t="shared" si="22"/>
        <v>2.0450921263490827</v>
      </c>
      <c r="L170" s="55">
        <f t="shared" si="23"/>
        <v>5.8822074307810319E-3</v>
      </c>
      <c r="M170" s="51">
        <f t="shared" si="28"/>
        <v>2.0509743337798638</v>
      </c>
      <c r="N170" s="94">
        <f t="shared" si="24"/>
        <v>5.9596734773682689</v>
      </c>
      <c r="O170" s="56">
        <f t="shared" si="25"/>
        <v>110.94101280958728</v>
      </c>
      <c r="P170" s="57">
        <f t="shared" si="26"/>
        <v>112.45385132884583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0.76439842152114368</v>
      </c>
      <c r="K171" s="51">
        <f t="shared" si="22"/>
        <v>2.0465883520950965</v>
      </c>
      <c r="L171" s="55">
        <f t="shared" si="23"/>
        <v>5.7763214428475235E-3</v>
      </c>
      <c r="M171" s="51">
        <f t="shared" si="28"/>
        <v>2.0523646735379439</v>
      </c>
      <c r="N171" s="94">
        <f t="shared" si="24"/>
        <v>5.8129745494834957</v>
      </c>
      <c r="O171" s="56">
        <f t="shared" si="25"/>
        <v>111.32388450923423</v>
      </c>
      <c r="P171" s="57">
        <f t="shared" si="26"/>
        <v>112.81443521901693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0.75329769585121997</v>
      </c>
      <c r="K172" s="51">
        <f t="shared" si="22"/>
        <v>2.048122823948292</v>
      </c>
      <c r="L172" s="55">
        <f t="shared" si="23"/>
        <v>5.6712892222531191E-3</v>
      </c>
      <c r="M172" s="51">
        <f t="shared" si="28"/>
        <v>2.0537941131705453</v>
      </c>
      <c r="N172" s="94">
        <f t="shared" si="24"/>
        <v>5.6662756215987242</v>
      </c>
      <c r="O172" s="56">
        <f t="shared" si="25"/>
        <v>111.7179155440249</v>
      </c>
      <c r="P172" s="57">
        <f t="shared" si="26"/>
        <v>113.18636512236853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0.7419057721796517</v>
      </c>
      <c r="K173" s="51">
        <f t="shared" si="22"/>
        <v>2.0496975485877034</v>
      </c>
      <c r="L173" s="55">
        <f t="shared" si="23"/>
        <v>5.5674623416647707E-3</v>
      </c>
      <c r="M173" s="51">
        <f t="shared" si="28"/>
        <v>2.055265010929368</v>
      </c>
      <c r="N173" s="94">
        <f t="shared" si="24"/>
        <v>5.5195766937139519</v>
      </c>
      <c r="O173" s="56">
        <f t="shared" si="25"/>
        <v>112.12373301097533</v>
      </c>
      <c r="P173" s="57">
        <f t="shared" si="26"/>
        <v>113.57036222239978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0.73020696038448807</v>
      </c>
      <c r="K174" s="51">
        <f t="shared" si="22"/>
        <v>2.0513146948850984</v>
      </c>
      <c r="L174" s="55">
        <f t="shared" si="23"/>
        <v>5.4652518475028864E-3</v>
      </c>
      <c r="M174" s="51">
        <f t="shared" si="28"/>
        <v>2.0567799467326013</v>
      </c>
      <c r="N174" s="94">
        <f t="shared" si="24"/>
        <v>5.3728777658291786</v>
      </c>
      <c r="O174" s="56">
        <f t="shared" si="25"/>
        <v>112.54201712616999</v>
      </c>
      <c r="P174" s="57">
        <f t="shared" si="26"/>
        <v>113.96721791774952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0.71818426704524962</v>
      </c>
      <c r="K175" s="51">
        <f t="shared" si="22"/>
        <v>2.0529766118693771</v>
      </c>
      <c r="L175" s="55">
        <f t="shared" si="23"/>
        <v>5.3651374072371302E-3</v>
      </c>
      <c r="M175" s="51">
        <f t="shared" si="28"/>
        <v>2.0583417492766141</v>
      </c>
      <c r="N175" s="94">
        <f t="shared" si="24"/>
        <v>5.226178837944409</v>
      </c>
      <c r="O175" s="56">
        <f t="shared" si="25"/>
        <v>112.97350732298592</v>
      </c>
      <c r="P175" s="57">
        <f t="shared" si="26"/>
        <v>114.37780274521235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0.70581924697794085</v>
      </c>
      <c r="K176" s="51">
        <f t="shared" si="22"/>
        <v>2.0546858492491364</v>
      </c>
      <c r="L176" s="55">
        <f t="shared" si="23"/>
        <v>5.2676775622513923E-3</v>
      </c>
      <c r="M176" s="51">
        <f t="shared" si="28"/>
        <v>2.059953526811388</v>
      </c>
      <c r="N176" s="94">
        <f t="shared" si="24"/>
        <v>5.0794799100596366</v>
      </c>
      <c r="O176" s="56">
        <f t="shared" si="25"/>
        <v>113.41900924444532</v>
      </c>
      <c r="P176" s="57">
        <f t="shared" si="26"/>
        <v>114.8030765906416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0.69309183300835819</v>
      </c>
      <c r="K177" s="51">
        <f t="shared" si="22"/>
        <v>2.0564451809433884</v>
      </c>
      <c r="L177" s="55">
        <f t="shared" si="23"/>
        <v>5.173521062087634E-3</v>
      </c>
      <c r="M177" s="51">
        <f t="shared" si="28"/>
        <v>2.0616187020054761</v>
      </c>
      <c r="N177" s="94">
        <f t="shared" si="24"/>
        <v>4.9327809821748634</v>
      </c>
      <c r="O177" s="56">
        <f t="shared" si="25"/>
        <v>113.87940279091434</v>
      </c>
      <c r="P177" s="57">
        <f t="shared" si="26"/>
        <v>115.24410036506606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0.67998014004004403</v>
      </c>
      <c r="K178" s="51">
        <f t="shared" si="22"/>
        <v>2.0582576321655761</v>
      </c>
      <c r="L178" s="55">
        <f t="shared" si="23"/>
        <v>5.0834191670801072E-3</v>
      </c>
      <c r="M178" s="51">
        <f t="shared" si="28"/>
        <v>2.0633410513326562</v>
      </c>
      <c r="N178" s="94">
        <f t="shared" si="24"/>
        <v>4.7860820542900919</v>
      </c>
      <c r="O178" s="56">
        <f t="shared" si="25"/>
        <v>114.35565141920709</v>
      </c>
      <c r="P178" s="57">
        <f t="shared" si="26"/>
        <v>115.70204933838706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0.66646023861342918</v>
      </c>
      <c r="K179" s="51">
        <f t="shared" si="22"/>
        <v>2.0601265107248699</v>
      </c>
      <c r="L179" s="55">
        <f t="shared" si="23"/>
        <v>4.9982386789949821E-3</v>
      </c>
      <c r="M179" s="51">
        <f t="shared" si="28"/>
        <v>2.0651247494038647</v>
      </c>
      <c r="N179" s="94">
        <f t="shared" si="24"/>
        <v>4.6393831264053196</v>
      </c>
      <c r="O179" s="56">
        <f t="shared" si="25"/>
        <v>114.84881293282233</v>
      </c>
      <c r="P179" s="57">
        <f t="shared" si="26"/>
        <v>116.17822833659196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0.65250589207174348</v>
      </c>
      <c r="K180" s="51">
        <f t="shared" si="22"/>
        <v>2.0620554433581635</v>
      </c>
      <c r="L180" s="55">
        <f t="shared" si="23"/>
        <v>4.918975287352299E-3</v>
      </c>
      <c r="M180" s="51">
        <f t="shared" si="28"/>
        <v>2.0669744186455157</v>
      </c>
      <c r="N180" s="94">
        <f t="shared" si="24"/>
        <v>4.4926841985205481</v>
      </c>
      <c r="O180" s="56">
        <f t="shared" si="25"/>
        <v>115.36005205818402</v>
      </c>
      <c r="P180" s="57">
        <f t="shared" si="26"/>
        <v>116.67408902117809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0.63808825008104397</v>
      </c>
      <c r="K181" s="51">
        <f t="shared" si="22"/>
        <v>2.0640484180953127</v>
      </c>
      <c r="L181" s="55">
        <f t="shared" si="23"/>
        <v>4.8467666021706404E-3</v>
      </c>
      <c r="M181" s="51">
        <f t="shared" si="28"/>
        <v>2.0688951846974835</v>
      </c>
      <c r="N181" s="94">
        <f t="shared" si="24"/>
        <v>4.3459852706357758</v>
      </c>
      <c r="O181" s="56">
        <f t="shared" si="25"/>
        <v>115.89065517181785</v>
      </c>
      <c r="P181" s="57">
        <f t="shared" si="26"/>
        <v>117.19124948422346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0.62317548950737056</v>
      </c>
      <c r="K182" s="51">
        <f t="shared" si="22"/>
        <v>2.0661098339012853</v>
      </c>
      <c r="L182" s="55">
        <f t="shared" si="23"/>
        <v>4.7829039926363262E-3</v>
      </c>
      <c r="M182" s="51">
        <f t="shared" si="28"/>
        <v>2.0708927378939217</v>
      </c>
      <c r="N182" s="94">
        <f t="shared" si="24"/>
        <v>4.1992863427510034</v>
      </c>
      <c r="O182" s="56">
        <f t="shared" si="25"/>
        <v>116.44204763311224</v>
      </c>
      <c r="P182" s="57">
        <f t="shared" si="26"/>
        <v>117.73151641620464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0.60773239141311153</v>
      </c>
      <c r="K183" s="51">
        <f t="shared" si="22"/>
        <v>2.0682445591486616</v>
      </c>
      <c r="L183" s="55">
        <f t="shared" si="23"/>
        <v>4.7288420951659737E-3</v>
      </c>
      <c r="M183" s="51">
        <f t="shared" si="28"/>
        <v>2.0729734012438277</v>
      </c>
      <c r="N183" s="94">
        <f t="shared" si="24"/>
        <v>4.0525874148662311</v>
      </c>
      <c r="O183" s="56">
        <f t="shared" si="25"/>
        <v>117.01581429305966</v>
      </c>
      <c r="P183" s="57">
        <f t="shared" si="26"/>
        <v>118.29691014997775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0.59171984003224098</v>
      </c>
      <c r="K184" s="51">
        <f t="shared" si="22"/>
        <v>2.0704580008751217</v>
      </c>
      <c r="L184" s="55">
        <f t="shared" si="23"/>
        <v>4.6862046501996105E-3</v>
      </c>
      <c r="M184" s="51">
        <f t="shared" si="28"/>
        <v>2.0751442055253211</v>
      </c>
      <c r="N184" s="94">
        <f t="shared" si="24"/>
        <v>3.9058884869814592</v>
      </c>
      <c r="O184" s="56">
        <f t="shared" si="25"/>
        <v>117.61372389997007</v>
      </c>
      <c r="P184" s="57">
        <f t="shared" si="26"/>
        <v>118.88969297709176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0.57509422579203096</v>
      </c>
      <c r="K185" s="51">
        <f t="shared" si="22"/>
        <v>2.072756187304754</v>
      </c>
      <c r="L185" s="55">
        <f t="shared" si="23"/>
        <v>4.6567852643968526E-3</v>
      </c>
      <c r="M185" s="51">
        <f t="shared" si="28"/>
        <v>2.0774129725691508</v>
      </c>
      <c r="N185" s="94">
        <f t="shared" si="24"/>
        <v>3.7591895590966864</v>
      </c>
      <c r="O185" s="56">
        <f t="shared" si="25"/>
        <v>118.23775832082042</v>
      </c>
      <c r="P185" s="57">
        <f t="shared" si="26"/>
        <v>119.51240130884251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0.55780672944813536</v>
      </c>
      <c r="K186" s="51">
        <f t="shared" si="22"/>
        <v>2.0751458668032581</v>
      </c>
      <c r="L186" s="55">
        <f t="shared" si="23"/>
        <v>4.6425418929826757E-3</v>
      </c>
      <c r="M186" s="51">
        <f t="shared" si="28"/>
        <v>2.0797884086962406</v>
      </c>
      <c r="N186" s="94">
        <f t="shared" si="24"/>
        <v>3.6124906312119145</v>
      </c>
      <c r="O186" s="56">
        <f t="shared" si="25"/>
        <v>118.89014775883521</v>
      </c>
      <c r="P186" s="57">
        <f t="shared" si="26"/>
        <v>120.1678825658816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0.53980245773912539</v>
      </c>
      <c r="K187" s="51">
        <f t="shared" si="22"/>
        <v>2.0776346273578601</v>
      </c>
      <c r="L187" s="55">
        <f t="shared" si="23"/>
        <v>4.6455844247719506E-3</v>
      </c>
      <c r="M187" s="51">
        <f t="shared" si="28"/>
        <v>2.0822802117826322</v>
      </c>
      <c r="N187" s="94">
        <f t="shared" si="24"/>
        <v>3.4657917033271421</v>
      </c>
      <c r="O187" s="56">
        <f t="shared" si="25"/>
        <v>119.57341349852298</v>
      </c>
      <c r="P187" s="57">
        <f t="shared" si="26"/>
        <v>120.8593381910356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0.52101939199870695</v>
      </c>
      <c r="K188" s="51">
        <f t="shared" si="22"/>
        <v>2.0802310419124046</v>
      </c>
      <c r="L188" s="55">
        <f t="shared" si="23"/>
        <v>4.6681558258431137E-3</v>
      </c>
      <c r="M188" s="51">
        <f t="shared" si="28"/>
        <v>2.0848991977382476</v>
      </c>
      <c r="N188" s="94">
        <f t="shared" si="24"/>
        <v>3.3190927754423698</v>
      </c>
      <c r="O188" s="56">
        <f t="shared" si="25"/>
        <v>120.29042018392775</v>
      </c>
      <c r="P188" s="57">
        <f t="shared" si="26"/>
        <v>121.59037495969949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0.50138709894916178</v>
      </c>
      <c r="K189" s="51">
        <f t="shared" si="22"/>
        <v>2.0829448465765301</v>
      </c>
      <c r="L189" s="55">
        <f t="shared" si="23"/>
        <v>4.712608858359231E-3</v>
      </c>
      <c r="M189" s="51">
        <f t="shared" si="28"/>
        <v>2.0876574554348895</v>
      </c>
      <c r="N189" s="94">
        <f t="shared" si="24"/>
        <v>3.172393847557597</v>
      </c>
      <c r="O189" s="56">
        <f t="shared" si="25"/>
        <v>121.04444028566404</v>
      </c>
      <c r="P189" s="57">
        <f t="shared" si="26"/>
        <v>122.3650678743295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0.480825136052629</v>
      </c>
      <c r="K190" s="51">
        <f t="shared" si="22"/>
        <v>2.0857871610566252</v>
      </c>
      <c r="L190" s="55">
        <f t="shared" si="23"/>
        <v>4.781382287335178E-3</v>
      </c>
      <c r="M190" s="51">
        <f t="shared" si="28"/>
        <v>2.0905685433439603</v>
      </c>
      <c r="N190" s="94">
        <f t="shared" si="24"/>
        <v>3.0256949196728247</v>
      </c>
      <c r="O190" s="56">
        <f t="shared" si="25"/>
        <v>121.83923431360157</v>
      </c>
      <c r="P190" s="57">
        <f t="shared" si="26"/>
        <v>123.18803942361609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0.45924106024260342</v>
      </c>
      <c r="K191" s="51">
        <f t="shared" si="22"/>
        <v>2.0887707639121991</v>
      </c>
      <c r="L191" s="55">
        <f t="shared" si="23"/>
        <v>4.8769824020846089E-3</v>
      </c>
      <c r="M191" s="51">
        <f t="shared" si="28"/>
        <v>2.0936477463142835</v>
      </c>
      <c r="N191" s="94">
        <f t="shared" si="24"/>
        <v>2.8789959917880528</v>
      </c>
      <c r="O191" s="56">
        <f t="shared" si="25"/>
        <v>122.67915159957485</v>
      </c>
      <c r="P191" s="57">
        <f t="shared" si="26"/>
        <v>124.06456190639943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0.43652791543422187</v>
      </c>
      <c r="K192" s="51">
        <f t="shared" si="22"/>
        <v>2.0919104398615334</v>
      </c>
      <c r="L192" s="55">
        <f t="shared" si="23"/>
        <v>5.0019771982670203E-3</v>
      </c>
      <c r="M192" s="51">
        <f t="shared" si="28"/>
        <v>2.0969124170598006</v>
      </c>
      <c r="N192" s="94">
        <f t="shared" si="24"/>
        <v>2.7322970639032835</v>
      </c>
      <c r="O192" s="56">
        <f t="shared" si="25"/>
        <v>123.56925828413632</v>
      </c>
      <c r="P192" s="57">
        <f t="shared" si="26"/>
        <v>125.00069194362878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0.4125610260077166</v>
      </c>
      <c r="K193" s="51">
        <f t="shared" si="22"/>
        <v>2.0952234230238207</v>
      </c>
      <c r="L193" s="55">
        <f t="shared" si="23"/>
        <v>5.1590113532622673E-3</v>
      </c>
      <c r="M193" s="51">
        <f t="shared" si="28"/>
        <v>2.1003824343770829</v>
      </c>
      <c r="N193" s="94">
        <f t="shared" si="24"/>
        <v>2.5855981360185112</v>
      </c>
      <c r="O193" s="56">
        <f t="shared" si="25"/>
        <v>124.51550176800914</v>
      </c>
      <c r="P193" s="57">
        <f t="shared" si="26"/>
        <v>126.00344942721463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0.38719385268936346</v>
      </c>
      <c r="K194" s="51">
        <f t="shared" ref="K194:K204" si="29">+$I$14+$I$13*J194</f>
        <v>2.0987299697676627</v>
      </c>
      <c r="L194" s="55">
        <f t="shared" ref="L194:L204" si="30">SQRT(2*$I$20*$I$17)*SQRT((1/$I$2)+((J194-$I$11)^2/$I$8))</f>
        <v>5.3508501325871798E-3</v>
      </c>
      <c r="M194" s="51">
        <f t="shared" si="28"/>
        <v>2.1040808199002496</v>
      </c>
      <c r="N194" s="94">
        <f t="shared" si="24"/>
        <v>2.4388992081337393</v>
      </c>
      <c r="O194" s="56">
        <f t="shared" si="25"/>
        <v>125.5249247711447</v>
      </c>
      <c r="P194" s="57">
        <f t="shared" si="26"/>
        <v>127.08105743144839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0.36025256129138145</v>
      </c>
      <c r="K195" s="51">
        <f t="shared" si="29"/>
        <v>2.1024541094832268</v>
      </c>
      <c r="L195" s="55">
        <f t="shared" si="30"/>
        <v>5.5804599842875051E-3</v>
      </c>
      <c r="M195" s="51">
        <f t="shared" si="28"/>
        <v>2.1080345694675144</v>
      </c>
      <c r="N195" s="94">
        <f t="shared" si="24"/>
        <v>2.2922002802489665</v>
      </c>
      <c r="O195" s="56">
        <f t="shared" si="25"/>
        <v>126.60594799636512</v>
      </c>
      <c r="P195" s="57">
        <f t="shared" si="26"/>
        <v>128.24326591308761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0.33152879261565965</v>
      </c>
      <c r="K196" s="51">
        <f t="shared" si="29"/>
        <v>2.1064246440105343</v>
      </c>
      <c r="L196" s="55">
        <f t="shared" si="30"/>
        <v>5.8511336735368536E-3</v>
      </c>
      <c r="M196" s="51">
        <f t="shared" si="28"/>
        <v>2.1122757776840713</v>
      </c>
      <c r="N196" s="94">
        <f t="shared" si="24"/>
        <v>2.1455013523641946</v>
      </c>
      <c r="O196" s="56">
        <f t="shared" si="25"/>
        <v>127.7687494202832</v>
      </c>
      <c r="P196" s="57">
        <f t="shared" si="26"/>
        <v>129.50179188423314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0.30076986755531798</v>
      </c>
      <c r="K197" s="51">
        <f t="shared" si="29"/>
        <v>2.1106765016046314</v>
      </c>
      <c r="L197" s="55">
        <f t="shared" si="30"/>
        <v>6.1666696132965781E-3</v>
      </c>
      <c r="M197" s="51">
        <f t="shared" si="28"/>
        <v>2.1168431712179281</v>
      </c>
      <c r="N197" s="94">
        <f t="shared" si="24"/>
        <v>1.998802424479422</v>
      </c>
      <c r="O197" s="56">
        <f t="shared" si="25"/>
        <v>129.02578249936866</v>
      </c>
      <c r="P197" s="57">
        <f t="shared" si="26"/>
        <v>130.87092475493156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0.26766525164616867</v>
      </c>
      <c r="K198" s="51">
        <f t="shared" si="29"/>
        <v>2.1152526079632525</v>
      </c>
      <c r="L198" s="55">
        <f t="shared" si="30"/>
        <v>6.5316201026570809E-3</v>
      </c>
      <c r="M198" s="51">
        <f t="shared" si="28"/>
        <v>2.1217842280659096</v>
      </c>
      <c r="N198" s="94">
        <f t="shared" si="24"/>
        <v>1.8521034965946497</v>
      </c>
      <c r="O198" s="56">
        <f t="shared" si="25"/>
        <v>130.39249876282358</v>
      </c>
      <c r="P198" s="57">
        <f t="shared" si="26"/>
        <v>132.36837217256237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0.23182742210619503</v>
      </c>
      <c r="K199" s="51">
        <f t="shared" si="29"/>
        <v>2.1202065310079155</v>
      </c>
      <c r="L199" s="55">
        <f t="shared" si="30"/>
        <v>6.9516335695632937E-3</v>
      </c>
      <c r="M199" s="51">
        <f t="shared" si="28"/>
        <v>2.1271581645774789</v>
      </c>
      <c r="N199" s="94">
        <f t="shared" si="24"/>
        <v>1.7054045687098773</v>
      </c>
      <c r="O199" s="56">
        <f t="shared" si="25"/>
        <v>131.88837915171533</v>
      </c>
      <c r="P199" s="57">
        <f t="shared" si="26"/>
        <v>134.01646696464437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0.19276410708386829</v>
      </c>
      <c r="K200" s="51">
        <f t="shared" si="29"/>
        <v>2.1256063182990008</v>
      </c>
      <c r="L200" s="55">
        <f t="shared" si="30"/>
        <v>7.4339350555194866E-3</v>
      </c>
      <c r="M200" s="51">
        <f t="shared" si="28"/>
        <v>2.1330402533545203</v>
      </c>
      <c r="N200" s="94">
        <f t="shared" si="24"/>
        <v>1.5587056408251048</v>
      </c>
      <c r="O200" s="56">
        <f t="shared" si="25"/>
        <v>133.53844609213243</v>
      </c>
      <c r="P200" s="57">
        <f t="shared" si="26"/>
        <v>135.84393501133886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0.14983676143675773</v>
      </c>
      <c r="K201" s="51">
        <f t="shared" si="29"/>
        <v>2.1315402369982408</v>
      </c>
      <c r="L201" s="55">
        <f t="shared" si="30"/>
        <v>7.9880238006986223E-3</v>
      </c>
      <c r="M201" s="51">
        <f t="shared" si="28"/>
        <v>2.1395282607989392</v>
      </c>
      <c r="N201" s="94">
        <f t="shared" si="24"/>
        <v>1.4120067129403324</v>
      </c>
      <c r="O201" s="56">
        <f t="shared" si="25"/>
        <v>135.37555091076521</v>
      </c>
      <c r="P201" s="57">
        <f t="shared" si="26"/>
        <v>137.88856781315476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0.1021961801303703</v>
      </c>
      <c r="K202" s="51">
        <f t="shared" si="29"/>
        <v>2.1381256741361567</v>
      </c>
      <c r="L202" s="55">
        <f t="shared" si="30"/>
        <v>8.6267313364037992E-3</v>
      </c>
      <c r="M202" s="51">
        <f t="shared" si="28"/>
        <v>2.1467524054725606</v>
      </c>
      <c r="N202" s="94">
        <f t="shared" si="24"/>
        <v>1.2653077850555601</v>
      </c>
      <c r="O202" s="56">
        <f t="shared" si="25"/>
        <v>137.44396464837254</v>
      </c>
      <c r="P202" s="57">
        <f t="shared" si="26"/>
        <v>140.20141779225003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4.8678253759590673E-2</v>
      </c>
      <c r="K203" s="51">
        <f t="shared" si="29"/>
        <v>2.1455235465004714</v>
      </c>
      <c r="L203" s="55">
        <f t="shared" si="30"/>
        <v>9.3679108940555398E-3</v>
      </c>
      <c r="M203" s="51">
        <f t="shared" si="28"/>
        <v>2.1548914573945268</v>
      </c>
      <c r="N203" s="94">
        <f t="shared" si="24"/>
        <v>1.1186088571707895</v>
      </c>
      <c r="O203" s="56">
        <f t="shared" si="25"/>
        <v>139.80527126396703</v>
      </c>
      <c r="P203" s="57">
        <f t="shared" si="26"/>
        <v>142.8536881689196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-1.2373980985844843E-2</v>
      </c>
      <c r="K204" s="51">
        <f t="shared" si="29"/>
        <v>2.1539628988975306</v>
      </c>
      <c r="L204" s="55">
        <f t="shared" si="30"/>
        <v>1.023729942155985E-2</v>
      </c>
      <c r="M204" s="51">
        <f t="shared" si="28"/>
        <v>2.1642001983190906</v>
      </c>
      <c r="N204" s="97">
        <f t="shared" si="24"/>
        <v>0.97190992928601894</v>
      </c>
      <c r="O204" s="91">
        <f t="shared" si="25"/>
        <v>142.54858113635109</v>
      </c>
      <c r="P204" s="92">
        <f t="shared" si="26"/>
        <v>145.94868902521674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9" zoomScaleNormal="100" workbookViewId="0">
      <selection activeCell="I38" sqref="I38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G20 120L'!O7</f>
        <v>64940334.711308509</v>
      </c>
      <c r="B2" s="48">
        <f>'New Vestas G20 120L'!T7</f>
        <v>138.47528590532582</v>
      </c>
      <c r="C2" s="50">
        <f t="shared" ref="C2:D32" si="0">IF(ISNA(A2),"",LOG10(A2))</f>
        <v>7.8125145227085184</v>
      </c>
      <c r="D2" s="50">
        <f t="shared" si="0"/>
        <v>2.1413722704930462</v>
      </c>
      <c r="E2" s="51">
        <f>IF(C2="","",C2^2)</f>
        <v>61.035383167531506</v>
      </c>
      <c r="F2" s="51">
        <f>IF(D2="","",D2^2)</f>
        <v>4.5854752008365436</v>
      </c>
      <c r="G2" s="52">
        <f>IF(OR(C2="",D2=""),"",C2*D2)</f>
        <v>16.729501961752238</v>
      </c>
      <c r="H2" s="53" t="s">
        <v>57</v>
      </c>
      <c r="I2" s="54">
        <f>COUNT(C:C)</f>
        <v>31</v>
      </c>
      <c r="J2" s="51">
        <f t="shared" ref="J2:J65" si="1">LOG($I$24+($I$25-$I$24)*(ROW()-2)/100)</f>
        <v>8.8430840486860465</v>
      </c>
      <c r="K2" s="51">
        <f t="shared" ref="K2:K65" si="2">+$I$14+$I$13*J2</f>
        <v>1.9871641628470387</v>
      </c>
      <c r="L2" s="55">
        <f t="shared" ref="L2:L65" si="3">SQRT(2*$I$20*$I$17)*SQRT((1/$I$2)+((J2-$I$11)^2/$I$8))</f>
        <v>1.1380562868244867E-2</v>
      </c>
      <c r="M2" s="51">
        <f t="shared" ref="M2:M65" si="4">+$I$14+$I$13*J2-L2</f>
        <v>1.9757835999787938</v>
      </c>
      <c r="N2" s="94">
        <f>10^$J2</f>
        <v>696761344.76509118</v>
      </c>
      <c r="O2" s="56">
        <f>10^K2</f>
        <v>97.08768883127577</v>
      </c>
      <c r="P2" s="57">
        <f t="shared" ref="P2:P65" si="5">10^M2</f>
        <v>94.576578826872193</v>
      </c>
      <c r="R2" s="47"/>
      <c r="S2" s="47"/>
      <c r="T2" s="47"/>
    </row>
    <row r="3" spans="1:20" ht="12.75" customHeight="1" x14ac:dyDescent="0.35">
      <c r="A3" s="49">
        <f>'New Vestas G20 120L'!O8</f>
        <v>108233891.18551418</v>
      </c>
      <c r="B3" s="48">
        <f>'New Vestas G20 120L'!T8</f>
        <v>128.9393080514532</v>
      </c>
      <c r="C3" s="50">
        <f t="shared" si="0"/>
        <v>8.0343632723248746</v>
      </c>
      <c r="D3" s="50">
        <f t="shared" si="0"/>
        <v>2.1103853352543176</v>
      </c>
      <c r="E3" s="51">
        <f t="shared" ref="E3:F32" si="6">IF(C3="","",C3^2)</f>
        <v>64.550993191682863</v>
      </c>
      <c r="F3" s="51">
        <f t="shared" si="6"/>
        <v>4.4537262632564785</v>
      </c>
      <c r="G3" s="52">
        <f t="shared" ref="G3:G32" si="7">IF(OR(C3="",D3=""),"",C3*D3)</f>
        <v>16.955602428020306</v>
      </c>
      <c r="H3" s="53" t="s">
        <v>58</v>
      </c>
      <c r="I3" s="58">
        <f>SUM(C:C)</f>
        <v>254.21866583503902</v>
      </c>
      <c r="J3" s="51">
        <f t="shared" si="1"/>
        <v>8.8389917342311222</v>
      </c>
      <c r="K3" s="51">
        <f t="shared" si="2"/>
        <v>1.9877298503103824</v>
      </c>
      <c r="L3" s="55">
        <f t="shared" si="3"/>
        <v>1.1320163844992936E-2</v>
      </c>
      <c r="M3" s="51">
        <f t="shared" si="4"/>
        <v>1.9764096864653895</v>
      </c>
      <c r="N3" s="94">
        <f t="shared" ref="N3:N66" si="8">10^$J3</f>
        <v>690226666.88218105</v>
      </c>
      <c r="O3" s="56">
        <f t="shared" ref="O3:O66" si="9">10^K3</f>
        <v>97.214232167482535</v>
      </c>
      <c r="P3" s="57">
        <f t="shared" si="5"/>
        <v>94.713020394217423</v>
      </c>
      <c r="R3" s="47"/>
      <c r="S3" s="47"/>
      <c r="T3" s="47"/>
    </row>
    <row r="4" spans="1:20" ht="12.75" customHeight="1" x14ac:dyDescent="0.35">
      <c r="A4" s="49">
        <f>'New Vestas G20 120L'!O9</f>
        <v>129880669.42261702</v>
      </c>
      <c r="B4" s="48">
        <f>'New Vestas G20 120L'!T9</f>
        <v>119.78359925310309</v>
      </c>
      <c r="C4" s="50">
        <f t="shared" si="0"/>
        <v>8.1135445183724997</v>
      </c>
      <c r="D4" s="50">
        <f t="shared" si="0"/>
        <v>2.0783973586085747</v>
      </c>
      <c r="E4" s="51">
        <f t="shared" si="6"/>
        <v>65.829604651612442</v>
      </c>
      <c r="F4" s="51">
        <f t="shared" si="6"/>
        <v>4.3197355802711002</v>
      </c>
      <c r="G4" s="52">
        <f t="shared" si="7"/>
        <v>16.863169495938482</v>
      </c>
      <c r="H4" s="59" t="s">
        <v>59</v>
      </c>
      <c r="I4" s="58">
        <f>SUM(D:D)</f>
        <v>64.35524089081234</v>
      </c>
      <c r="J4" s="51">
        <f t="shared" si="1"/>
        <v>8.8348604911859905</v>
      </c>
      <c r="K4" s="51">
        <f t="shared" si="2"/>
        <v>1.9883009189377812</v>
      </c>
      <c r="L4" s="55">
        <f t="shared" si="3"/>
        <v>1.1259256263197218E-2</v>
      </c>
      <c r="M4" s="51">
        <f t="shared" si="4"/>
        <v>1.9770416626745839</v>
      </c>
      <c r="N4" s="94">
        <f t="shared" si="8"/>
        <v>683691988.99927187</v>
      </c>
      <c r="O4" s="56">
        <f t="shared" si="9"/>
        <v>97.342146558260396</v>
      </c>
      <c r="P4" s="57">
        <f t="shared" si="5"/>
        <v>94.850945120616018</v>
      </c>
      <c r="R4" s="47"/>
      <c r="S4" s="47"/>
      <c r="T4" s="47"/>
    </row>
    <row r="5" spans="1:20" ht="12.75" customHeight="1" x14ac:dyDescent="0.35">
      <c r="A5" s="49">
        <f>'New Vestas G20 120L'!O10</f>
        <v>43293556.47420568</v>
      </c>
      <c r="B5" s="48">
        <f>'New Vestas G20 120L'!T10</f>
        <v>144.23390887684323</v>
      </c>
      <c r="C5" s="50">
        <f t="shared" si="0"/>
        <v>7.6364232636528371</v>
      </c>
      <c r="D5" s="50">
        <f t="shared" si="0"/>
        <v>2.1590673734686971</v>
      </c>
      <c r="E5" s="51">
        <f t="shared" si="6"/>
        <v>58.31496026165825</v>
      </c>
      <c r="F5" s="51">
        <f t="shared" si="6"/>
        <v>4.6615719231770187</v>
      </c>
      <c r="G5" s="52">
        <f t="shared" si="7"/>
        <v>16.487552318550186</v>
      </c>
      <c r="H5" s="59" t="s">
        <v>60</v>
      </c>
      <c r="I5" s="58">
        <f>SUM(E:E)</f>
        <v>2087.2993515907715</v>
      </c>
      <c r="J5" s="51">
        <f t="shared" si="1"/>
        <v>8.830689571806996</v>
      </c>
      <c r="K5" s="51">
        <f t="shared" si="2"/>
        <v>1.9888774720910891</v>
      </c>
      <c r="L5" s="55">
        <f t="shared" si="3"/>
        <v>1.1197832088933908E-2</v>
      </c>
      <c r="M5" s="51">
        <f t="shared" si="4"/>
        <v>1.9776796400021552</v>
      </c>
      <c r="N5" s="94">
        <f t="shared" si="8"/>
        <v>677157311.11636221</v>
      </c>
      <c r="O5" s="56">
        <f t="shared" si="9"/>
        <v>97.471460177768549</v>
      </c>
      <c r="P5" s="57">
        <f t="shared" si="5"/>
        <v>94.990383274471142</v>
      </c>
      <c r="R5" s="47"/>
      <c r="S5" s="47"/>
      <c r="T5" s="47"/>
    </row>
    <row r="6" spans="1:20" ht="12.75" customHeight="1" x14ac:dyDescent="0.35">
      <c r="A6" s="49">
        <f>'New Vestas G20 120L'!O11</f>
        <v>64940334.711308509</v>
      </c>
      <c r="B6" s="48">
        <f>'New Vestas G20 120L'!T11</f>
        <v>140.89783799974145</v>
      </c>
      <c r="C6" s="50">
        <f t="shared" si="0"/>
        <v>7.8125145227085184</v>
      </c>
      <c r="D6" s="50">
        <f t="shared" si="0"/>
        <v>2.1489043291492007</v>
      </c>
      <c r="E6" s="51">
        <f t="shared" si="6"/>
        <v>61.035383167531506</v>
      </c>
      <c r="F6" s="51">
        <f t="shared" si="6"/>
        <v>4.6177898158361765</v>
      </c>
      <c r="G6" s="52">
        <f t="shared" si="7"/>
        <v>16.788346279389337</v>
      </c>
      <c r="H6" s="59" t="s">
        <v>61</v>
      </c>
      <c r="I6" s="58">
        <f>SUM(F:F)</f>
        <v>133.65160125971101</v>
      </c>
      <c r="J6" s="51">
        <f t="shared" si="1"/>
        <v>8.8264782065973115</v>
      </c>
      <c r="K6" s="51">
        <f t="shared" si="2"/>
        <v>1.9894596161391387</v>
      </c>
      <c r="L6" s="55">
        <f t="shared" si="3"/>
        <v>1.1135883122648835E-2</v>
      </c>
      <c r="M6" s="51">
        <f t="shared" si="4"/>
        <v>1.9783237330164898</v>
      </c>
      <c r="N6" s="94">
        <f t="shared" si="8"/>
        <v>670622633.2334553</v>
      </c>
      <c r="O6" s="56">
        <f t="shared" si="9"/>
        <v>97.602202058140335</v>
      </c>
      <c r="P6" s="57">
        <f t="shared" si="5"/>
        <v>95.131366033013165</v>
      </c>
      <c r="R6" s="47"/>
      <c r="S6" s="47"/>
      <c r="T6" s="47"/>
    </row>
    <row r="7" spans="1:20" ht="12.75" customHeight="1" x14ac:dyDescent="0.35">
      <c r="A7" s="49">
        <f>'New Vestas G20 120L'!O12</f>
        <v>86587112.94841136</v>
      </c>
      <c r="B7" s="48">
        <f>'New Vestas G20 120L'!T12</f>
        <v>129.45570016687481</v>
      </c>
      <c r="C7" s="50">
        <f t="shared" si="0"/>
        <v>7.9374532593168183</v>
      </c>
      <c r="D7" s="50">
        <f t="shared" si="0"/>
        <v>2.1121211779575835</v>
      </c>
      <c r="E7" s="51">
        <f t="shared" si="6"/>
        <v>63.00316424383918</v>
      </c>
      <c r="F7" s="51">
        <f t="shared" si="6"/>
        <v>4.4610558703769296</v>
      </c>
      <c r="G7" s="52">
        <f t="shared" si="7"/>
        <v>16.764863128051498</v>
      </c>
      <c r="H7" s="59" t="s">
        <v>62</v>
      </c>
      <c r="I7" s="58">
        <f>SUM(G:G)</f>
        <v>527.39878916453608</v>
      </c>
      <c r="J7" s="51">
        <f t="shared" si="1"/>
        <v>8.8222256034548785</v>
      </c>
      <c r="K7" s="51">
        <f t="shared" si="2"/>
        <v>1.9900474605755201</v>
      </c>
      <c r="L7" s="55">
        <f t="shared" si="3"/>
        <v>1.1073400996195951E-2</v>
      </c>
      <c r="M7" s="51">
        <f t="shared" si="4"/>
        <v>1.9789740595793242</v>
      </c>
      <c r="N7" s="94">
        <f t="shared" si="8"/>
        <v>664087955.35054648</v>
      </c>
      <c r="O7" s="56">
        <f t="shared" si="9"/>
        <v>97.734402124274581</v>
      </c>
      <c r="P7" s="57">
        <f t="shared" si="5"/>
        <v>95.273925518364621</v>
      </c>
      <c r="R7" s="47"/>
      <c r="S7" s="47"/>
      <c r="T7" s="47"/>
    </row>
    <row r="8" spans="1:20" ht="12.75" customHeight="1" x14ac:dyDescent="0.35">
      <c r="A8" s="49">
        <f>'New Vestas G20 120L'!O13</f>
        <v>129880669.42261702</v>
      </c>
      <c r="B8" s="48">
        <f>'New Vestas G20 120L'!T13</f>
        <v>124.10042849573773</v>
      </c>
      <c r="C8" s="50">
        <f t="shared" si="0"/>
        <v>8.1135445183724997</v>
      </c>
      <c r="D8" s="50">
        <f t="shared" si="0"/>
        <v>2.0937732810395286</v>
      </c>
      <c r="E8" s="51">
        <f t="shared" si="6"/>
        <v>65.829604651612442</v>
      </c>
      <c r="F8" s="51">
        <f t="shared" si="6"/>
        <v>4.3838865523950332</v>
      </c>
      <c r="G8" s="52">
        <f t="shared" si="7"/>
        <v>16.987922727093071</v>
      </c>
      <c r="H8" s="53" t="s">
        <v>63</v>
      </c>
      <c r="I8" s="58">
        <f>+I5-I3^2/$I$2</f>
        <v>2.5532206569896516</v>
      </c>
      <c r="J8" s="51">
        <f t="shared" si="1"/>
        <v>8.8179309467782367</v>
      </c>
      <c r="K8" s="51">
        <f t="shared" si="2"/>
        <v>1.9906411181421859</v>
      </c>
      <c r="L8" s="55">
        <f t="shared" si="3"/>
        <v>1.1010377169955655E-2</v>
      </c>
      <c r="M8" s="51">
        <f t="shared" si="4"/>
        <v>1.9796307409722302</v>
      </c>
      <c r="N8" s="94">
        <f t="shared" si="8"/>
        <v>657553277.46763873</v>
      </c>
      <c r="O8" s="56">
        <f t="shared" si="9"/>
        <v>97.868091230394995</v>
      </c>
      <c r="P8" s="57">
        <f t="shared" si="5"/>
        <v>95.418094835384863</v>
      </c>
      <c r="R8" s="47"/>
      <c r="S8" s="47"/>
      <c r="T8" s="47"/>
    </row>
    <row r="9" spans="1:20" ht="12.75" customHeight="1" x14ac:dyDescent="0.35">
      <c r="A9" s="49">
        <f>'New Vestas G20 120L'!O14</f>
        <v>43293556.47420568</v>
      </c>
      <c r="B9" s="48">
        <f>'New Vestas G20 120L'!T14</f>
        <v>142.5189443282251</v>
      </c>
      <c r="C9" s="50">
        <f t="shared" si="0"/>
        <v>7.6364232636528371</v>
      </c>
      <c r="D9" s="50">
        <f t="shared" si="0"/>
        <v>2.1538725967681969</v>
      </c>
      <c r="E9" s="51">
        <f t="shared" si="6"/>
        <v>58.31496026165825</v>
      </c>
      <c r="F9" s="51">
        <f t="shared" si="6"/>
        <v>4.6391671631089757</v>
      </c>
      <c r="G9" s="52">
        <f t="shared" si="7"/>
        <v>16.447882804905007</v>
      </c>
      <c r="H9" s="59" t="s">
        <v>64</v>
      </c>
      <c r="I9" s="58">
        <f>+I6-I4^2/$I$2</f>
        <v>5.169706246957162E-2</v>
      </c>
      <c r="J9" s="51">
        <f t="shared" si="1"/>
        <v>8.813593396527672</v>
      </c>
      <c r="K9" s="51">
        <f t="shared" si="2"/>
        <v>1.9912407049592293</v>
      </c>
      <c r="L9" s="55">
        <f t="shared" si="3"/>
        <v>1.094680293005431E-2</v>
      </c>
      <c r="M9" s="51">
        <f t="shared" si="4"/>
        <v>1.980293902029175</v>
      </c>
      <c r="N9" s="94">
        <f t="shared" si="8"/>
        <v>651018599.58472729</v>
      </c>
      <c r="O9" s="56">
        <f t="shared" si="9"/>
        <v>98.003301198487833</v>
      </c>
      <c r="P9" s="57">
        <f t="shared" si="5"/>
        <v>95.563908111398888</v>
      </c>
      <c r="R9" s="47"/>
      <c r="S9" s="47"/>
      <c r="T9" s="47"/>
    </row>
    <row r="10" spans="1:20" ht="12.75" customHeight="1" x14ac:dyDescent="0.35">
      <c r="A10" s="49">
        <f>'New Vestas G20 120L'!O15</f>
        <v>64940334.711308509</v>
      </c>
      <c r="B10" s="48">
        <f>'New Vestas G20 120L'!T15</f>
        <v>133.45670982827062</v>
      </c>
      <c r="C10" s="50">
        <f t="shared" si="0"/>
        <v>7.8125145227085184</v>
      </c>
      <c r="D10" s="50">
        <f t="shared" si="0"/>
        <v>2.1253404137783507</v>
      </c>
      <c r="E10" s="51">
        <f t="shared" si="6"/>
        <v>61.035383167531506</v>
      </c>
      <c r="F10" s="51">
        <f t="shared" si="6"/>
        <v>4.5170718744395311</v>
      </c>
      <c r="G10" s="52">
        <f t="shared" si="7"/>
        <v>16.604252848342696</v>
      </c>
      <c r="H10" s="59" t="s">
        <v>65</v>
      </c>
      <c r="I10" s="58">
        <f>+I7-I3*I4/$I$2</f>
        <v>-0.35293595658845334</v>
      </c>
      <c r="J10" s="51">
        <f t="shared" si="1"/>
        <v>8.8092120872390272</v>
      </c>
      <c r="K10" s="51">
        <f t="shared" si="2"/>
        <v>1.9918463406612061</v>
      </c>
      <c r="L10" s="55">
        <f t="shared" si="3"/>
        <v>1.0882669385710678E-2</v>
      </c>
      <c r="M10" s="51">
        <f t="shared" si="4"/>
        <v>1.9809636712754954</v>
      </c>
      <c r="N10" s="94">
        <f t="shared" si="8"/>
        <v>644483921.70181775</v>
      </c>
      <c r="O10" s="56">
        <f t="shared" si="9"/>
        <v>98.14006485873324</v>
      </c>
      <c r="P10" s="57">
        <f t="shared" si="5"/>
        <v>95.711400537921435</v>
      </c>
      <c r="R10" s="47"/>
      <c r="S10" s="47"/>
      <c r="T10" s="47"/>
    </row>
    <row r="11" spans="1:20" ht="12.75" customHeight="1" x14ac:dyDescent="0.35">
      <c r="A11" s="49">
        <f>'New Vestas G20 120L'!O16</f>
        <v>86587112.94841136</v>
      </c>
      <c r="B11" s="48">
        <f>'New Vestas G20 120L'!T16</f>
        <v>124.71603849452865</v>
      </c>
      <c r="C11" s="50">
        <f t="shared" si="0"/>
        <v>7.9374532593168183</v>
      </c>
      <c r="D11" s="50">
        <f t="shared" si="0"/>
        <v>2.0959223073821125</v>
      </c>
      <c r="E11" s="51">
        <f t="shared" si="6"/>
        <v>63.00316424383918</v>
      </c>
      <c r="F11" s="51">
        <f t="shared" si="6"/>
        <v>4.3928903185819586</v>
      </c>
      <c r="G11" s="52">
        <f t="shared" si="7"/>
        <v>16.636285350004975</v>
      </c>
      <c r="H11" s="59" t="s">
        <v>66</v>
      </c>
      <c r="I11" s="58">
        <f>+I3/$I$2</f>
        <v>8.2006021237109366</v>
      </c>
      <c r="J11" s="51">
        <f t="shared" si="1"/>
        <v>8.8047861269872456</v>
      </c>
      <c r="K11" s="51">
        <f t="shared" si="2"/>
        <v>1.9924581485404071</v>
      </c>
      <c r="L11" s="55">
        <f t="shared" si="3"/>
        <v>1.0817967466737357E-2</v>
      </c>
      <c r="M11" s="51">
        <f t="shared" si="4"/>
        <v>1.9816401810736697</v>
      </c>
      <c r="N11" s="94">
        <f t="shared" si="8"/>
        <v>637949243.81891096</v>
      </c>
      <c r="O11" s="56">
        <f t="shared" si="9"/>
        <v>98.278416092055465</v>
      </c>
      <c r="P11" s="57">
        <f t="shared" si="5"/>
        <v>95.860608414496426</v>
      </c>
      <c r="R11" s="47"/>
      <c r="S11" s="47"/>
      <c r="T11" s="47"/>
    </row>
    <row r="12" spans="1:20" ht="12.75" customHeight="1" x14ac:dyDescent="0.35">
      <c r="A12" s="49">
        <f>'New Vestas G20 120L'!O17</f>
        <v>129880669.42261702</v>
      </c>
      <c r="B12" s="48">
        <f>'New Vestas G20 120L'!T17</f>
        <v>123.89751408438963</v>
      </c>
      <c r="C12" s="50">
        <f t="shared" si="0"/>
        <v>8.1135445183724997</v>
      </c>
      <c r="D12" s="50">
        <f t="shared" si="0"/>
        <v>2.0930625926531992</v>
      </c>
      <c r="E12" s="51">
        <f t="shared" si="6"/>
        <v>65.829604651612442</v>
      </c>
      <c r="F12" s="51">
        <f t="shared" si="6"/>
        <v>4.3809110167641316</v>
      </c>
      <c r="G12" s="52">
        <f t="shared" si="7"/>
        <v>16.982156525231897</v>
      </c>
      <c r="H12" s="59" t="s">
        <v>67</v>
      </c>
      <c r="I12" s="58">
        <f>+I4/$I$2</f>
        <v>2.0759755126068495</v>
      </c>
      <c r="J12" s="51">
        <f t="shared" si="1"/>
        <v>8.8003145962965572</v>
      </c>
      <c r="K12" s="51">
        <f t="shared" si="2"/>
        <v>1.9930762556975039</v>
      </c>
      <c r="L12" s="55">
        <f t="shared" si="3"/>
        <v>1.0752687921229877E-2</v>
      </c>
      <c r="M12" s="51">
        <f t="shared" si="4"/>
        <v>1.9823235677762741</v>
      </c>
      <c r="N12" s="94">
        <f t="shared" si="8"/>
        <v>631414565.93600023</v>
      </c>
      <c r="O12" s="56">
        <f t="shared" si="9"/>
        <v>98.418389874925751</v>
      </c>
      <c r="P12" s="57">
        <f t="shared" si="5"/>
        <v>96.011569194780094</v>
      </c>
      <c r="R12" s="47"/>
      <c r="S12" s="47"/>
      <c r="T12" s="47"/>
    </row>
    <row r="13" spans="1:20" ht="12.75" customHeight="1" x14ac:dyDescent="0.35">
      <c r="A13" s="49">
        <f>'New Vestas G20 120L'!O18</f>
        <v>162650226.41860005</v>
      </c>
      <c r="B13" s="48">
        <f>'New Vestas G20 120L'!T18</f>
        <v>125.0881979570498</v>
      </c>
      <c r="C13" s="50">
        <f t="shared" si="0"/>
        <v>8.2112546721815374</v>
      </c>
      <c r="D13" s="50">
        <f t="shared" si="0"/>
        <v>2.0972163360409928</v>
      </c>
      <c r="E13" s="51">
        <f t="shared" si="6"/>
        <v>67.424703291423128</v>
      </c>
      <c r="F13" s="51">
        <f t="shared" si="6"/>
        <v>4.3983163601572066</v>
      </c>
      <c r="G13" s="52">
        <f t="shared" si="7"/>
        <v>17.220777437892046</v>
      </c>
      <c r="H13" s="59" t="s">
        <v>68</v>
      </c>
      <c r="I13" s="60">
        <f>+I10/I8</f>
        <v>-0.13823167050691923</v>
      </c>
      <c r="J13" s="51">
        <f t="shared" si="1"/>
        <v>8.7957965469939836</v>
      </c>
      <c r="K13" s="51">
        <f t="shared" si="2"/>
        <v>1.9937007932000312</v>
      </c>
      <c r="L13" s="55">
        <f t="shared" si="3"/>
        <v>1.068682131348048E-2</v>
      </c>
      <c r="M13" s="51">
        <f t="shared" si="4"/>
        <v>1.9830139718865507</v>
      </c>
      <c r="N13" s="94">
        <f t="shared" si="8"/>
        <v>624879888.05309212</v>
      </c>
      <c r="O13" s="56">
        <f t="shared" si="9"/>
        <v>98.560022326561537</v>
      </c>
      <c r="P13" s="57">
        <f t="shared" si="5"/>
        <v>96.164321535003722</v>
      </c>
      <c r="R13" s="47"/>
      <c r="S13" s="47"/>
      <c r="T13" s="47"/>
    </row>
    <row r="14" spans="1:20" ht="12.75" customHeight="1" x14ac:dyDescent="0.35">
      <c r="A14" s="49">
        <f>'New Vestas G20 120L'!O19</f>
        <v>189758597.48836675</v>
      </c>
      <c r="B14" s="48">
        <f>'New Vestas G20 120L'!T19</f>
        <v>116.38083086759765</v>
      </c>
      <c r="C14" s="50">
        <f t="shared" si="0"/>
        <v>8.2782014618121504</v>
      </c>
      <c r="D14" s="50">
        <f t="shared" si="0"/>
        <v>2.0658814533894834</v>
      </c>
      <c r="E14" s="51">
        <f t="shared" si="6"/>
        <v>68.528619442348827</v>
      </c>
      <c r="F14" s="51">
        <f t="shared" si="6"/>
        <v>4.2678661794586441</v>
      </c>
      <c r="G14" s="52">
        <f t="shared" si="7"/>
        <v>17.101782867379431</v>
      </c>
      <c r="H14" s="59" t="s">
        <v>69</v>
      </c>
      <c r="I14" s="60">
        <f>+I12-I13*I11</f>
        <v>3.2095584433300015</v>
      </c>
      <c r="J14" s="51">
        <f t="shared" si="1"/>
        <v>8.7912310010025649</v>
      </c>
      <c r="K14" s="51">
        <f t="shared" si="2"/>
        <v>1.9943318962492012</v>
      </c>
      <c r="L14" s="55">
        <f t="shared" si="3"/>
        <v>1.0620358022158266E-2</v>
      </c>
      <c r="M14" s="51">
        <f t="shared" si="4"/>
        <v>1.9837115382270429</v>
      </c>
      <c r="N14" s="94">
        <f t="shared" si="8"/>
        <v>618345210.17018378</v>
      </c>
      <c r="O14" s="56">
        <f t="shared" si="9"/>
        <v>98.7033507586778</v>
      </c>
      <c r="P14" s="57">
        <f t="shared" si="5"/>
        <v>96.318905344963156</v>
      </c>
      <c r="R14" s="47"/>
      <c r="S14" s="47"/>
      <c r="T14" s="47"/>
    </row>
    <row r="15" spans="1:20" ht="12.75" customHeight="1" thickBot="1" x14ac:dyDescent="0.4">
      <c r="A15" s="49">
        <f>'New Vestas G20 120L'!O20</f>
        <v>216866968.55813342</v>
      </c>
      <c r="B15" s="48">
        <f>'New Vestas G20 120L'!T20</f>
        <v>113.91740208566142</v>
      </c>
      <c r="C15" s="50">
        <f t="shared" si="0"/>
        <v>8.3361934087898373</v>
      </c>
      <c r="D15" s="50">
        <f t="shared" si="0"/>
        <v>2.0565900722133681</v>
      </c>
      <c r="E15" s="51">
        <f t="shared" si="6"/>
        <v>69.492120548751132</v>
      </c>
      <c r="F15" s="51">
        <f t="shared" si="6"/>
        <v>4.2295627251265868</v>
      </c>
      <c r="G15" s="52">
        <f t="shared" si="7"/>
        <v>17.144132604567695</v>
      </c>
      <c r="H15" s="61" t="s">
        <v>70</v>
      </c>
      <c r="I15" s="62">
        <f>+I10^2/(I8*I9)</f>
        <v>0.94370791164188339</v>
      </c>
      <c r="J15" s="51">
        <f t="shared" si="1"/>
        <v>8.7866169490704866</v>
      </c>
      <c r="K15" s="51">
        <f t="shared" si="2"/>
        <v>1.9949697043555781</v>
      </c>
      <c r="L15" s="55">
        <f t="shared" si="3"/>
        <v>1.0553288238803655E-2</v>
      </c>
      <c r="M15" s="51">
        <f t="shared" si="4"/>
        <v>1.9844164161167743</v>
      </c>
      <c r="N15" s="94">
        <f t="shared" si="8"/>
        <v>611810532.28727734</v>
      </c>
      <c r="O15" s="56">
        <f t="shared" si="9"/>
        <v>98.848413727956157</v>
      </c>
      <c r="P15" s="57">
        <f t="shared" si="5"/>
        <v>96.475361841692106</v>
      </c>
      <c r="R15" s="47"/>
      <c r="S15" s="47"/>
      <c r="T15" s="47"/>
    </row>
    <row r="16" spans="1:20" ht="12.75" customHeight="1" x14ac:dyDescent="0.35">
      <c r="A16" s="49">
        <f>'New Vestas G20 120L'!O21</f>
        <v>243975339.62790009</v>
      </c>
      <c r="B16" s="48">
        <f>'New Vestas G20 120L'!T21</f>
        <v>111.6490963684362</v>
      </c>
      <c r="C16" s="50">
        <f t="shared" si="0"/>
        <v>8.3873459312372187</v>
      </c>
      <c r="D16" s="50">
        <f t="shared" si="0"/>
        <v>2.0478552124608385</v>
      </c>
      <c r="E16" s="51">
        <f t="shared" si="6"/>
        <v>70.34757177024153</v>
      </c>
      <c r="F16" s="51">
        <f t="shared" si="6"/>
        <v>4.1937109712030258</v>
      </c>
      <c r="G16" s="52">
        <f t="shared" si="7"/>
        <v>17.176070083996343</v>
      </c>
      <c r="H16" s="63" t="s">
        <v>71</v>
      </c>
      <c r="I16" s="64"/>
      <c r="J16" s="51">
        <f t="shared" si="1"/>
        <v>8.7819533494319586</v>
      </c>
      <c r="K16" s="51">
        <f t="shared" si="2"/>
        <v>1.9956143615241873</v>
      </c>
      <c r="L16" s="55">
        <f t="shared" si="3"/>
        <v>1.0485601966691056E-2</v>
      </c>
      <c r="M16" s="51">
        <f t="shared" si="4"/>
        <v>1.9851287595574962</v>
      </c>
      <c r="N16" s="94">
        <f t="shared" si="8"/>
        <v>605275854.40436625</v>
      </c>
      <c r="O16" s="56">
        <f t="shared" si="9"/>
        <v>98.995251091410921</v>
      </c>
      <c r="P16" s="57">
        <f t="shared" si="5"/>
        <v>96.633733605987373</v>
      </c>
      <c r="R16" s="47"/>
      <c r="S16" s="47"/>
      <c r="T16" s="47"/>
    </row>
    <row r="17" spans="1:20" ht="12.75" customHeight="1" x14ac:dyDescent="0.35">
      <c r="A17" s="49">
        <f>'New Vestas G20 120L'!O22</f>
        <v>298192081.76743346</v>
      </c>
      <c r="B17" s="48">
        <f>'New Vestas G20 120L'!T22</f>
        <v>107.64907339062384</v>
      </c>
      <c r="C17" s="50">
        <f t="shared" si="0"/>
        <v>8.4744961069561189</v>
      </c>
      <c r="D17" s="50">
        <f t="shared" si="0"/>
        <v>2.032010295905248</v>
      </c>
      <c r="E17" s="51">
        <f t="shared" si="6"/>
        <v>71.817084266814419</v>
      </c>
      <c r="F17" s="51">
        <f t="shared" si="6"/>
        <v>4.1290658426649332</v>
      </c>
      <c r="G17" s="52">
        <f t="shared" si="7"/>
        <v>17.220263341943774</v>
      </c>
      <c r="H17" s="53" t="s">
        <v>72</v>
      </c>
      <c r="I17" s="65">
        <f>(+I9-(+I10^2/I8))/($I$2-2)</f>
        <v>1.003495037376618E-4</v>
      </c>
      <c r="J17" s="51">
        <f t="shared" si="1"/>
        <v>8.7772391263954326</v>
      </c>
      <c r="K17" s="51">
        <f t="shared" si="2"/>
        <v>1.9962660164496684</v>
      </c>
      <c r="L17" s="55">
        <f t="shared" si="3"/>
        <v>1.0417289020121699E-2</v>
      </c>
      <c r="M17" s="51">
        <f t="shared" si="4"/>
        <v>1.9858487274295467</v>
      </c>
      <c r="N17" s="94">
        <f t="shared" si="8"/>
        <v>598741176.52145731</v>
      </c>
      <c r="O17" s="56">
        <f t="shared" si="9"/>
        <v>99.143904064845955</v>
      </c>
      <c r="P17" s="57">
        <f t="shared" si="5"/>
        <v>96.794064641965164</v>
      </c>
      <c r="R17" s="47"/>
      <c r="S17" s="47"/>
      <c r="T17" s="47"/>
    </row>
    <row r="18" spans="1:20" ht="12.75" customHeight="1" x14ac:dyDescent="0.35">
      <c r="A18" s="49">
        <f>'New Vestas G20 120L'!O23</f>
        <v>325300452.83720011</v>
      </c>
      <c r="B18" s="48">
        <f>'New Vestas G20 120L'!T23</f>
        <v>106.60028688260051</v>
      </c>
      <c r="C18" s="50">
        <f t="shared" si="0"/>
        <v>8.5122846678455186</v>
      </c>
      <c r="D18" s="50">
        <f t="shared" si="0"/>
        <v>2.0277583734650628</v>
      </c>
      <c r="E18" s="51">
        <f t="shared" si="6"/>
        <v>72.458990266437894</v>
      </c>
      <c r="F18" s="51">
        <f t="shared" si="6"/>
        <v>4.1118040211576776</v>
      </c>
      <c r="G18" s="52">
        <f t="shared" si="7"/>
        <v>17.26085651254202</v>
      </c>
      <c r="H18" s="66" t="s">
        <v>53</v>
      </c>
      <c r="I18" s="67">
        <v>0.95</v>
      </c>
      <c r="J18" s="51">
        <f t="shared" si="1"/>
        <v>8.7724731688543205</v>
      </c>
      <c r="K18" s="51">
        <f t="shared" si="2"/>
        <v>1.9969248227221414</v>
      </c>
      <c r="L18" s="55">
        <f t="shared" si="3"/>
        <v>1.0348339024215699E-2</v>
      </c>
      <c r="M18" s="51">
        <f t="shared" si="4"/>
        <v>1.9865764836979258</v>
      </c>
      <c r="N18" s="94">
        <f t="shared" si="8"/>
        <v>592206498.63854921</v>
      </c>
      <c r="O18" s="56">
        <f t="shared" si="9"/>
        <v>99.294415284610778</v>
      </c>
      <c r="P18" s="57">
        <f t="shared" si="5"/>
        <v>96.956400439845439</v>
      </c>
      <c r="R18" s="47"/>
      <c r="S18" s="47"/>
      <c r="T18" s="47"/>
    </row>
    <row r="19" spans="1:20" ht="12.75" customHeight="1" x14ac:dyDescent="0.35">
      <c r="A19" s="49">
        <f>'New Vestas G20 120L'!O24</f>
        <v>108433484.27906671</v>
      </c>
      <c r="B19" s="48">
        <f>'New Vestas G20 120L'!T24</f>
        <v>122.60037878831164</v>
      </c>
      <c r="C19" s="50">
        <f t="shared" si="0"/>
        <v>8.035163413125856</v>
      </c>
      <c r="D19" s="50">
        <f t="shared" si="0"/>
        <v>2.0884918119884275</v>
      </c>
      <c r="E19" s="51">
        <f t="shared" si="6"/>
        <v>64.56385107563635</v>
      </c>
      <c r="F19" s="51">
        <f t="shared" si="6"/>
        <v>4.3617980487427053</v>
      </c>
      <c r="G19" s="52">
        <f t="shared" si="7"/>
        <v>16.781372996302338</v>
      </c>
      <c r="H19" s="53" t="s">
        <v>73</v>
      </c>
      <c r="I19" s="68">
        <f>_xlfn.T.INV(1-(1-I18)/2,I2-2)</f>
        <v>2.0452296421327034</v>
      </c>
      <c r="J19" s="51">
        <f t="shared" si="1"/>
        <v>8.7676543287151034</v>
      </c>
      <c r="K19" s="51">
        <f t="shared" si="2"/>
        <v>1.9975909390444913</v>
      </c>
      <c r="L19" s="55">
        <f t="shared" si="3"/>
        <v>1.027874141528331E-2</v>
      </c>
      <c r="M19" s="51">
        <f t="shared" si="4"/>
        <v>1.9873121976292079</v>
      </c>
      <c r="N19" s="94">
        <f t="shared" si="8"/>
        <v>585671820.755638</v>
      </c>
      <c r="O19" s="56">
        <f t="shared" si="9"/>
        <v>99.446828872879451</v>
      </c>
      <c r="P19" s="57">
        <f t="shared" si="5"/>
        <v>97.120788042167277</v>
      </c>
      <c r="R19" s="47"/>
      <c r="S19" s="47"/>
      <c r="T19" s="47"/>
    </row>
    <row r="20" spans="1:20" ht="12.75" customHeight="1" x14ac:dyDescent="0.35">
      <c r="A20" s="49">
        <f>'New Vestas G20 120L'!O25</f>
        <v>135541855.34883338</v>
      </c>
      <c r="B20" s="48">
        <f>'New Vestas G20 120L'!T25</f>
        <v>118.35645197110961</v>
      </c>
      <c r="C20" s="50">
        <f t="shared" si="0"/>
        <v>8.1320734261339123</v>
      </c>
      <c r="D20" s="50">
        <f t="shared" si="0"/>
        <v>2.073191937626949</v>
      </c>
      <c r="E20" s="51">
        <f t="shared" si="6"/>
        <v>66.13061820803334</v>
      </c>
      <c r="F20" s="51">
        <f t="shared" si="6"/>
        <v>4.2981248102413829</v>
      </c>
      <c r="G20" s="52">
        <f t="shared" si="7"/>
        <v>16.859349063251187</v>
      </c>
      <c r="H20" s="53" t="s">
        <v>74</v>
      </c>
      <c r="I20" s="68">
        <f>_xlfn.F.INV(I18,2,I2-2)</f>
        <v>3.3276544985720586</v>
      </c>
      <c r="J20" s="51">
        <f t="shared" si="1"/>
        <v>8.7627814192372586</v>
      </c>
      <c r="K20" s="51">
        <f t="shared" si="2"/>
        <v>1.9982645294618426</v>
      </c>
      <c r="L20" s="55">
        <f t="shared" si="3"/>
        <v>1.0208485441865355E-2</v>
      </c>
      <c r="M20" s="51">
        <f t="shared" si="4"/>
        <v>1.9880560440199773</v>
      </c>
      <c r="N20" s="94">
        <f t="shared" si="8"/>
        <v>579137142.87273002</v>
      </c>
      <c r="O20" s="56">
        <f t="shared" si="9"/>
        <v>99.601190506696895</v>
      </c>
      <c r="P20" s="57">
        <f t="shared" si="5"/>
        <v>97.287276113663125</v>
      </c>
      <c r="R20" s="47"/>
      <c r="S20" s="47"/>
      <c r="T20" s="47"/>
    </row>
    <row r="21" spans="1:20" ht="12.75" customHeight="1" x14ac:dyDescent="0.35">
      <c r="A21" s="49">
        <f>'New Vestas G20 120L'!O26</f>
        <v>162650226.41860005</v>
      </c>
      <c r="B21" s="48">
        <f>'New Vestas G20 120L'!T26</f>
        <v>117.42961737884711</v>
      </c>
      <c r="C21" s="50">
        <f t="shared" si="0"/>
        <v>8.2112546721815374</v>
      </c>
      <c r="D21" s="50">
        <f t="shared" si="0"/>
        <v>2.0697776458212562</v>
      </c>
      <c r="E21" s="51">
        <f t="shared" si="6"/>
        <v>67.424703291423128</v>
      </c>
      <c r="F21" s="51">
        <f t="shared" si="6"/>
        <v>4.2839795031413814</v>
      </c>
      <c r="G21" s="52">
        <f t="shared" si="7"/>
        <v>16.995471364626692</v>
      </c>
      <c r="H21" s="53" t="s">
        <v>75</v>
      </c>
      <c r="I21" s="68">
        <f>I19*SQRT(I17)*(($I$8)^(-1/2))</f>
        <v>1.2821992493068238E-2</v>
      </c>
      <c r="J21" s="51">
        <f t="shared" si="1"/>
        <v>8.7578532132789668</v>
      </c>
      <c r="K21" s="51">
        <f t="shared" si="2"/>
        <v>1.9989457636040595</v>
      </c>
      <c r="L21" s="55">
        <f t="shared" si="3"/>
        <v>1.0137560166544551E-2</v>
      </c>
      <c r="M21" s="51">
        <f t="shared" si="4"/>
        <v>1.988808203437515</v>
      </c>
      <c r="N21" s="94">
        <f t="shared" si="8"/>
        <v>572602464.98982263</v>
      </c>
      <c r="O21" s="56">
        <f t="shared" si="9"/>
        <v>99.757547491053884</v>
      </c>
      <c r="P21" s="57">
        <f t="shared" si="5"/>
        <v>97.45591501502949</v>
      </c>
      <c r="R21" s="47"/>
      <c r="S21" s="47"/>
      <c r="T21" s="47"/>
    </row>
    <row r="22" spans="1:20" ht="12.75" customHeight="1" thickBot="1" x14ac:dyDescent="0.4">
      <c r="A22" s="49">
        <f>'New Vestas G20 120L'!O27</f>
        <v>189758597.48836675</v>
      </c>
      <c r="B22" s="48">
        <f>'New Vestas G20 120L'!T27</f>
        <v>115.47838665829444</v>
      </c>
      <c r="C22" s="50">
        <f t="shared" si="0"/>
        <v>8.2782014618121504</v>
      </c>
      <c r="D22" s="50">
        <f t="shared" si="0"/>
        <v>2.0625007077485633</v>
      </c>
      <c r="E22" s="51">
        <f t="shared" si="6"/>
        <v>68.528619442348827</v>
      </c>
      <c r="F22" s="51">
        <f t="shared" si="6"/>
        <v>4.2539091694633244</v>
      </c>
      <c r="G22" s="52">
        <f t="shared" si="7"/>
        <v>17.073796373872753</v>
      </c>
      <c r="H22" s="61" t="s">
        <v>76</v>
      </c>
      <c r="I22" s="69">
        <f>I19*SQRT(I17)*(1/I2+I11^2/I8)^(1/2)</f>
        <v>0.10521242738922681</v>
      </c>
      <c r="J22" s="51">
        <f t="shared" si="1"/>
        <v>8.7528684414421569</v>
      </c>
      <c r="K22" s="51">
        <f t="shared" si="2"/>
        <v>1.9996348169421576</v>
      </c>
      <c r="L22" s="55">
        <f t="shared" si="3"/>
        <v>1.0065954468644705E-2</v>
      </c>
      <c r="M22" s="51">
        <f t="shared" si="4"/>
        <v>1.9895688624735128</v>
      </c>
      <c r="N22" s="94">
        <f t="shared" si="8"/>
        <v>566067787.10691392</v>
      </c>
      <c r="O22" s="56">
        <f t="shared" si="9"/>
        <v>99.915948836275888</v>
      </c>
      <c r="P22" s="57">
        <f t="shared" si="5"/>
        <v>97.626756880851715</v>
      </c>
      <c r="R22" s="47"/>
      <c r="S22" s="47"/>
      <c r="T22" s="47"/>
    </row>
    <row r="23" spans="1:20" ht="12.75" customHeight="1" x14ac:dyDescent="0.35">
      <c r="A23" s="49">
        <f>'New Vestas G20 120L'!O28</f>
        <v>243975339.62790009</v>
      </c>
      <c r="B23" s="48">
        <f>'New Vestas G20 120L'!T28</f>
        <v>114.47838091401121</v>
      </c>
      <c r="C23" s="50">
        <f t="shared" si="0"/>
        <v>8.3873459312372187</v>
      </c>
      <c r="D23" s="50">
        <f t="shared" si="0"/>
        <v>2.0587234784990724</v>
      </c>
      <c r="E23" s="51">
        <f t="shared" si="6"/>
        <v>70.34757177024153</v>
      </c>
      <c r="F23" s="51">
        <f t="shared" si="6"/>
        <v>4.2383423609233208</v>
      </c>
      <c r="G23" s="52">
        <f t="shared" si="7"/>
        <v>17.267225990931728</v>
      </c>
      <c r="H23" s="63" t="s">
        <v>77</v>
      </c>
      <c r="I23" s="70"/>
      <c r="J23" s="51">
        <f t="shared" si="1"/>
        <v>8.747825790109852</v>
      </c>
      <c r="K23" s="51">
        <f t="shared" si="2"/>
        <v>2.0003318710596059</v>
      </c>
      <c r="L23" s="55">
        <f t="shared" si="3"/>
        <v>9.9936570479495345E-3</v>
      </c>
      <c r="M23" s="51">
        <f t="shared" si="4"/>
        <v>1.9903382140116563</v>
      </c>
      <c r="N23" s="94">
        <f t="shared" si="8"/>
        <v>559533109.22400439</v>
      </c>
      <c r="O23" s="56">
        <f t="shared" si="9"/>
        <v>100.07644534003182</v>
      </c>
      <c r="P23" s="57">
        <f t="shared" si="5"/>
        <v>97.799855701963068</v>
      </c>
      <c r="R23" s="47"/>
      <c r="S23" s="47"/>
      <c r="T23" s="47"/>
    </row>
    <row r="24" spans="1:20" ht="12.75" customHeight="1" x14ac:dyDescent="0.35">
      <c r="A24" s="49">
        <f>'New Vestas G20 120L'!O29</f>
        <v>271083710.69766676</v>
      </c>
      <c r="B24" s="48">
        <f>'New Vestas G20 120L'!T29</f>
        <v>113.47837516972798</v>
      </c>
      <c r="C24" s="50">
        <f t="shared" si="0"/>
        <v>8.4331034217978935</v>
      </c>
      <c r="D24" s="50">
        <f t="shared" si="0"/>
        <v>2.0549131087604637</v>
      </c>
      <c r="E24" s="51">
        <f t="shared" si="6"/>
        <v>71.117233322739338</v>
      </c>
      <c r="F24" s="51">
        <f t="shared" si="6"/>
        <v>4.2226678845555936</v>
      </c>
      <c r="G24" s="52">
        <f t="shared" si="7"/>
        <v>17.329294768985214</v>
      </c>
      <c r="H24" s="66" t="s">
        <v>78</v>
      </c>
      <c r="I24" s="71">
        <f>10^(MAX(C:C))</f>
        <v>696761344.76508868</v>
      </c>
      <c r="J24" s="51">
        <f t="shared" si="1"/>
        <v>8.7427238993682188</v>
      </c>
      <c r="K24" s="51">
        <f t="shared" si="2"/>
        <v>2.0010371139395655</v>
      </c>
      <c r="L24" s="55">
        <f t="shared" si="3"/>
        <v>9.9206564295912739E-3</v>
      </c>
      <c r="M24" s="51">
        <f t="shared" si="4"/>
        <v>1.9911164575099742</v>
      </c>
      <c r="N24" s="94">
        <f t="shared" si="8"/>
        <v>552998431.34109581</v>
      </c>
      <c r="O24" s="56">
        <f t="shared" si="9"/>
        <v>100.23908967429881</v>
      </c>
      <c r="P24" s="57">
        <f t="shared" si="5"/>
        <v>97.975267412534819</v>
      </c>
      <c r="R24" s="47"/>
      <c r="S24" s="47"/>
      <c r="T24" s="47"/>
    </row>
    <row r="25" spans="1:20" ht="12.75" customHeight="1" thickBot="1" x14ac:dyDescent="0.4">
      <c r="A25" s="49">
        <f>'New Vestas G20 120L'!O30</f>
        <v>298192081.76743346</v>
      </c>
      <c r="B25" s="48">
        <f>'New Vestas G20 120L'!T30</f>
        <v>107.47834070402855</v>
      </c>
      <c r="C25" s="50">
        <f t="shared" si="0"/>
        <v>8.4744961069561189</v>
      </c>
      <c r="D25" s="50">
        <f t="shared" si="0"/>
        <v>2.0313209529914356</v>
      </c>
      <c r="E25" s="51">
        <f t="shared" si="6"/>
        <v>71.817084266814419</v>
      </c>
      <c r="F25" s="51">
        <f t="shared" si="6"/>
        <v>4.1262648140620337</v>
      </c>
      <c r="G25" s="52">
        <f t="shared" si="7"/>
        <v>17.214421508104316</v>
      </c>
      <c r="H25" s="72" t="s">
        <v>79</v>
      </c>
      <c r="I25" s="73">
        <f>10^(MIN(C:C))</f>
        <v>43293556.474205777</v>
      </c>
      <c r="J25" s="51">
        <f t="shared" si="1"/>
        <v>8.7375613608051115</v>
      </c>
      <c r="K25" s="51">
        <f t="shared" si="2"/>
        <v>2.0017507402692005</v>
      </c>
      <c r="L25" s="55">
        <f t="shared" si="3"/>
        <v>9.8469409702801707E-3</v>
      </c>
      <c r="M25" s="51">
        <f t="shared" si="4"/>
        <v>1.9919037992989204</v>
      </c>
      <c r="N25" s="94">
        <f t="shared" si="8"/>
        <v>546463753.45818722</v>
      </c>
      <c r="O25" s="56">
        <f t="shared" si="9"/>
        <v>100.40393647764188</v>
      </c>
      <c r="P25" s="57">
        <f t="shared" si="5"/>
        <v>98.153049982220836</v>
      </c>
      <c r="R25" s="47"/>
      <c r="S25" s="47"/>
      <c r="T25" s="47"/>
    </row>
    <row r="26" spans="1:20" ht="12.75" customHeight="1" x14ac:dyDescent="0.35">
      <c r="A26" s="49">
        <f>'New Vestas G20 120L'!O31</f>
        <v>135541855.34883338</v>
      </c>
      <c r="B26" s="48">
        <f>'New Vestas G20 120L'!T31</f>
        <v>118.64312103662732</v>
      </c>
      <c r="C26" s="50">
        <f t="shared" si="0"/>
        <v>8.1320734261339123</v>
      </c>
      <c r="D26" s="50">
        <f t="shared" si="0"/>
        <v>2.0742425627603511</v>
      </c>
      <c r="E26" s="51">
        <f t="shared" si="6"/>
        <v>66.13061820803334</v>
      </c>
      <c r="F26" s="51">
        <f t="shared" si="6"/>
        <v>4.3024822091666293</v>
      </c>
      <c r="G26" s="52">
        <f t="shared" si="7"/>
        <v>16.867892823979354</v>
      </c>
      <c r="H26" s="63" t="s">
        <v>80</v>
      </c>
      <c r="I26" s="70"/>
      <c r="J26" s="51">
        <f t="shared" si="1"/>
        <v>8.732336715176185</v>
      </c>
      <c r="K26" s="51">
        <f t="shared" si="2"/>
        <v>2.0024729517622939</v>
      </c>
      <c r="L26" s="55">
        <f t="shared" si="3"/>
        <v>9.7724988660693041E-3</v>
      </c>
      <c r="M26" s="51">
        <f t="shared" si="4"/>
        <v>1.9927004528962247</v>
      </c>
      <c r="N26" s="94">
        <f t="shared" si="8"/>
        <v>539929075.57527697</v>
      </c>
      <c r="O26" s="56">
        <f t="shared" si="9"/>
        <v>100.57104245320338</v>
      </c>
      <c r="P26" s="57">
        <f t="shared" si="5"/>
        <v>98.333263513704154</v>
      </c>
      <c r="R26" s="47" t="s">
        <v>81</v>
      </c>
      <c r="S26" s="47"/>
      <c r="T26" s="47"/>
    </row>
    <row r="27" spans="1:20" ht="12.75" customHeight="1" x14ac:dyDescent="0.35">
      <c r="A27" s="49">
        <f>'New Vestas G20 120L'!O32</f>
        <v>162650226.41860005</v>
      </c>
      <c r="B27" s="48">
        <f>'New Vestas G20 120L'!T32</f>
        <v>115.05547298976759</v>
      </c>
      <c r="C27" s="50">
        <f t="shared" si="0"/>
        <v>8.2112546721815374</v>
      </c>
      <c r="D27" s="50">
        <f t="shared" si="0"/>
        <v>2.0609072821330621</v>
      </c>
      <c r="E27" s="51">
        <f t="shared" si="6"/>
        <v>67.424703291423128</v>
      </c>
      <c r="F27" s="51">
        <f t="shared" si="6"/>
        <v>4.2473388255490843</v>
      </c>
      <c r="G27" s="52">
        <f t="shared" si="7"/>
        <v>16.922634549348061</v>
      </c>
      <c r="H27" s="53" t="str">
        <f>"m lower " &amp; TEXT(I18,"##%") &amp; " conf"</f>
        <v>m lower 95% conf</v>
      </c>
      <c r="I27" s="74">
        <f>-I13-I21</f>
        <v>0.125409678013851</v>
      </c>
      <c r="J27" s="51">
        <f t="shared" si="1"/>
        <v>8.7270484499289083</v>
      </c>
      <c r="K27" s="51">
        <f t="shared" si="2"/>
        <v>2.0032039575015084</v>
      </c>
      <c r="L27" s="55">
        <f t="shared" si="3"/>
        <v>9.6973181618763282E-3</v>
      </c>
      <c r="M27" s="51">
        <f t="shared" si="4"/>
        <v>1.9935066393396321</v>
      </c>
      <c r="N27" s="94">
        <f t="shared" si="8"/>
        <v>533394397.69236803</v>
      </c>
      <c r="O27" s="56">
        <f t="shared" si="9"/>
        <v>100.74046647282925</v>
      </c>
      <c r="P27" s="57">
        <f t="shared" si="5"/>
        <v>98.515970346020083</v>
      </c>
      <c r="R27" s="47"/>
      <c r="S27" s="47"/>
      <c r="T27" s="47"/>
    </row>
    <row r="28" spans="1:20" ht="12.75" customHeight="1" x14ac:dyDescent="0.35">
      <c r="A28" s="49">
        <f>'New Vestas G20 120L'!O33</f>
        <v>216866968.55813342</v>
      </c>
      <c r="B28" s="48">
        <f>'New Vestas G20 120L'!T33</f>
        <v>112.3464326278531</v>
      </c>
      <c r="C28" s="50">
        <f t="shared" si="0"/>
        <v>8.3361934087898373</v>
      </c>
      <c r="D28" s="50">
        <f t="shared" si="0"/>
        <v>2.0505592866827347</v>
      </c>
      <c r="E28" s="51">
        <f t="shared" si="6"/>
        <v>69.492120548751132</v>
      </c>
      <c r="F28" s="51">
        <f t="shared" si="6"/>
        <v>4.2047933882008053</v>
      </c>
      <c r="G28" s="52">
        <f t="shared" si="7"/>
        <v>17.093858809977402</v>
      </c>
      <c r="H28" s="75" t="s">
        <v>82</v>
      </c>
      <c r="I28" s="76">
        <f>-I13</f>
        <v>0.13823167050691923</v>
      </c>
      <c r="J28" s="51">
        <f t="shared" si="1"/>
        <v>8.7216949965739605</v>
      </c>
      <c r="K28" s="51">
        <f t="shared" si="2"/>
        <v>2.0039439743017438</v>
      </c>
      <c r="L28" s="55">
        <f t="shared" si="3"/>
        <v>9.6213867630146072E-3</v>
      </c>
      <c r="M28" s="51">
        <f t="shared" si="4"/>
        <v>1.9943225875387292</v>
      </c>
      <c r="N28" s="94">
        <f t="shared" si="8"/>
        <v>526859719.80945897</v>
      </c>
      <c r="O28" s="56">
        <f t="shared" si="9"/>
        <v>100.91226968779577</v>
      </c>
      <c r="P28" s="57">
        <f t="shared" si="5"/>
        <v>98.701235164060918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G20 120L'!O34</f>
        <v>243975339.62790009</v>
      </c>
      <c r="B29" s="48">
        <f>'New Vestas G20 120L'!T34</f>
        <v>110.88208648627773</v>
      </c>
      <c r="C29" s="50">
        <f t="shared" si="0"/>
        <v>8.3873459312372187</v>
      </c>
      <c r="D29" s="50">
        <f t="shared" si="0"/>
        <v>2.0448613895346086</v>
      </c>
      <c r="E29" s="51">
        <f t="shared" si="6"/>
        <v>70.34757177024153</v>
      </c>
      <c r="F29" s="51">
        <f t="shared" si="6"/>
        <v>4.18145810240941</v>
      </c>
      <c r="G29" s="52">
        <f t="shared" si="7"/>
        <v>17.150959855457184</v>
      </c>
      <c r="H29" s="77" t="str">
        <f>"m upper " &amp; TEXT(I18,"##%") &amp; " conf"</f>
        <v>m upper 95% conf</v>
      </c>
      <c r="I29" s="74">
        <f>-I13+I21</f>
        <v>0.15105366299998746</v>
      </c>
      <c r="J29" s="51">
        <f t="shared" si="1"/>
        <v>8.7162747278925892</v>
      </c>
      <c r="K29" s="51">
        <f t="shared" si="2"/>
        <v>2.0046932270961664</v>
      </c>
      <c r="L29" s="55">
        <f t="shared" si="3"/>
        <v>9.5446924490217317E-3</v>
      </c>
      <c r="M29" s="51">
        <f t="shared" si="4"/>
        <v>1.9951485346471447</v>
      </c>
      <c r="N29" s="94">
        <f t="shared" si="8"/>
        <v>520325041.92655158</v>
      </c>
      <c r="O29" s="56">
        <f t="shared" si="9"/>
        <v>101.08651564664305</v>
      </c>
      <c r="P29" s="57">
        <f t="shared" si="5"/>
        <v>98.889125114698047</v>
      </c>
      <c r="R29" s="47"/>
      <c r="S29" s="47"/>
      <c r="T29" s="47"/>
    </row>
    <row r="30" spans="1:20" ht="12.75" customHeight="1" x14ac:dyDescent="0.35">
      <c r="A30" s="49">
        <f>'New Vestas G20 120L'!O35</f>
        <v>271083710.69766676</v>
      </c>
      <c r="B30" s="48">
        <f>'New Vestas G20 120L'!T35</f>
        <v>110.63802879601515</v>
      </c>
      <c r="C30" s="50">
        <f t="shared" si="0"/>
        <v>8.4331034217978935</v>
      </c>
      <c r="D30" s="50">
        <f t="shared" si="0"/>
        <v>2.0439044294779753</v>
      </c>
      <c r="E30" s="51">
        <f t="shared" si="6"/>
        <v>71.117233322739338</v>
      </c>
      <c r="F30" s="51">
        <f t="shared" si="6"/>
        <v>4.1775453168396881</v>
      </c>
      <c r="G30" s="52">
        <f t="shared" si="7"/>
        <v>17.236457438058586</v>
      </c>
      <c r="H30" s="77" t="str">
        <f>"C lower " &amp; TEXT(I18,"##%") &amp; " conf"</f>
        <v>C lower 95% conf</v>
      </c>
      <c r="I30" s="78">
        <f>10^(I14-I22)</f>
        <v>1271.5868145479101</v>
      </c>
      <c r="J30" s="51">
        <f t="shared" si="1"/>
        <v>8.7107859549674682</v>
      </c>
      <c r="K30" s="51">
        <f t="shared" si="2"/>
        <v>2.0054519493466385</v>
      </c>
      <c r="L30" s="55">
        <f t="shared" si="3"/>
        <v>9.4672228901137925E-3</v>
      </c>
      <c r="M30" s="51">
        <f t="shared" si="4"/>
        <v>1.9959847264565247</v>
      </c>
      <c r="N30" s="94">
        <f t="shared" si="8"/>
        <v>513790364.04364085</v>
      </c>
      <c r="O30" s="56">
        <f t="shared" si="9"/>
        <v>101.26327042066934</v>
      </c>
      <c r="P30" s="57">
        <f t="shared" si="5"/>
        <v>99.079709929995403</v>
      </c>
      <c r="R30" s="47"/>
      <c r="S30" s="47"/>
      <c r="T30" s="47"/>
    </row>
    <row r="31" spans="1:20" ht="12.75" customHeight="1" x14ac:dyDescent="0.35">
      <c r="A31" s="49">
        <f>'New Vestas G20 120L'!O36</f>
        <v>696761344.76508725</v>
      </c>
      <c r="B31" s="48">
        <f>'New Vestas G20 120L'!T36</f>
        <v>101.0765920893912</v>
      </c>
      <c r="C31" s="50">
        <f t="shared" si="0"/>
        <v>8.8430840486860447</v>
      </c>
      <c r="D31" s="50">
        <f t="shared" si="0"/>
        <v>2.0046505907694194</v>
      </c>
      <c r="E31" s="51">
        <f t="shared" si="6"/>
        <v>78.200135492125568</v>
      </c>
      <c r="F31" s="51">
        <f t="shared" si="6"/>
        <v>4.0186239910721824</v>
      </c>
      <c r="G31" s="52">
        <f t="shared" si="7"/>
        <v>17.72729366242211</v>
      </c>
      <c r="H31" s="75" t="s">
        <v>83</v>
      </c>
      <c r="I31" s="79">
        <f>10^I14</f>
        <v>1620.1620056350428</v>
      </c>
      <c r="J31" s="51">
        <f t="shared" si="1"/>
        <v>8.7052269240235471</v>
      </c>
      <c r="K31" s="51">
        <f t="shared" si="2"/>
        <v>2.0062203834804166</v>
      </c>
      <c r="L31" s="55">
        <f t="shared" si="3"/>
        <v>9.3889656666413732E-3</v>
      </c>
      <c r="M31" s="51">
        <f t="shared" si="4"/>
        <v>1.9968314178137754</v>
      </c>
      <c r="N31" s="94">
        <f t="shared" si="8"/>
        <v>507255686.16073328</v>
      </c>
      <c r="O31" s="56">
        <f t="shared" si="9"/>
        <v>101.44260273768523</v>
      </c>
      <c r="P31" s="57">
        <f t="shared" si="5"/>
        <v>99.27306205802482</v>
      </c>
      <c r="R31" s="47"/>
      <c r="S31" s="47"/>
      <c r="T31" s="47"/>
    </row>
    <row r="32" spans="1:20" ht="12.75" customHeight="1" thickBot="1" x14ac:dyDescent="0.4">
      <c r="A32" s="49">
        <f>'New Vestas G20 120L'!O37</f>
        <v>580634453.97090602</v>
      </c>
      <c r="B32" s="48">
        <f>'New Vestas G20 120L'!T37</f>
        <v>99.463772200994654</v>
      </c>
      <c r="C32" s="50">
        <f t="shared" si="0"/>
        <v>8.7639028026384196</v>
      </c>
      <c r="D32" s="50">
        <f t="shared" si="0"/>
        <v>1.9976649259902204</v>
      </c>
      <c r="E32" s="51">
        <f t="shared" si="6"/>
        <v>76.805992334093546</v>
      </c>
      <c r="F32" s="51">
        <f t="shared" si="6"/>
        <v>3.9906651565315125</v>
      </c>
      <c r="G32" s="52">
        <f t="shared" si="7"/>
        <v>17.507341243618164</v>
      </c>
      <c r="H32" s="61" t="str">
        <f>"C upper " &amp; TEXT(I18,"##%") &amp; " conf"</f>
        <v>C upper 95% conf</v>
      </c>
      <c r="I32" s="80">
        <f>10^(I14+I22)</f>
        <v>2064.2907699830225</v>
      </c>
      <c r="J32" s="51">
        <f t="shared" si="1"/>
        <v>8.6995958130640414</v>
      </c>
      <c r="K32" s="51">
        <f t="shared" si="2"/>
        <v>2.0069987813551586</v>
      </c>
      <c r="L32" s="55">
        <f t="shared" si="3"/>
        <v>9.30990829197542E-3</v>
      </c>
      <c r="M32" s="51">
        <f t="shared" si="4"/>
        <v>1.9976888730631832</v>
      </c>
      <c r="N32" s="94">
        <f t="shared" si="8"/>
        <v>500721008.2778253</v>
      </c>
      <c r="O32" s="56">
        <f t="shared" si="9"/>
        <v>101.62458412468762</v>
      </c>
      <c r="P32" s="57">
        <f t="shared" si="5"/>
        <v>99.469256801832984</v>
      </c>
      <c r="R32" s="47"/>
      <c r="S32" s="47"/>
      <c r="T32" s="47"/>
    </row>
    <row r="33" spans="1:20" ht="12.75" customHeight="1" x14ac:dyDescent="0.35">
      <c r="A33" s="49"/>
      <c r="B33" s="48"/>
      <c r="C33" s="50"/>
      <c r="D33" s="50"/>
      <c r="E33" s="51"/>
      <c r="F33" s="51"/>
      <c r="G33" s="52"/>
      <c r="H33" s="63" t="s">
        <v>84</v>
      </c>
      <c r="I33" s="81"/>
      <c r="J33" s="51">
        <f t="shared" si="1"/>
        <v>8.6938907282854778</v>
      </c>
      <c r="K33" s="51">
        <f t="shared" si="2"/>
        <v>2.0077874047544833</v>
      </c>
      <c r="L33" s="55">
        <f t="shared" si="3"/>
        <v>9.2300382393147133E-3</v>
      </c>
      <c r="M33" s="51">
        <f t="shared" si="4"/>
        <v>1.9985573665151686</v>
      </c>
      <c r="N33" s="94">
        <f t="shared" si="8"/>
        <v>494186330.39491409</v>
      </c>
      <c r="O33" s="56">
        <f t="shared" si="9"/>
        <v>101.80928906017472</v>
      </c>
      <c r="P33" s="57">
        <f t="shared" si="5"/>
        <v>99.668372467163238</v>
      </c>
      <c r="R33" s="47"/>
      <c r="S33" s="47"/>
      <c r="T33" s="47"/>
    </row>
    <row r="34" spans="1:20" ht="12.75" customHeight="1" thickBot="1" x14ac:dyDescent="0.4">
      <c r="A34" s="49"/>
      <c r="B34" s="48"/>
      <c r="C34" s="50"/>
      <c r="D34" s="50"/>
      <c r="E34" s="51"/>
      <c r="F34" s="51"/>
      <c r="G34" s="52"/>
      <c r="H34" s="82" t="str">
        <f>"G20 Fit: S = " &amp; TEXT(I31,"0,00 E+00 ") &amp; " * N ^ -" &amp; TEXT(I28,"0,00")</f>
        <v>G20 Fit: S = 1,620 E+00  * N ^ -000</v>
      </c>
      <c r="I34" s="62"/>
      <c r="J34" s="51">
        <f t="shared" si="1"/>
        <v>8.6881097002541132</v>
      </c>
      <c r="K34" s="51">
        <f t="shared" si="2"/>
        <v>2.0085865259165061</v>
      </c>
      <c r="L34" s="55">
        <f t="shared" si="3"/>
        <v>9.1493429729766693E-3</v>
      </c>
      <c r="M34" s="51">
        <f t="shared" si="4"/>
        <v>1.9994371829435293</v>
      </c>
      <c r="N34" s="94">
        <f t="shared" si="8"/>
        <v>487651652.51200575</v>
      </c>
      <c r="O34" s="56">
        <f t="shared" si="9"/>
        <v>101.99679513688685</v>
      </c>
      <c r="P34" s="57">
        <f t="shared" si="5"/>
        <v>99.870490519574332</v>
      </c>
      <c r="R34" s="47"/>
      <c r="S34" s="47"/>
      <c r="T34" s="47"/>
    </row>
    <row r="35" spans="1:20" ht="12.75" customHeight="1" thickBot="1" x14ac:dyDescent="0.4">
      <c r="A35" s="49"/>
      <c r="B35" s="48"/>
      <c r="C35" s="50"/>
      <c r="D35" s="50"/>
      <c r="E35" s="51"/>
      <c r="F35" s="51"/>
      <c r="G35" s="52"/>
      <c r="H35" s="82" t="str">
        <f>"G20 Fit: N = " &amp; TEXT((1/I31)^(-1/I28),"0,00 E+00 ") &amp; " * S ^ -" &amp; TEXT(1/I28,"0,00")</f>
        <v>G20 Fit: N = 1,655 E+20  * S ^ -007</v>
      </c>
      <c r="I35" s="84"/>
      <c r="J35" s="51">
        <f t="shared" si="1"/>
        <v>8.6822506798244099</v>
      </c>
      <c r="K35" s="51">
        <f t="shared" si="2"/>
        <v>2.0093964280980381</v>
      </c>
      <c r="L35" s="55">
        <f t="shared" si="3"/>
        <v>9.0678099848158812E-3</v>
      </c>
      <c r="M35" s="51">
        <f t="shared" si="4"/>
        <v>2.000328618113222</v>
      </c>
      <c r="N35" s="94">
        <f t="shared" si="8"/>
        <v>481116974.62909853</v>
      </c>
      <c r="O35" s="56">
        <f t="shared" si="9"/>
        <v>102.18718323584156</v>
      </c>
      <c r="P35" s="57">
        <f t="shared" si="5"/>
        <v>100.0756957516641</v>
      </c>
      <c r="R35" s="47"/>
      <c r="S35" s="47"/>
      <c r="T35" s="47"/>
    </row>
    <row r="36" spans="1:20" ht="12.75" customHeight="1" x14ac:dyDescent="0.35">
      <c r="A36" s="49"/>
      <c r="B36" s="48"/>
      <c r="C36" s="50"/>
      <c r="D36" s="50"/>
      <c r="E36" s="51"/>
      <c r="F36" s="51"/>
      <c r="G36" s="52"/>
      <c r="H36" s="83"/>
      <c r="I36" s="83"/>
      <c r="J36" s="51">
        <f t="shared" si="1"/>
        <v>8.6763115337784118</v>
      </c>
      <c r="K36" s="51">
        <f t="shared" si="2"/>
        <v>2.010217406177361</v>
      </c>
      <c r="L36" s="55">
        <f t="shared" si="3"/>
        <v>8.985426836509991E-3</v>
      </c>
      <c r="M36" s="51">
        <f t="shared" si="4"/>
        <v>2.0012319793408508</v>
      </c>
      <c r="N36" s="94">
        <f t="shared" si="8"/>
        <v>474582296.74618983</v>
      </c>
      <c r="O36" s="56">
        <f t="shared" si="9"/>
        <v>102.38053771260903</v>
      </c>
      <c r="P36" s="57">
        <f t="shared" si="5"/>
        <v>100.28407646115497</v>
      </c>
      <c r="R36" s="47"/>
      <c r="S36" s="47"/>
      <c r="T36" s="47"/>
    </row>
    <row r="37" spans="1:20" ht="12.75" customHeight="1" x14ac:dyDescent="0.35">
      <c r="A37" s="49"/>
      <c r="B37" s="48"/>
      <c r="C37" s="50"/>
      <c r="D37" s="50"/>
      <c r="E37" s="51"/>
      <c r="F37" s="51"/>
      <c r="G37" s="52"/>
      <c r="H37" s="95">
        <f>1/I28</f>
        <v>7.2342321866821733</v>
      </c>
      <c r="I37" s="85">
        <f>I31-I30</f>
        <v>348.57519108713268</v>
      </c>
      <c r="J37" s="51">
        <f t="shared" si="1"/>
        <v>8.6702900401628096</v>
      </c>
      <c r="K37" s="51">
        <f t="shared" si="2"/>
        <v>2.0110497672987924</v>
      </c>
      <c r="L37" s="55">
        <f t="shared" si="3"/>
        <v>8.9021812085623049E-3</v>
      </c>
      <c r="M37" s="51">
        <f t="shared" si="4"/>
        <v>2.00214758609023</v>
      </c>
      <c r="N37" s="94">
        <f t="shared" si="8"/>
        <v>468047618.8632803</v>
      </c>
      <c r="O37" s="56">
        <f t="shared" si="9"/>
        <v>102.57694659687175</v>
      </c>
      <c r="P37" s="57">
        <f t="shared" si="5"/>
        <v>100.49572464066914</v>
      </c>
      <c r="R37" s="47"/>
      <c r="S37" s="47"/>
      <c r="T37" s="47"/>
    </row>
    <row r="38" spans="1:20" ht="12.75" customHeight="1" x14ac:dyDescent="0.35">
      <c r="A38" s="49"/>
      <c r="B38" s="48"/>
      <c r="C38" s="50"/>
      <c r="D38" s="50"/>
      <c r="E38" s="51"/>
      <c r="F38" s="51"/>
      <c r="G38" s="52"/>
      <c r="H38" s="95">
        <f>((1/I27)-(1/I29))/2</f>
        <v>0.67685120159460821</v>
      </c>
      <c r="I38" s="85">
        <f>I32-I31</f>
        <v>444.12876434797977</v>
      </c>
      <c r="J38" s="51">
        <f t="shared" si="1"/>
        <v>8.6641838832981577</v>
      </c>
      <c r="K38" s="51">
        <f t="shared" si="2"/>
        <v>2.0118938315625705</v>
      </c>
      <c r="L38" s="55">
        <f t="shared" si="3"/>
        <v>8.8180609569974318E-3</v>
      </c>
      <c r="M38" s="51">
        <f t="shared" si="4"/>
        <v>2.0030757706055731</v>
      </c>
      <c r="N38" s="94">
        <f t="shared" si="8"/>
        <v>461512940.98037153</v>
      </c>
      <c r="O38" s="56">
        <f t="shared" si="9"/>
        <v>102.77650180641612</v>
      </c>
      <c r="P38" s="57">
        <f t="shared" si="5"/>
        <v>100.71073618009116</v>
      </c>
      <c r="R38" s="47"/>
      <c r="S38" s="47"/>
      <c r="T38" s="47"/>
    </row>
    <row r="39" spans="1:20" ht="12.75" customHeight="1" x14ac:dyDescent="0.35">
      <c r="A39" s="49"/>
      <c r="B39" s="48"/>
      <c r="C39" s="50"/>
      <c r="D39" s="50"/>
      <c r="E39" s="51"/>
      <c r="F39" s="51"/>
      <c r="G39" s="52"/>
      <c r="H39" s="86"/>
      <c r="I39" s="86"/>
      <c r="J39" s="51">
        <f t="shared" si="1"/>
        <v>8.6579906484322144</v>
      </c>
      <c r="K39" s="51">
        <f t="shared" si="2"/>
        <v>2.0127499327639318</v>
      </c>
      <c r="L39" s="55">
        <f t="shared" si="3"/>
        <v>8.7330541788745129E-3</v>
      </c>
      <c r="M39" s="51">
        <f t="shared" si="4"/>
        <v>2.0040168785850572</v>
      </c>
      <c r="N39" s="94">
        <f t="shared" si="8"/>
        <v>454978263.09746307</v>
      </c>
      <c r="O39" s="56">
        <f t="shared" si="9"/>
        <v>102.97929937682082</v>
      </c>
      <c r="P39" s="57">
        <f t="shared" si="5"/>
        <v>100.92921108249111</v>
      </c>
      <c r="R39" s="47"/>
      <c r="S39" s="47"/>
      <c r="T39" s="47"/>
    </row>
    <row r="40" spans="1:20" ht="12.75" customHeight="1" x14ac:dyDescent="0.35">
      <c r="A40" s="49"/>
      <c r="B40" s="48"/>
      <c r="C40" s="50"/>
      <c r="D40" s="50"/>
      <c r="E40" s="51"/>
      <c r="F40" s="51"/>
      <c r="G40" s="52"/>
      <c r="H40" s="86" t="b">
        <f>H37=H38</f>
        <v>0</v>
      </c>
      <c r="I40" s="86"/>
      <c r="J40" s="51">
        <f t="shared" si="1"/>
        <v>8.651707816006514</v>
      </c>
      <c r="K40" s="51">
        <f t="shared" si="2"/>
        <v>2.0136184191856512</v>
      </c>
      <c r="L40" s="55">
        <f t="shared" si="3"/>
        <v>8.6471492879137864E-3</v>
      </c>
      <c r="M40" s="51">
        <f t="shared" si="4"/>
        <v>2.0049712698977373</v>
      </c>
      <c r="N40" s="94">
        <f t="shared" si="8"/>
        <v>448443585.2145533</v>
      </c>
      <c r="O40" s="56">
        <f t="shared" si="9"/>
        <v>103.18543970823644</v>
      </c>
      <c r="P40" s="57">
        <f t="shared" si="5"/>
        <v>101.1512536946653</v>
      </c>
      <c r="R40" s="47"/>
      <c r="S40" s="47"/>
      <c r="T40" s="47"/>
    </row>
    <row r="41" spans="1:20" ht="12.75" customHeight="1" x14ac:dyDescent="0.35">
      <c r="A41" s="49"/>
      <c r="B41" s="48"/>
      <c r="C41" s="50"/>
      <c r="D41" s="50"/>
      <c r="E41" s="51"/>
      <c r="F41" s="51"/>
      <c r="G41" s="52"/>
      <c r="H41" s="86"/>
      <c r="I41" s="86"/>
      <c r="J41" s="51">
        <f t="shared" si="1"/>
        <v>8.6453327555020874</v>
      </c>
      <c r="K41" s="51">
        <f t="shared" si="2"/>
        <v>2.0144996544487608</v>
      </c>
      <c r="L41" s="55">
        <f t="shared" si="3"/>
        <v>8.5603351017312923E-3</v>
      </c>
      <c r="M41" s="51">
        <f t="shared" si="4"/>
        <v>2.0059393193470294</v>
      </c>
      <c r="N41" s="94">
        <f t="shared" si="8"/>
        <v>441908907.33164567</v>
      </c>
      <c r="O41" s="56">
        <f t="shared" si="9"/>
        <v>103.39502783079955</v>
      </c>
      <c r="P41" s="57">
        <f t="shared" si="5"/>
        <v>101.37697295344745</v>
      </c>
      <c r="R41" s="47"/>
      <c r="S41" s="47"/>
      <c r="T41" s="47"/>
    </row>
    <row r="42" spans="1:20" ht="12.75" customHeight="1" x14ac:dyDescent="0.35">
      <c r="A42" s="49"/>
      <c r="B42" s="48"/>
      <c r="C42" s="50"/>
      <c r="D42" s="50"/>
      <c r="E42" s="51"/>
      <c r="F42" s="51"/>
      <c r="G42" s="52"/>
      <c r="H42" s="86"/>
      <c r="I42" s="86"/>
      <c r="J42" s="51">
        <f t="shared" si="1"/>
        <v>8.6388627188267098</v>
      </c>
      <c r="K42" s="51">
        <f t="shared" si="2"/>
        <v>2.0153940184266395</v>
      </c>
      <c r="L42" s="55">
        <f t="shared" si="3"/>
        <v>8.4726009424087208E-3</v>
      </c>
      <c r="M42" s="51">
        <f t="shared" si="4"/>
        <v>2.0069214174842309</v>
      </c>
      <c r="N42" s="94">
        <f t="shared" si="8"/>
        <v>435374229.44873631</v>
      </c>
      <c r="O42" s="56">
        <f t="shared" si="9"/>
        <v>103.60817369038519</v>
      </c>
      <c r="P42" s="57">
        <f t="shared" si="5"/>
        <v>101.60648264903921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8.6322948332020939</v>
      </c>
      <c r="K43" s="51">
        <f t="shared" si="2"/>
        <v>2.0163019082282281</v>
      </c>
      <c r="L43" s="55">
        <f t="shared" si="3"/>
        <v>8.3839367523961764E-3</v>
      </c>
      <c r="M43" s="51">
        <f t="shared" si="4"/>
        <v>2.0079179714758317</v>
      </c>
      <c r="N43" s="94">
        <f t="shared" si="8"/>
        <v>428839551.56582898</v>
      </c>
      <c r="O43" s="56">
        <f t="shared" si="9"/>
        <v>103.82499245658967</v>
      </c>
      <c r="P43" s="57">
        <f t="shared" si="5"/>
        <v>101.83990170672148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 t="s">
        <v>83</v>
      </c>
      <c r="I44" s="86">
        <f>(1/$I$31)^(-1/$I$28)</f>
        <v>1.6545922880441674E+23</v>
      </c>
      <c r="J44" s="51">
        <f t="shared" si="1"/>
        <v>8.6256260935049074</v>
      </c>
      <c r="K44" s="51">
        <f t="shared" si="2"/>
        <v>2.017223739256746</v>
      </c>
      <c r="L44" s="55">
        <f t="shared" si="3"/>
        <v>8.2943332280602869E-3</v>
      </c>
      <c r="M44" s="51">
        <f t="shared" si="4"/>
        <v>2.0089294060286855</v>
      </c>
      <c r="N44" s="94">
        <f t="shared" si="8"/>
        <v>422304873.68291765</v>
      </c>
      <c r="O44" s="56">
        <f t="shared" si="9"/>
        <v>104.04560485504135</v>
      </c>
      <c r="P44" s="57">
        <f t="shared" si="5"/>
        <v>102.07735448843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7.2342321866821733</v>
      </c>
      <c r="J45" s="51">
        <f t="shared" si="1"/>
        <v>8.6188533540105627</v>
      </c>
      <c r="K45" s="51">
        <f t="shared" si="2"/>
        <v>2.0181599463509574</v>
      </c>
      <c r="L45" s="55">
        <f t="shared" si="3"/>
        <v>8.2037819735602136E-3</v>
      </c>
      <c r="M45" s="51">
        <f t="shared" si="4"/>
        <v>2.0099561643773973</v>
      </c>
      <c r="N45" s="94">
        <f t="shared" si="8"/>
        <v>415770195.8000102</v>
      </c>
      <c r="O45" s="56">
        <f t="shared" si="9"/>
        <v>104.27013752636863</v>
      </c>
      <c r="P45" s="57">
        <f t="shared" si="5"/>
        <v>102.31897111580228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8.6119733194829404</v>
      </c>
      <c r="K46" s="51">
        <f t="shared" si="2"/>
        <v>2.019110985016856</v>
      </c>
      <c r="L46" s="55">
        <f t="shared" si="3"/>
        <v>8.1122756781638466E-3</v>
      </c>
      <c r="M46" s="51">
        <f t="shared" si="4"/>
        <v>2.0109987093386921</v>
      </c>
      <c r="N46" s="94">
        <f t="shared" si="8"/>
        <v>409235517.91710061</v>
      </c>
      <c r="O46" s="56">
        <f t="shared" si="9"/>
        <v>104.49872341442425</v>
      </c>
      <c r="P46" s="57">
        <f t="shared" si="5"/>
        <v>102.56488781645807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8.6049825355469238</v>
      </c>
      <c r="K47" s="51">
        <f t="shared" si="2"/>
        <v>2.0200773327584844</v>
      </c>
      <c r="L47" s="55">
        <f t="shared" si="3"/>
        <v>8.0198083206232049E-3</v>
      </c>
      <c r="M47" s="51">
        <f t="shared" si="4"/>
        <v>2.0120575244378611</v>
      </c>
      <c r="N47" s="94">
        <f t="shared" si="8"/>
        <v>402700840.03419232</v>
      </c>
      <c r="O47" s="56">
        <f t="shared" si="9"/>
        <v>104.73150218665634</v>
      </c>
      <c r="P47" s="57">
        <f t="shared" si="5"/>
        <v>102.81524729542232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8.5978773782733029</v>
      </c>
      <c r="K48" s="51">
        <f t="shared" si="2"/>
        <v>2.021059490517632</v>
      </c>
      <c r="L48" s="55">
        <f t="shared" si="3"/>
        <v>7.9263754048191377E-3</v>
      </c>
      <c r="M48" s="51">
        <f t="shared" si="4"/>
        <v>2.0131331151128129</v>
      </c>
      <c r="N48" s="94">
        <f t="shared" si="8"/>
        <v>396166162.15128249</v>
      </c>
      <c r="O48" s="56">
        <f t="shared" si="9"/>
        <v>104.96862068986113</v>
      </c>
      <c r="P48" s="57">
        <f t="shared" si="5"/>
        <v>103.07019913377493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8.5906540428974498</v>
      </c>
      <c r="K49" s="51">
        <f t="shared" si="2"/>
        <v>2.0220579842332675</v>
      </c>
      <c r="L49" s="55">
        <f t="shared" si="3"/>
        <v>7.8319742315809231E-3</v>
      </c>
      <c r="M49" s="51">
        <f t="shared" si="4"/>
        <v>2.0142260100016864</v>
      </c>
      <c r="N49" s="94">
        <f t="shared" si="8"/>
        <v>389631484.26837432</v>
      </c>
      <c r="O49" s="56">
        <f t="shared" si="9"/>
        <v>105.21023344493247</v>
      </c>
      <c r="P49" s="57">
        <f t="shared" si="5"/>
        <v>103.32990021679828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8.5833085315838318</v>
      </c>
      <c r="K50" s="51">
        <f t="shared" si="2"/>
        <v>2.0230733665328766</v>
      </c>
      <c r="L50" s="55">
        <f t="shared" si="3"/>
        <v>7.7366042124020909E-3</v>
      </c>
      <c r="M50" s="51">
        <f t="shared" si="4"/>
        <v>2.0153367623204743</v>
      </c>
      <c r="N50" s="94">
        <f t="shared" si="8"/>
        <v>383096806.38546491</v>
      </c>
      <c r="O50" s="56">
        <f t="shared" si="9"/>
        <v>105.45650318466446</v>
      </c>
      <c r="P50" s="57">
        <f t="shared" si="5"/>
        <v>103.59451519410028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8.5758366401378829</v>
      </c>
      <c r="K51" s="51">
        <f t="shared" si="2"/>
        <v>2.0241062185692966</v>
      </c>
      <c r="L51" s="55">
        <f t="shared" si="3"/>
        <v>7.6402672317335187E-3</v>
      </c>
      <c r="M51" s="51">
        <f t="shared" si="4"/>
        <v>2.0164659513375631</v>
      </c>
      <c r="N51" s="94">
        <f t="shared" si="8"/>
        <v>376562128.50255597</v>
      </c>
      <c r="O51" s="56">
        <f t="shared" si="9"/>
        <v>105.70760143915506</v>
      </c>
      <c r="P51" s="57">
        <f t="shared" si="5"/>
        <v>103.86421697440531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8.5682339435546186</v>
      </c>
      <c r="K52" s="51">
        <f t="shared" si="2"/>
        <v>2.025157152018358</v>
      </c>
      <c r="L52" s="55">
        <f t="shared" si="3"/>
        <v>7.542968065661777E-3</v>
      </c>
      <c r="M52" s="51">
        <f t="shared" si="4"/>
        <v>2.0176141839526962</v>
      </c>
      <c r="N52" s="94">
        <f t="shared" si="8"/>
        <v>370027450.61964822</v>
      </c>
      <c r="O52" s="56">
        <f t="shared" si="9"/>
        <v>105.96370917393813</v>
      </c>
      <c r="P52" s="57">
        <f t="shared" si="5"/>
        <v>104.13918725796172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8.5604957802796307</v>
      </c>
      <c r="K53" s="51">
        <f t="shared" si="2"/>
        <v>2.0262268112545154</v>
      </c>
      <c r="L53" s="55">
        <f t="shared" si="3"/>
        <v>7.4447148661076473E-3</v>
      </c>
      <c r="M53" s="51">
        <f t="shared" si="4"/>
        <v>2.0187820963884078</v>
      </c>
      <c r="N53" s="94">
        <f t="shared" si="8"/>
        <v>363492772.73673934</v>
      </c>
      <c r="O53" s="56">
        <f t="shared" si="9"/>
        <v>106.22501748661566</v>
      </c>
      <c r="P53" s="57">
        <f t="shared" si="5"/>
        <v>104.41961710977152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8.5526172350423035</v>
      </c>
      <c r="K54" s="51">
        <f t="shared" si="2"/>
        <v>2.0273158757238354</v>
      </c>
      <c r="L54" s="55">
        <f t="shared" si="3"/>
        <v>7.3455197212399237E-3</v>
      </c>
      <c r="M54" s="51">
        <f t="shared" si="4"/>
        <v>2.0199703560025957</v>
      </c>
      <c r="N54" s="94">
        <f t="shared" si="8"/>
        <v>356958094.85383028</v>
      </c>
      <c r="O54" s="56">
        <f t="shared" si="9"/>
        <v>106.49172836851166</v>
      </c>
      <c r="P54" s="57">
        <f t="shared" si="5"/>
        <v>104.70570757714219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8.5445931201029115</v>
      </c>
      <c r="K55" s="51">
        <f t="shared" si="2"/>
        <v>2.0284250625362468</v>
      </c>
      <c r="L55" s="55">
        <f t="shared" si="3"/>
        <v>7.2453993046331508E-3</v>
      </c>
      <c r="M55" s="51">
        <f t="shared" si="4"/>
        <v>2.0211796632316137</v>
      </c>
      <c r="N55" s="94">
        <f t="shared" si="8"/>
        <v>350423416.97092134</v>
      </c>
      <c r="O55" s="56">
        <f t="shared" si="9"/>
        <v>106.76405553873758</v>
      </c>
      <c r="P55" s="57">
        <f t="shared" si="5"/>
        <v>104.9976703553876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8.5364179547344605</v>
      </c>
      <c r="K56" s="51">
        <f t="shared" si="2"/>
        <v>2.0295551293017979</v>
      </c>
      <c r="L56" s="55">
        <f t="shared" si="3"/>
        <v>7.1443756278539942E-3</v>
      </c>
      <c r="M56" s="51">
        <f t="shared" si="4"/>
        <v>2.022410753673944</v>
      </c>
      <c r="N56" s="94">
        <f t="shared" si="8"/>
        <v>343888739.0880127</v>
      </c>
      <c r="O56" s="56">
        <f t="shared" si="9"/>
        <v>107.04222535904314</v>
      </c>
      <c r="P56" s="57">
        <f t="shared" si="5"/>
        <v>105.29572850585049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8.5280859427360145</v>
      </c>
      <c r="K57" s="51">
        <f t="shared" si="2"/>
        <v>2.0307068772390271</v>
      </c>
      <c r="L57" s="55">
        <f t="shared" si="3"/>
        <v>7.0424769136889047E-3</v>
      </c>
      <c r="M57" s="51">
        <f t="shared" si="4"/>
        <v>2.0236644003253383</v>
      </c>
      <c r="N57" s="94">
        <f t="shared" si="8"/>
        <v>337354061.20510399</v>
      </c>
      <c r="O57" s="56">
        <f t="shared" si="9"/>
        <v>107.32647783898241</v>
      </c>
      <c r="P57" s="57">
        <f t="shared" si="5"/>
        <v>105.60011723081719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8.5195909477464404</v>
      </c>
      <c r="K58" s="51">
        <f t="shared" si="2"/>
        <v>2.0318811545873841</v>
      </c>
      <c r="L58" s="55">
        <f t="shared" si="3"/>
        <v>6.939738610187398E-3</v>
      </c>
      <c r="M58" s="51">
        <f t="shared" si="4"/>
        <v>2.0249414159771968</v>
      </c>
      <c r="N58" s="94">
        <f t="shared" si="8"/>
        <v>330819383.32219505</v>
      </c>
      <c r="O58" s="56">
        <f t="shared" si="9"/>
        <v>107.61706774225524</v>
      </c>
      <c r="P58" s="57">
        <f t="shared" si="5"/>
        <v>105.91108471033196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8.5109264660952402</v>
      </c>
      <c r="K59" s="51">
        <f t="shared" si="2"/>
        <v>2.0330788603601055</v>
      </c>
      <c r="L59" s="55">
        <f t="shared" si="3"/>
        <v>6.8362045691536906E-3</v>
      </c>
      <c r="M59" s="51">
        <f t="shared" si="4"/>
        <v>2.0262426557909516</v>
      </c>
      <c r="N59" s="94">
        <f t="shared" si="8"/>
        <v>324284705.43928653</v>
      </c>
      <c r="O59" s="56">
        <f t="shared" si="9"/>
        <v>107.91426580663344</v>
      </c>
      <c r="P59" s="57">
        <f t="shared" si="5"/>
        <v>106.22889300641351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8.502085596889561</v>
      </c>
      <c r="K60" s="51">
        <f t="shared" si="2"/>
        <v>2.0343009484791401</v>
      </c>
      <c r="L60" s="55">
        <f t="shared" si="3"/>
        <v>6.7319284167417373E-3</v>
      </c>
      <c r="M60" s="51">
        <f t="shared" si="4"/>
        <v>2.0275690200623986</v>
      </c>
      <c r="N60" s="94">
        <f t="shared" si="8"/>
        <v>317750027.55637723</v>
      </c>
      <c r="O60" s="56">
        <f t="shared" si="9"/>
        <v>108.21836009168679</v>
      </c>
      <c r="P60" s="57">
        <f t="shared" si="5"/>
        <v>106.55381904074332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8.4930610089927381</v>
      </c>
      <c r="K61" s="51">
        <f t="shared" si="2"/>
        <v>2.0355484323397546</v>
      </c>
      <c r="L61" s="55">
        <f t="shared" si="3"/>
        <v>6.6269751484640503E-3</v>
      </c>
      <c r="M61" s="51">
        <f t="shared" si="4"/>
        <v>2.0289214571912906</v>
      </c>
      <c r="N61" s="94">
        <f t="shared" si="8"/>
        <v>311215349.67346799</v>
      </c>
      <c r="O61" s="56">
        <f t="shared" si="9"/>
        <v>108.52965747063486</v>
      </c>
      <c r="P61" s="57">
        <f t="shared" si="5"/>
        <v>106.88615565255149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8.4838449044985129</v>
      </c>
      <c r="K62" s="51">
        <f t="shared" si="2"/>
        <v>2.0368223898595574</v>
      </c>
      <c r="L62" s="55">
        <f t="shared" si="3"/>
        <v>6.5214229862723995E-3</v>
      </c>
      <c r="M62" s="51">
        <f t="shared" si="4"/>
        <v>2.030300966873285</v>
      </c>
      <c r="N62" s="94">
        <f t="shared" si="8"/>
        <v>304680671.79055935</v>
      </c>
      <c r="O62" s="56">
        <f t="shared" si="9"/>
        <v>108.84848528513206</v>
      </c>
      <c r="P62" s="57">
        <f t="shared" si="5"/>
        <v>107.22621274421977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8.47442897824493</v>
      </c>
      <c r="K63" s="51">
        <f t="shared" si="2"/>
        <v>2.0381239690749604</v>
      </c>
      <c r="L63" s="55">
        <f t="shared" si="3"/>
        <v>6.415365541452292E-3</v>
      </c>
      <c r="M63" s="51">
        <f t="shared" si="4"/>
        <v>2.0317086035335081</v>
      </c>
      <c r="N63" s="94">
        <f t="shared" si="8"/>
        <v>298145993.90765065</v>
      </c>
      <c r="O63" s="56">
        <f t="shared" si="9"/>
        <v>109.17519318470428</v>
      </c>
      <c r="P63" s="57">
        <f t="shared" si="5"/>
        <v>107.57431852306884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8.464804372841229</v>
      </c>
      <c r="K64" s="51">
        <f t="shared" si="2"/>
        <v>2.0394543943578833</v>
      </c>
      <c r="L64" s="55">
        <f t="shared" si="3"/>
        <v>6.3089143339053119E-3</v>
      </c>
      <c r="M64" s="51">
        <f t="shared" si="4"/>
        <v>2.0331454800239781</v>
      </c>
      <c r="N64" s="94">
        <f t="shared" si="8"/>
        <v>291611316.02474135</v>
      </c>
      <c r="O64" s="56">
        <f t="shared" si="9"/>
        <v>109.51015517599839</v>
      </c>
      <c r="P64" s="57">
        <f t="shared" si="5"/>
        <v>107.93082084899814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8.454961628597415</v>
      </c>
      <c r="K65" s="51">
        <f t="shared" si="2"/>
        <v>2.0408149733370786</v>
      </c>
      <c r="L65" s="55">
        <f t="shared" si="3"/>
        <v>6.2022017259234525E-3</v>
      </c>
      <c r="M65" s="51">
        <f t="shared" si="4"/>
        <v>2.0346127716111551</v>
      </c>
      <c r="N65" s="94">
        <f t="shared" si="8"/>
        <v>285076638.14183307</v>
      </c>
      <c r="O65" s="56">
        <f t="shared" si="9"/>
        <v>109.85377191108802</v>
      </c>
      <c r="P65" s="57">
        <f t="shared" si="5"/>
        <v>108.29608869918852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8.4448906276471032</v>
      </c>
      <c r="K66" s="51">
        <f t="shared" ref="K66:K129" si="11">+$I$14+$I$13*J66</f>
        <v>2.0422071046221166</v>
      </c>
      <c r="L66" s="55">
        <f t="shared" ref="L66:L129" si="12">SQRT(2*$I$20*$I$17)*SQRT((1/$I$2)+((J66-$I$11)^2/$I$8))</f>
        <v>6.0953843366459729E-3</v>
      </c>
      <c r="M66" s="51">
        <f t="shared" ref="M66:M102" si="13">+$I$14+$I$13*J66-L66</f>
        <v>2.0361117202854708</v>
      </c>
      <c r="N66" s="94">
        <f t="shared" si="8"/>
        <v>278541960.25892466</v>
      </c>
      <c r="O66" s="56">
        <f t="shared" si="9"/>
        <v>110.20647324891932</v>
      </c>
      <c r="P66" s="57">
        <f t="shared" ref="P66:P102" si="14">10^M66</f>
        <v>108.67051376309321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8.4345805314363353</v>
      </c>
      <c r="K67" s="51">
        <f t="shared" si="11"/>
        <v>2.0436322864444181</v>
      </c>
      <c r="L67" s="55">
        <f t="shared" si="12"/>
        <v>5.9886470117385343E-3</v>
      </c>
      <c r="M67" s="51">
        <f t="shared" si="13"/>
        <v>2.0376436394326793</v>
      </c>
      <c r="N67" s="94">
        <f t="shared" ref="N67:N101" si="15">10^$J67</f>
        <v>272007282.37601584</v>
      </c>
      <c r="O67" s="56">
        <f t="shared" ref="O67:O102" si="16">10^K67</f>
        <v>110.56872112978094</v>
      </c>
      <c r="P67" s="57">
        <f t="shared" si="14"/>
        <v>109.05451218368141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8.4240197106101586</v>
      </c>
      <c r="K68" s="51">
        <f t="shared" si="11"/>
        <v>2.0450921263491448</v>
      </c>
      <c r="L68" s="55">
        <f t="shared" si="12"/>
        <v>5.8822074309256463E-3</v>
      </c>
      <c r="M68" s="51">
        <f t="shared" si="13"/>
        <v>2.0392099189182193</v>
      </c>
      <c r="N68" s="94">
        <f t="shared" si="15"/>
        <v>265472604.49310595</v>
      </c>
      <c r="O68" s="56">
        <f t="shared" si="16"/>
        <v>110.94101280960314</v>
      </c>
      <c r="P68" s="57">
        <f t="shared" si="14"/>
        <v>109.44852646462935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8.4131956661598277</v>
      </c>
      <c r="K69" s="51">
        <f t="shared" si="11"/>
        <v>2.0465883520951555</v>
      </c>
      <c r="L69" s="55">
        <f t="shared" si="12"/>
        <v>5.7763214429896181E-3</v>
      </c>
      <c r="M69" s="51">
        <f t="shared" si="13"/>
        <v>2.040812030652166</v>
      </c>
      <c r="N69" s="94">
        <f t="shared" si="15"/>
        <v>258937926.61019793</v>
      </c>
      <c r="O69" s="56">
        <f t="shared" si="16"/>
        <v>111.32388450924935</v>
      </c>
      <c r="P69" s="57">
        <f t="shared" si="14"/>
        <v>109.85302756835401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8.4020949404899028</v>
      </c>
      <c r="K70" s="51">
        <f t="shared" si="11"/>
        <v>2.048122823948348</v>
      </c>
      <c r="L70" s="55">
        <f t="shared" si="12"/>
        <v>5.6712892223926966E-3</v>
      </c>
      <c r="M70" s="51">
        <f t="shared" si="13"/>
        <v>2.0424515347259553</v>
      </c>
      <c r="N70" s="94">
        <f t="shared" si="15"/>
        <v>252403248.72728845</v>
      </c>
      <c r="O70" s="56">
        <f t="shared" si="16"/>
        <v>111.71791554403929</v>
      </c>
      <c r="P70" s="57">
        <f t="shared" si="14"/>
        <v>110.26851723709026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8.3907030168183354</v>
      </c>
      <c r="K71" s="51">
        <f t="shared" si="11"/>
        <v>2.0496975485877562</v>
      </c>
      <c r="L71" s="55">
        <f t="shared" si="12"/>
        <v>5.5674623418018807E-3</v>
      </c>
      <c r="M71" s="51">
        <f t="shared" si="13"/>
        <v>2.0441300862459544</v>
      </c>
      <c r="N71" s="94">
        <f t="shared" si="15"/>
        <v>245868570.84438014</v>
      </c>
      <c r="O71" s="56">
        <f t="shared" si="16"/>
        <v>112.12373301098897</v>
      </c>
      <c r="P71" s="57">
        <f t="shared" si="14"/>
        <v>110.69553057949558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8.3790042050231719</v>
      </c>
      <c r="K72" s="51">
        <f t="shared" si="11"/>
        <v>2.0513146948851477</v>
      </c>
      <c r="L72" s="55">
        <f t="shared" si="12"/>
        <v>5.4652518476375608E-3</v>
      </c>
      <c r="M72" s="51">
        <f t="shared" si="13"/>
        <v>2.0458494430375103</v>
      </c>
      <c r="N72" s="94">
        <f t="shared" si="15"/>
        <v>239333892.96147141</v>
      </c>
      <c r="O72" s="56">
        <f t="shared" si="16"/>
        <v>112.54201712618278</v>
      </c>
      <c r="P72" s="57">
        <f t="shared" si="14"/>
        <v>111.13463897982945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8.3669815116839334</v>
      </c>
      <c r="K73" s="51">
        <f t="shared" si="11"/>
        <v>2.0529766118694228</v>
      </c>
      <c r="L73" s="55">
        <f t="shared" si="12"/>
        <v>5.3651374073694193E-3</v>
      </c>
      <c r="M73" s="51">
        <f t="shared" si="13"/>
        <v>2.0476114744620535</v>
      </c>
      <c r="N73" s="94">
        <f t="shared" si="15"/>
        <v>232799215.07856214</v>
      </c>
      <c r="O73" s="56">
        <f t="shared" si="16"/>
        <v>112.97350732299786</v>
      </c>
      <c r="P73" s="57">
        <f t="shared" si="14"/>
        <v>111.586453407267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8.3546164916166248</v>
      </c>
      <c r="K74" s="51">
        <f t="shared" si="11"/>
        <v>2.0546858492491786</v>
      </c>
      <c r="L74" s="55">
        <f t="shared" si="12"/>
        <v>5.2676775623813621E-3</v>
      </c>
      <c r="M74" s="51">
        <f t="shared" si="13"/>
        <v>2.0494181716867974</v>
      </c>
      <c r="N74" s="94">
        <f t="shared" si="15"/>
        <v>226264537.19565374</v>
      </c>
      <c r="O74" s="56">
        <f t="shared" si="16"/>
        <v>113.41900924445629</v>
      </c>
      <c r="P74" s="57">
        <f t="shared" si="14"/>
        <v>112.05162823169151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8.3418890776470427</v>
      </c>
      <c r="K75" s="51">
        <f t="shared" si="11"/>
        <v>2.0564451809434274</v>
      </c>
      <c r="L75" s="55">
        <f t="shared" si="12"/>
        <v>5.1735210622153669E-3</v>
      </c>
      <c r="M75" s="51">
        <f t="shared" si="13"/>
        <v>2.0512716598812122</v>
      </c>
      <c r="N75" s="94">
        <f t="shared" si="15"/>
        <v>219729859.31274468</v>
      </c>
      <c r="O75" s="56">
        <f t="shared" si="16"/>
        <v>113.87940279092466</v>
      </c>
      <c r="P75" s="57">
        <f t="shared" si="14"/>
        <v>112.53086569231294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8.3287773846787285</v>
      </c>
      <c r="K76" s="51">
        <f t="shared" si="11"/>
        <v>2.0582576321656108</v>
      </c>
      <c r="L76" s="55">
        <f t="shared" si="12"/>
        <v>5.0834191672056968E-3</v>
      </c>
      <c r="M76" s="51">
        <f t="shared" si="13"/>
        <v>2.053174212998405</v>
      </c>
      <c r="N76" s="94">
        <f t="shared" si="15"/>
        <v>213195181.42983627</v>
      </c>
      <c r="O76" s="56">
        <f t="shared" si="16"/>
        <v>114.35565141921623</v>
      </c>
      <c r="P76" s="57">
        <f t="shared" si="14"/>
        <v>113.0249212203864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8.3152574832521129</v>
      </c>
      <c r="K77" s="51">
        <f t="shared" si="11"/>
        <v>2.0601265107249009</v>
      </c>
      <c r="L77" s="55">
        <f t="shared" si="12"/>
        <v>4.9982386791185421E-3</v>
      </c>
      <c r="M77" s="51">
        <f t="shared" si="13"/>
        <v>2.0551282720457822</v>
      </c>
      <c r="N77" s="94">
        <f t="shared" si="15"/>
        <v>206660503.54692706</v>
      </c>
      <c r="O77" s="56">
        <f t="shared" si="16"/>
        <v>114.84881293283048</v>
      </c>
      <c r="P77" s="57">
        <f t="shared" si="14"/>
        <v>113.53460989145709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8.3013031367104269</v>
      </c>
      <c r="K78" s="51">
        <f t="shared" si="11"/>
        <v>2.062055443358191</v>
      </c>
      <c r="L78" s="55">
        <f t="shared" si="12"/>
        <v>4.9189752874739734E-3</v>
      </c>
      <c r="M78" s="51">
        <f t="shared" si="13"/>
        <v>2.0571364680707172</v>
      </c>
      <c r="N78" s="94">
        <f t="shared" si="15"/>
        <v>200125825.66401801</v>
      </c>
      <c r="O78" s="56">
        <f t="shared" si="16"/>
        <v>115.3600520581913</v>
      </c>
      <c r="P78" s="57">
        <f t="shared" si="14"/>
        <v>114.06081438054719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8.2868854947197281</v>
      </c>
      <c r="K79" s="51">
        <f t="shared" si="11"/>
        <v>2.0640484180953358</v>
      </c>
      <c r="L79" s="55">
        <f t="shared" si="12"/>
        <v>4.8467666022906034E-3</v>
      </c>
      <c r="M79" s="51">
        <f t="shared" si="13"/>
        <v>2.0592016514930451</v>
      </c>
      <c r="N79" s="94">
        <f t="shared" si="15"/>
        <v>193591147.78110939</v>
      </c>
      <c r="O79" s="56">
        <f t="shared" si="16"/>
        <v>115.89065517182404</v>
      </c>
      <c r="P79" s="57">
        <f t="shared" si="14"/>
        <v>114.6044949197189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8.2719727341460541</v>
      </c>
      <c r="K80" s="51">
        <f t="shared" si="11"/>
        <v>2.0661098339013044</v>
      </c>
      <c r="L80" s="55">
        <f t="shared" si="12"/>
        <v>4.7829039927547697E-3</v>
      </c>
      <c r="M80" s="51">
        <f t="shared" si="13"/>
        <v>2.0613269299085495</v>
      </c>
      <c r="N80" s="94">
        <f t="shared" si="15"/>
        <v>187056469.89820045</v>
      </c>
      <c r="O80" s="56">
        <f t="shared" si="16"/>
        <v>116.44204763311741</v>
      </c>
      <c r="P80" s="57">
        <f t="shared" si="14"/>
        <v>115.1667019140055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8.2565296360517948</v>
      </c>
      <c r="K81" s="51">
        <f t="shared" si="11"/>
        <v>2.0682445591486758</v>
      </c>
      <c r="L81" s="55">
        <f t="shared" si="12"/>
        <v>4.7288420952831317E-3</v>
      </c>
      <c r="M81" s="51">
        <f t="shared" si="13"/>
        <v>2.0635157170533924</v>
      </c>
      <c r="N81" s="94">
        <f t="shared" si="15"/>
        <v>180521792.01529145</v>
      </c>
      <c r="O81" s="56">
        <f t="shared" si="16"/>
        <v>117.01581429306351</v>
      </c>
      <c r="P81" s="57">
        <f t="shared" si="14"/>
        <v>115.7485920579402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8.240517084670925</v>
      </c>
      <c r="K82" s="51">
        <f t="shared" si="11"/>
        <v>2.0704580008751314</v>
      </c>
      <c r="L82" s="55">
        <f t="shared" si="12"/>
        <v>4.6862046503157581E-3</v>
      </c>
      <c r="M82" s="51">
        <f t="shared" si="13"/>
        <v>2.0657717962248157</v>
      </c>
      <c r="N82" s="94">
        <f t="shared" si="15"/>
        <v>173987114.13238254</v>
      </c>
      <c r="O82" s="56">
        <f t="shared" si="16"/>
        <v>117.61372389997268</v>
      </c>
      <c r="P82" s="57">
        <f t="shared" si="14"/>
        <v>116.3514490047543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8.2238914704307149</v>
      </c>
      <c r="K83" s="51">
        <f t="shared" si="11"/>
        <v>2.0727561873047593</v>
      </c>
      <c r="L83" s="55">
        <f t="shared" si="12"/>
        <v>4.6567852645122984E-3</v>
      </c>
      <c r="M83" s="51">
        <f t="shared" si="13"/>
        <v>2.068099402040247</v>
      </c>
      <c r="N83" s="94">
        <f t="shared" si="15"/>
        <v>167452436.24947411</v>
      </c>
      <c r="O83" s="56">
        <f t="shared" si="16"/>
        <v>118.2377583208219</v>
      </c>
      <c r="P83" s="57">
        <f t="shared" si="14"/>
        <v>116.97670986127891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8.2066039740868195</v>
      </c>
      <c r="K84" s="51">
        <f t="shared" si="11"/>
        <v>2.0751458668032585</v>
      </c>
      <c r="L84" s="55">
        <f t="shared" si="12"/>
        <v>4.6425418930977789E-3</v>
      </c>
      <c r="M84" s="51">
        <f t="shared" si="13"/>
        <v>2.0705033249101605</v>
      </c>
      <c r="N84" s="94">
        <f t="shared" si="15"/>
        <v>160917758.36656502</v>
      </c>
      <c r="O84" s="56">
        <f t="shared" si="16"/>
        <v>118.89014775883531</v>
      </c>
      <c r="P84" s="57">
        <f t="shared" si="14"/>
        <v>117.62599899656654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8.1885997023778092</v>
      </c>
      <c r="K85" s="51">
        <f t="shared" si="11"/>
        <v>2.0776346273578552</v>
      </c>
      <c r="L85" s="55">
        <f t="shared" si="12"/>
        <v>4.6455844248871206E-3</v>
      </c>
      <c r="M85" s="51">
        <f t="shared" si="13"/>
        <v>2.072989042932968</v>
      </c>
      <c r="N85" s="94">
        <f t="shared" si="15"/>
        <v>154383080.48365611</v>
      </c>
      <c r="O85" s="56">
        <f t="shared" si="16"/>
        <v>119.5734134985216</v>
      </c>
      <c r="P85" s="57">
        <f t="shared" si="14"/>
        <v>118.30117084610437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8.1698166366373908</v>
      </c>
      <c r="K86" s="51">
        <f t="shared" si="11"/>
        <v>2.0802310419123948</v>
      </c>
      <c r="L86" s="55">
        <f t="shared" si="12"/>
        <v>4.6681558259588111E-3</v>
      </c>
      <c r="M86" s="51">
        <f t="shared" si="13"/>
        <v>2.0755628860864359</v>
      </c>
      <c r="N86" s="94">
        <f t="shared" si="15"/>
        <v>147848402.60074708</v>
      </c>
      <c r="O86" s="56">
        <f t="shared" si="16"/>
        <v>120.29042018392508</v>
      </c>
      <c r="P86" s="57">
        <f t="shared" si="14"/>
        <v>119.00436356757392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8.1501843435878456</v>
      </c>
      <c r="K87" s="51">
        <f t="shared" si="11"/>
        <v>2.0829448465765146</v>
      </c>
      <c r="L87" s="55">
        <f t="shared" si="12"/>
        <v>4.7126088584759744E-3</v>
      </c>
      <c r="M87" s="51">
        <f t="shared" si="13"/>
        <v>2.0782322377180384</v>
      </c>
      <c r="N87" s="94">
        <f t="shared" si="15"/>
        <v>141313724.71783823</v>
      </c>
      <c r="O87" s="56">
        <f t="shared" si="16"/>
        <v>121.04444028565973</v>
      </c>
      <c r="P87" s="57">
        <f t="shared" si="14"/>
        <v>119.7380655982047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8.1296223806913126</v>
      </c>
      <c r="K88" s="51">
        <f t="shared" si="11"/>
        <v>2.0857871610566034</v>
      </c>
      <c r="L88" s="55">
        <f t="shared" si="12"/>
        <v>4.7813822874535443E-3</v>
      </c>
      <c r="M88" s="51">
        <f t="shared" si="13"/>
        <v>2.0810057787691498</v>
      </c>
      <c r="N88" s="94">
        <f t="shared" si="15"/>
        <v>134779046.83492959</v>
      </c>
      <c r="O88" s="56">
        <f t="shared" si="16"/>
        <v>121.8392343135955</v>
      </c>
      <c r="P88" s="57">
        <f t="shared" si="14"/>
        <v>120.50519748164808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8.108038304881287</v>
      </c>
      <c r="K89" s="51">
        <f t="shared" si="11"/>
        <v>2.0887707639121715</v>
      </c>
      <c r="L89" s="55">
        <f t="shared" si="12"/>
        <v>4.8769824022052346E-3</v>
      </c>
      <c r="M89" s="51">
        <f t="shared" si="13"/>
        <v>2.0838937815099663</v>
      </c>
      <c r="N89" s="94">
        <f t="shared" si="15"/>
        <v>128244368.95202084</v>
      </c>
      <c r="O89" s="56">
        <f t="shared" si="16"/>
        <v>122.67915159956701</v>
      </c>
      <c r="P89" s="57">
        <f t="shared" si="14"/>
        <v>121.30921196127652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8.0853251600729052</v>
      </c>
      <c r="K90" s="51">
        <f t="shared" si="11"/>
        <v>2.0919104398614996</v>
      </c>
      <c r="L90" s="55">
        <f t="shared" si="12"/>
        <v>5.0019771983906055E-3</v>
      </c>
      <c r="M90" s="51">
        <f t="shared" si="13"/>
        <v>2.0869084626631089</v>
      </c>
      <c r="N90" s="94">
        <f t="shared" si="15"/>
        <v>121709691.06911176</v>
      </c>
      <c r="O90" s="56">
        <f t="shared" si="16"/>
        <v>123.56925828412668</v>
      </c>
      <c r="P90" s="57">
        <f t="shared" si="14"/>
        <v>122.15421655243351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8.0613582706463998</v>
      </c>
      <c r="K91" s="51">
        <f t="shared" si="11"/>
        <v>2.0952234230237803</v>
      </c>
      <c r="L91" s="55">
        <f t="shared" si="12"/>
        <v>5.1590113533895761E-3</v>
      </c>
      <c r="M91" s="51">
        <f t="shared" si="13"/>
        <v>2.0900644116703906</v>
      </c>
      <c r="N91" s="94">
        <f t="shared" si="15"/>
        <v>115175013.18620308</v>
      </c>
      <c r="O91" s="56">
        <f t="shared" si="16"/>
        <v>124.51550176799753</v>
      </c>
      <c r="P91" s="57">
        <f t="shared" si="14"/>
        <v>123.04512496293998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8.0359910973280471</v>
      </c>
      <c r="K92" s="51">
        <f t="shared" si="11"/>
        <v>2.0987299697676143</v>
      </c>
      <c r="L92" s="55">
        <f t="shared" si="12"/>
        <v>5.3508501327190422E-3</v>
      </c>
      <c r="M92" s="51">
        <f t="shared" si="13"/>
        <v>2.0933791196348954</v>
      </c>
      <c r="N92" s="94">
        <f t="shared" si="15"/>
        <v>108640335.30329417</v>
      </c>
      <c r="O92" s="56">
        <f t="shared" si="16"/>
        <v>125.52492477113064</v>
      </c>
      <c r="P92" s="57">
        <f t="shared" si="14"/>
        <v>123.98784726271697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8.009049805930065</v>
      </c>
      <c r="K93" s="51">
        <f t="shared" si="11"/>
        <v>2.1024541094831717</v>
      </c>
      <c r="L93" s="55">
        <f t="shared" si="12"/>
        <v>5.5804599844248284E-3</v>
      </c>
      <c r="M93" s="51">
        <f t="shared" si="13"/>
        <v>2.0968736494987468</v>
      </c>
      <c r="N93" s="94">
        <f t="shared" si="15"/>
        <v>102105657.42038554</v>
      </c>
      <c r="O93" s="56">
        <f t="shared" si="16"/>
        <v>126.60594799634903</v>
      </c>
      <c r="P93" s="57">
        <f t="shared" si="14"/>
        <v>124.98953417885004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7.9803260372543434</v>
      </c>
      <c r="K94" s="51">
        <f t="shared" si="11"/>
        <v>2.1064246440104704</v>
      </c>
      <c r="L94" s="55">
        <f t="shared" si="12"/>
        <v>5.851133673680624E-3</v>
      </c>
      <c r="M94" s="51">
        <f t="shared" si="13"/>
        <v>2.1005735103367895</v>
      </c>
      <c r="N94" s="94">
        <f t="shared" si="15"/>
        <v>95570979.537476718</v>
      </c>
      <c r="O94" s="56">
        <f t="shared" si="16"/>
        <v>127.76874942026437</v>
      </c>
      <c r="P94" s="57">
        <f t="shared" si="14"/>
        <v>126.05889919275207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7.9495671121940008</v>
      </c>
      <c r="K95" s="51">
        <f t="shared" si="11"/>
        <v>2.110676501604559</v>
      </c>
      <c r="L95" s="55">
        <f t="shared" si="12"/>
        <v>6.1666696134478885E-3</v>
      </c>
      <c r="M95" s="51">
        <f t="shared" si="13"/>
        <v>2.1045098319911113</v>
      </c>
      <c r="N95" s="94">
        <f t="shared" si="15"/>
        <v>89036301.65456745</v>
      </c>
      <c r="O95" s="56">
        <f t="shared" si="16"/>
        <v>129.02578249934712</v>
      </c>
      <c r="P95" s="57">
        <f t="shared" si="14"/>
        <v>127.20665480694171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7.9164624962848524</v>
      </c>
      <c r="K96" s="51">
        <f t="shared" si="11"/>
        <v>2.1152526079631704</v>
      </c>
      <c r="L96" s="55">
        <f t="shared" si="12"/>
        <v>6.5316201028171039E-3</v>
      </c>
      <c r="M96" s="51">
        <f t="shared" si="13"/>
        <v>2.1087209878603534</v>
      </c>
      <c r="N96" s="94">
        <f t="shared" si="15"/>
        <v>82501623.771658957</v>
      </c>
      <c r="O96" s="56">
        <f t="shared" si="16"/>
        <v>130.39249876279891</v>
      </c>
      <c r="P96" s="57">
        <f t="shared" si="14"/>
        <v>128.44611937539364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7.880624666744878</v>
      </c>
      <c r="K97" s="51">
        <f t="shared" si="11"/>
        <v>2.1202065310078231</v>
      </c>
      <c r="L97" s="55">
        <f t="shared" si="12"/>
        <v>6.9516335697333799E-3</v>
      </c>
      <c r="M97" s="51">
        <f t="shared" si="13"/>
        <v>2.1132548974380896</v>
      </c>
      <c r="N97" s="94">
        <f t="shared" si="15"/>
        <v>75966945.888749883</v>
      </c>
      <c r="O97" s="56">
        <f t="shared" si="16"/>
        <v>131.88837915168733</v>
      </c>
      <c r="P97" s="57">
        <f t="shared" si="14"/>
        <v>129.79408388556519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7.8415613517225529</v>
      </c>
      <c r="K98" s="51">
        <f t="shared" si="11"/>
        <v>2.1256063182988973</v>
      </c>
      <c r="L98" s="55">
        <f t="shared" si="12"/>
        <v>7.4339350557011165E-3</v>
      </c>
      <c r="M98" s="51">
        <f t="shared" si="13"/>
        <v>2.1181723832431962</v>
      </c>
      <c r="N98" s="94">
        <f t="shared" si="15"/>
        <v>69432268.005841389</v>
      </c>
      <c r="O98" s="56">
        <f t="shared" si="16"/>
        <v>133.53844609210051</v>
      </c>
      <c r="P98" s="57">
        <f t="shared" si="14"/>
        <v>131.27208500844108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7.7986340060754413</v>
      </c>
      <c r="K99" s="51">
        <f t="shared" si="11"/>
        <v>2.1315402369981253</v>
      </c>
      <c r="L99" s="55">
        <f t="shared" si="12"/>
        <v>7.9880238008935688E-3</v>
      </c>
      <c r="M99" s="51">
        <f t="shared" si="13"/>
        <v>2.123552213197232</v>
      </c>
      <c r="N99" s="94">
        <f t="shared" si="15"/>
        <v>62897590.122932367</v>
      </c>
      <c r="O99" s="56">
        <f t="shared" si="16"/>
        <v>135.37555091072915</v>
      </c>
      <c r="P99" s="57">
        <f t="shared" si="14"/>
        <v>132.90833370039326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7.750993424769054</v>
      </c>
      <c r="K100" s="51">
        <f t="shared" si="11"/>
        <v>2.1381256741360284</v>
      </c>
      <c r="L100" s="55">
        <f t="shared" si="12"/>
        <v>8.6267313366140963E-3</v>
      </c>
      <c r="M100" s="51">
        <f t="shared" si="13"/>
        <v>2.1294989427994144</v>
      </c>
      <c r="N100" s="94">
        <f t="shared" si="15"/>
        <v>56362912.240023531</v>
      </c>
      <c r="O100" s="56">
        <f t="shared" si="16"/>
        <v>137.44396464833201</v>
      </c>
      <c r="P100" s="57">
        <f t="shared" si="14"/>
        <v>134.74074453541371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7.6974754983982736</v>
      </c>
      <c r="K101" s="51">
        <f t="shared" si="11"/>
        <v>2.1455235465003275</v>
      </c>
      <c r="L101" s="55">
        <f t="shared" si="12"/>
        <v>9.367910894283682E-3</v>
      </c>
      <c r="M101" s="51">
        <f t="shared" si="13"/>
        <v>2.1361556356060438</v>
      </c>
      <c r="N101" s="94">
        <f t="shared" si="15"/>
        <v>49828234.357114568</v>
      </c>
      <c r="O101" s="56">
        <f t="shared" si="16"/>
        <v>139.8052712639207</v>
      </c>
      <c r="P101" s="57">
        <f t="shared" si="14"/>
        <v>136.82190585141046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7.636423263652838</v>
      </c>
      <c r="K102" s="51">
        <f t="shared" si="11"/>
        <v>2.1539628988973698</v>
      </c>
      <c r="L102" s="55">
        <f t="shared" si="12"/>
        <v>1.0237299421808937E-2</v>
      </c>
      <c r="M102" s="51">
        <f t="shared" si="13"/>
        <v>2.1437255994755611</v>
      </c>
      <c r="N102" s="94">
        <f>10^$J102</f>
        <v>43293556.474205777</v>
      </c>
      <c r="O102" s="56">
        <f t="shared" si="16"/>
        <v>142.54858113629828</v>
      </c>
      <c r="P102" s="57">
        <f t="shared" si="14"/>
        <v>139.22768419287993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8.8430840486860465</v>
      </c>
      <c r="K104" s="51">
        <f t="shared" si="11"/>
        <v>1.9871641628470387</v>
      </c>
      <c r="L104" s="55">
        <f t="shared" si="12"/>
        <v>1.1380562868244867E-2</v>
      </c>
      <c r="M104" s="51">
        <f>+$I$14+$I$13*J104+L104</f>
        <v>1.9985447257152835</v>
      </c>
      <c r="N104" s="94">
        <f t="shared" ref="N104:N167" si="17">10^$J104</f>
        <v>696761344.76509118</v>
      </c>
      <c r="O104" s="56">
        <f t="shared" ref="O104:O167" si="18">10^K104</f>
        <v>97.08768883127577</v>
      </c>
      <c r="P104" s="57">
        <f t="shared" ref="P104:P167" si="19">10^M104</f>
        <v>99.665471510166427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8.8389917342311222</v>
      </c>
      <c r="K105" s="51">
        <f t="shared" si="11"/>
        <v>1.9877298503103824</v>
      </c>
      <c r="L105" s="55">
        <f t="shared" si="12"/>
        <v>1.1320163844992936E-2</v>
      </c>
      <c r="M105" s="51">
        <f t="shared" ref="M105:M168" si="21">+$I$14+$I$13*J105+L105</f>
        <v>1.9990500141553753</v>
      </c>
      <c r="N105" s="94">
        <f t="shared" si="17"/>
        <v>690226666.88218105</v>
      </c>
      <c r="O105" s="56">
        <f t="shared" si="18"/>
        <v>97.214232167482535</v>
      </c>
      <c r="P105" s="57">
        <f t="shared" si="19"/>
        <v>99.78149674223863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8.8348604911859905</v>
      </c>
      <c r="K106" s="51">
        <f t="shared" si="11"/>
        <v>1.9883009189377812</v>
      </c>
      <c r="L106" s="55">
        <f t="shared" si="12"/>
        <v>1.1259256263197218E-2</v>
      </c>
      <c r="M106" s="51">
        <f t="shared" si="21"/>
        <v>1.9995601752009784</v>
      </c>
      <c r="N106" s="94">
        <f t="shared" si="17"/>
        <v>683691988.99927187</v>
      </c>
      <c r="O106" s="56">
        <f t="shared" si="18"/>
        <v>97.342146558260396</v>
      </c>
      <c r="P106" s="57">
        <f t="shared" si="19"/>
        <v>99.898777861627664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8.830689571806996</v>
      </c>
      <c r="K107" s="51">
        <f t="shared" si="11"/>
        <v>1.9888774720910891</v>
      </c>
      <c r="L107" s="55">
        <f t="shared" si="12"/>
        <v>1.1197832088933908E-2</v>
      </c>
      <c r="M107" s="51">
        <f t="shared" si="21"/>
        <v>2.0000753041800232</v>
      </c>
      <c r="N107" s="94">
        <f t="shared" si="17"/>
        <v>677157311.11636221</v>
      </c>
      <c r="O107" s="56">
        <f t="shared" si="18"/>
        <v>97.471460177768549</v>
      </c>
      <c r="P107" s="57">
        <f t="shared" si="19"/>
        <v>100.01734093160195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8.8264782065973115</v>
      </c>
      <c r="K108" s="51">
        <f t="shared" si="11"/>
        <v>1.9894596161391387</v>
      </c>
      <c r="L108" s="55">
        <f t="shared" si="12"/>
        <v>1.1135883122648835E-2</v>
      </c>
      <c r="M108" s="51">
        <f t="shared" si="21"/>
        <v>2.0005954992617876</v>
      </c>
      <c r="N108" s="94">
        <f t="shared" si="17"/>
        <v>670622633.2334553</v>
      </c>
      <c r="O108" s="56">
        <f t="shared" si="18"/>
        <v>97.602202058140335</v>
      </c>
      <c r="P108" s="57">
        <f t="shared" si="19"/>
        <v>100.13721282307894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8.8222256034548785</v>
      </c>
      <c r="K109" s="51">
        <f t="shared" si="11"/>
        <v>1.9900474605755201</v>
      </c>
      <c r="L109" s="55">
        <f t="shared" si="12"/>
        <v>1.1073400996195951E-2</v>
      </c>
      <c r="M109" s="51">
        <f t="shared" si="21"/>
        <v>2.001120861571716</v>
      </c>
      <c r="N109" s="94">
        <f t="shared" si="17"/>
        <v>664087955.35054648</v>
      </c>
      <c r="O109" s="56">
        <f t="shared" si="18"/>
        <v>97.734402124274581</v>
      </c>
      <c r="P109" s="57">
        <f t="shared" si="19"/>
        <v>100.25842124819563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8.8179309467782367</v>
      </c>
      <c r="K110" s="51">
        <f t="shared" si="11"/>
        <v>1.9906411181421859</v>
      </c>
      <c r="L110" s="55">
        <f t="shared" si="12"/>
        <v>1.1010377169955655E-2</v>
      </c>
      <c r="M110" s="51">
        <f t="shared" si="21"/>
        <v>2.0016514953121414</v>
      </c>
      <c r="N110" s="94">
        <f t="shared" si="17"/>
        <v>657553277.46763873</v>
      </c>
      <c r="O110" s="56">
        <f t="shared" si="18"/>
        <v>97.868091230394995</v>
      </c>
      <c r="P110" s="57">
        <f t="shared" si="19"/>
        <v>100.38099479564269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8.813593396527672</v>
      </c>
      <c r="K111" s="51">
        <f t="shared" si="11"/>
        <v>1.9912407049592293</v>
      </c>
      <c r="L111" s="55">
        <f t="shared" si="12"/>
        <v>1.094680293005431E-2</v>
      </c>
      <c r="M111" s="51">
        <f t="shared" si="21"/>
        <v>2.0021875078892837</v>
      </c>
      <c r="N111" s="94">
        <f t="shared" si="17"/>
        <v>651018599.58472729</v>
      </c>
      <c r="O111" s="56">
        <f t="shared" si="18"/>
        <v>98.003301198487833</v>
      </c>
      <c r="P111" s="57">
        <f t="shared" si="19"/>
        <v>100.50496296787462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8.8092120872390272</v>
      </c>
      <c r="K112" s="51">
        <f t="shared" si="11"/>
        <v>1.9918463406612061</v>
      </c>
      <c r="L112" s="55">
        <f t="shared" si="12"/>
        <v>1.0882669385710678E-2</v>
      </c>
      <c r="M112" s="51">
        <f t="shared" si="21"/>
        <v>2.0027290100469166</v>
      </c>
      <c r="N112" s="94">
        <f t="shared" si="17"/>
        <v>644483921.70181775</v>
      </c>
      <c r="O112" s="56">
        <f t="shared" si="18"/>
        <v>98.14006485873324</v>
      </c>
      <c r="P112" s="57">
        <f t="shared" si="19"/>
        <v>100.63035622031578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8.8047861269872456</v>
      </c>
      <c r="K113" s="51">
        <f t="shared" si="11"/>
        <v>1.9924581485404071</v>
      </c>
      <c r="L113" s="55">
        <f t="shared" si="12"/>
        <v>1.0817967466737357E-2</v>
      </c>
      <c r="M113" s="51">
        <f t="shared" si="21"/>
        <v>2.0032761160071444</v>
      </c>
      <c r="N113" s="94">
        <f t="shared" si="17"/>
        <v>637949243.81891096</v>
      </c>
      <c r="O113" s="56">
        <f t="shared" si="18"/>
        <v>98.278416092055465</v>
      </c>
      <c r="P113" s="57">
        <f t="shared" si="19"/>
        <v>100.75720600269598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8.8003145962965572</v>
      </c>
      <c r="K114" s="51">
        <f t="shared" si="11"/>
        <v>1.9930762556975039</v>
      </c>
      <c r="L114" s="55">
        <f t="shared" si="12"/>
        <v>1.0752687921229877E-2</v>
      </c>
      <c r="M114" s="51">
        <f t="shared" si="21"/>
        <v>2.0038289436187338</v>
      </c>
      <c r="N114" s="94">
        <f t="shared" si="17"/>
        <v>631414565.93600023</v>
      </c>
      <c r="O114" s="56">
        <f t="shared" si="18"/>
        <v>98.418389874925751</v>
      </c>
      <c r="P114" s="57">
        <f t="shared" si="19"/>
        <v>100.88554480265176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8.7957965469939836</v>
      </c>
      <c r="K115" s="51">
        <f t="shared" si="11"/>
        <v>1.9937007932000312</v>
      </c>
      <c r="L115" s="55">
        <f t="shared" si="12"/>
        <v>1.068682131348048E-2</v>
      </c>
      <c r="M115" s="51">
        <f t="shared" si="21"/>
        <v>2.0043876145135116</v>
      </c>
      <c r="N115" s="94">
        <f t="shared" si="17"/>
        <v>624879888.05309212</v>
      </c>
      <c r="O115" s="56">
        <f t="shared" si="18"/>
        <v>98.560022326561537</v>
      </c>
      <c r="P115" s="57">
        <f t="shared" si="19"/>
        <v>101.01540619174851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8.7912310010025649</v>
      </c>
      <c r="K116" s="51">
        <f t="shared" si="11"/>
        <v>1.9943318962492012</v>
      </c>
      <c r="L116" s="55">
        <f t="shared" si="12"/>
        <v>1.0620358022158266E-2</v>
      </c>
      <c r="M116" s="51">
        <f t="shared" si="21"/>
        <v>2.0049522542713594</v>
      </c>
      <c r="N116" s="94">
        <f t="shared" si="17"/>
        <v>618345210.17018378</v>
      </c>
      <c r="O116" s="56">
        <f t="shared" si="18"/>
        <v>98.7033507586778</v>
      </c>
      <c r="P116" s="57">
        <f t="shared" si="19"/>
        <v>101.14682487408534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8.7866169490704866</v>
      </c>
      <c r="K117" s="51">
        <f t="shared" si="11"/>
        <v>1.9949697043555781</v>
      </c>
      <c r="L117" s="55">
        <f t="shared" si="12"/>
        <v>1.0553288238803655E-2</v>
      </c>
      <c r="M117" s="51">
        <f t="shared" si="21"/>
        <v>2.0055229925943818</v>
      </c>
      <c r="N117" s="94">
        <f t="shared" si="17"/>
        <v>611810532.28727734</v>
      </c>
      <c r="O117" s="56">
        <f t="shared" si="18"/>
        <v>98.848413727956157</v>
      </c>
      <c r="P117" s="57">
        <f t="shared" si="19"/>
        <v>101.27983673765938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8.7819533494319586</v>
      </c>
      <c r="K118" s="51">
        <f t="shared" si="11"/>
        <v>1.9956143615241873</v>
      </c>
      <c r="L118" s="55">
        <f t="shared" si="12"/>
        <v>1.0485601966691056E-2</v>
      </c>
      <c r="M118" s="51">
        <f t="shared" si="21"/>
        <v>2.0060999634908785</v>
      </c>
      <c r="N118" s="94">
        <f t="shared" si="17"/>
        <v>605275854.40436625</v>
      </c>
      <c r="O118" s="56">
        <f t="shared" si="18"/>
        <v>98.995251091410921</v>
      </c>
      <c r="P118" s="57">
        <f t="shared" si="19"/>
        <v>101.41447890868091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8.7772391263954326</v>
      </c>
      <c r="K119" s="51">
        <f t="shared" si="11"/>
        <v>1.9962660164496684</v>
      </c>
      <c r="L119" s="55">
        <f t="shared" si="12"/>
        <v>1.0417289020121699E-2</v>
      </c>
      <c r="M119" s="51">
        <f t="shared" si="21"/>
        <v>2.0066833054697901</v>
      </c>
      <c r="N119" s="94">
        <f t="shared" si="17"/>
        <v>598741176.52145731</v>
      </c>
      <c r="O119" s="56">
        <f t="shared" si="18"/>
        <v>99.143904064845955</v>
      </c>
      <c r="P119" s="57">
        <f t="shared" si="19"/>
        <v>101.5507898090456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8.7724731688543205</v>
      </c>
      <c r="K120" s="51">
        <f t="shared" si="11"/>
        <v>1.9969248227221414</v>
      </c>
      <c r="L120" s="55">
        <f t="shared" si="12"/>
        <v>1.0348339024215699E-2</v>
      </c>
      <c r="M120" s="51">
        <f t="shared" si="21"/>
        <v>2.0072731617463573</v>
      </c>
      <c r="N120" s="94">
        <f t="shared" si="17"/>
        <v>592206498.63854921</v>
      </c>
      <c r="O120" s="56">
        <f t="shared" si="18"/>
        <v>99.294415284610778</v>
      </c>
      <c r="P120" s="57">
        <f t="shared" si="19"/>
        <v>101.68880921718824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8.7676543287151034</v>
      </c>
      <c r="K121" s="51">
        <f t="shared" si="11"/>
        <v>1.9975909390444913</v>
      </c>
      <c r="L121" s="55">
        <f t="shared" si="12"/>
        <v>1.027874141528331E-2</v>
      </c>
      <c r="M121" s="51">
        <f t="shared" si="21"/>
        <v>2.0078696804597747</v>
      </c>
      <c r="N121" s="94">
        <f t="shared" si="17"/>
        <v>585671820.755638</v>
      </c>
      <c r="O121" s="56">
        <f t="shared" si="18"/>
        <v>99.446828872879451</v>
      </c>
      <c r="P121" s="57">
        <f t="shared" si="19"/>
        <v>101.82857833255991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8.7627814192372586</v>
      </c>
      <c r="K122" s="51">
        <f t="shared" si="11"/>
        <v>1.9982645294618426</v>
      </c>
      <c r="L122" s="55">
        <f t="shared" si="12"/>
        <v>1.0208485441865355E-2</v>
      </c>
      <c r="M122" s="51">
        <f t="shared" si="21"/>
        <v>2.008473014903708</v>
      </c>
      <c r="N122" s="94">
        <f t="shared" si="17"/>
        <v>579137142.87273002</v>
      </c>
      <c r="O122" s="56">
        <f t="shared" si="18"/>
        <v>99.601190506696895</v>
      </c>
      <c r="P122" s="57">
        <f t="shared" si="19"/>
        <v>101.97013984399229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8.7578532132789668</v>
      </c>
      <c r="K123" s="51">
        <f t="shared" si="11"/>
        <v>1.9989457636040595</v>
      </c>
      <c r="L123" s="55">
        <f t="shared" si="12"/>
        <v>1.0137560166544551E-2</v>
      </c>
      <c r="M123" s="51">
        <f t="shared" si="21"/>
        <v>2.0090833237706041</v>
      </c>
      <c r="N123" s="94">
        <f t="shared" si="17"/>
        <v>572602464.98982263</v>
      </c>
      <c r="O123" s="56">
        <f t="shared" si="18"/>
        <v>99.757547491053884</v>
      </c>
      <c r="P123" s="57">
        <f t="shared" si="19"/>
        <v>102.11353800223584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8.7528684414421569</v>
      </c>
      <c r="K124" s="51">
        <f t="shared" si="11"/>
        <v>1.9996348169421576</v>
      </c>
      <c r="L124" s="55">
        <f t="shared" si="12"/>
        <v>1.0065954468644705E-2</v>
      </c>
      <c r="M124" s="51">
        <f t="shared" si="21"/>
        <v>2.0097007714108024</v>
      </c>
      <c r="N124" s="94">
        <f t="shared" si="17"/>
        <v>566067787.10691392</v>
      </c>
      <c r="O124" s="56">
        <f t="shared" si="18"/>
        <v>99.915948836275888</v>
      </c>
      <c r="P124" s="57">
        <f t="shared" si="19"/>
        <v>102.25881869698144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8.747825790109852</v>
      </c>
      <c r="K125" s="51">
        <f t="shared" si="11"/>
        <v>2.0003318710596059</v>
      </c>
      <c r="L125" s="55">
        <f t="shared" si="12"/>
        <v>9.9936570479495345E-3</v>
      </c>
      <c r="M125" s="51">
        <f t="shared" si="21"/>
        <v>2.0103255281075554</v>
      </c>
      <c r="N125" s="94">
        <f t="shared" si="17"/>
        <v>559533109.22400439</v>
      </c>
      <c r="O125" s="56">
        <f t="shared" si="18"/>
        <v>100.07644534003182</v>
      </c>
      <c r="P125" s="57">
        <f t="shared" si="19"/>
        <v>102.40602953870561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8.7427238993682188</v>
      </c>
      <c r="K126" s="51">
        <f t="shared" si="11"/>
        <v>2.0010371139395655</v>
      </c>
      <c r="L126" s="55">
        <f t="shared" si="12"/>
        <v>9.9206564295912739E-3</v>
      </c>
      <c r="M126" s="51">
        <f t="shared" si="21"/>
        <v>2.0109577703691568</v>
      </c>
      <c r="N126" s="94">
        <f t="shared" si="17"/>
        <v>552998431.34109581</v>
      </c>
      <c r="O126" s="56">
        <f t="shared" si="18"/>
        <v>100.23908967429881</v>
      </c>
      <c r="P126" s="57">
        <f t="shared" si="19"/>
        <v>102.55521994570853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8.7375613608051115</v>
      </c>
      <c r="K127" s="51">
        <f t="shared" si="11"/>
        <v>2.0017507402692005</v>
      </c>
      <c r="L127" s="55">
        <f t="shared" si="12"/>
        <v>9.8469409702801707E-3</v>
      </c>
      <c r="M127" s="51">
        <f t="shared" si="21"/>
        <v>2.0115976812394809</v>
      </c>
      <c r="N127" s="94">
        <f t="shared" si="17"/>
        <v>546463753.45818722</v>
      </c>
      <c r="O127" s="56">
        <f t="shared" si="18"/>
        <v>100.40393647764188</v>
      </c>
      <c r="P127" s="57">
        <f t="shared" si="19"/>
        <v>102.70644123674589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8.732336715176185</v>
      </c>
      <c r="K128" s="51">
        <f t="shared" si="11"/>
        <v>2.0024729517622939</v>
      </c>
      <c r="L128" s="55">
        <f t="shared" si="12"/>
        <v>9.7724988660693041E-3</v>
      </c>
      <c r="M128" s="51">
        <f t="shared" si="21"/>
        <v>2.0122454506283631</v>
      </c>
      <c r="N128" s="94">
        <f t="shared" si="17"/>
        <v>539929075.57527697</v>
      </c>
      <c r="O128" s="56">
        <f t="shared" si="18"/>
        <v>100.57104245320338</v>
      </c>
      <c r="P128" s="57">
        <f t="shared" si="19"/>
        <v>102.85974672969579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8.7270484499289083</v>
      </c>
      <c r="K129" s="51">
        <f t="shared" si="11"/>
        <v>2.0032039575015084</v>
      </c>
      <c r="L129" s="55">
        <f t="shared" si="12"/>
        <v>9.6973181618763282E-3</v>
      </c>
      <c r="M129" s="51">
        <f t="shared" si="21"/>
        <v>2.0129012756633848</v>
      </c>
      <c r="N129" s="94">
        <f t="shared" si="17"/>
        <v>533394397.69236803</v>
      </c>
      <c r="O129" s="56">
        <f t="shared" si="18"/>
        <v>100.74046647282925</v>
      </c>
      <c r="P129" s="57">
        <f t="shared" si="19"/>
        <v>103.01519184674241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8.7216949965739605</v>
      </c>
      <c r="K130" s="51">
        <f t="shared" ref="K130:K193" si="22">+$I$14+$I$13*J130</f>
        <v>2.0039439743017438</v>
      </c>
      <c r="L130" s="55">
        <f t="shared" ref="L130:L193" si="23">SQRT(2*$I$20*$I$17)*SQRT((1/$I$2)+((J130-$I$11)^2/$I$8))</f>
        <v>9.6213867630146072E-3</v>
      </c>
      <c r="M130" s="51">
        <f t="shared" si="21"/>
        <v>2.0135653610647584</v>
      </c>
      <c r="N130" s="94">
        <f t="shared" si="17"/>
        <v>526859719.80945897</v>
      </c>
      <c r="O130" s="56">
        <f t="shared" si="18"/>
        <v>100.91226968779577</v>
      </c>
      <c r="P130" s="57">
        <f t="shared" si="19"/>
        <v>103.17283422660097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8.7162747278925892</v>
      </c>
      <c r="K131" s="51">
        <f t="shared" si="22"/>
        <v>2.0046932270961664</v>
      </c>
      <c r="L131" s="55">
        <f t="shared" si="23"/>
        <v>9.5446924490217317E-3</v>
      </c>
      <c r="M131" s="51">
        <f t="shared" si="21"/>
        <v>2.014237919545188</v>
      </c>
      <c r="N131" s="94">
        <f t="shared" si="17"/>
        <v>520325041.92655158</v>
      </c>
      <c r="O131" s="56">
        <f t="shared" si="18"/>
        <v>101.08651564664305</v>
      </c>
      <c r="P131" s="57">
        <f t="shared" si="19"/>
        <v>103.33273384436315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8.7107859549674682</v>
      </c>
      <c r="K132" s="51">
        <f t="shared" si="22"/>
        <v>2.0054519493466385</v>
      </c>
      <c r="L132" s="55">
        <f t="shared" si="23"/>
        <v>9.4672228901137925E-3</v>
      </c>
      <c r="M132" s="51">
        <f t="shared" si="21"/>
        <v>2.0149191722367523</v>
      </c>
      <c r="N132" s="94">
        <f t="shared" si="17"/>
        <v>513790364.04364085</v>
      </c>
      <c r="O132" s="56">
        <f t="shared" si="18"/>
        <v>101.26327042066934</v>
      </c>
      <c r="P132" s="57">
        <f t="shared" si="19"/>
        <v>103.49495313959568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8.7052269240235471</v>
      </c>
      <c r="K133" s="51">
        <f t="shared" si="22"/>
        <v>2.0062203834804166</v>
      </c>
      <c r="L133" s="55">
        <f t="shared" si="23"/>
        <v>9.3889656666413732E-3</v>
      </c>
      <c r="M133" s="51">
        <f t="shared" si="21"/>
        <v>2.0156093491470579</v>
      </c>
      <c r="N133" s="94">
        <f t="shared" si="17"/>
        <v>507255686.16073328</v>
      </c>
      <c r="O133" s="56">
        <f t="shared" si="18"/>
        <v>101.44260273768523</v>
      </c>
      <c r="P133" s="57">
        <f t="shared" si="19"/>
        <v>103.65955715338958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8.6995958130640414</v>
      </c>
      <c r="K134" s="51">
        <f t="shared" si="22"/>
        <v>2.0069987813551586</v>
      </c>
      <c r="L134" s="55">
        <f t="shared" si="23"/>
        <v>9.30990829197542E-3</v>
      </c>
      <c r="M134" s="51">
        <f t="shared" si="21"/>
        <v>2.0163086896471341</v>
      </c>
      <c r="N134" s="94">
        <f t="shared" si="17"/>
        <v>500721008.2778253</v>
      </c>
      <c r="O134" s="56">
        <f t="shared" si="18"/>
        <v>101.62458412468762</v>
      </c>
      <c r="P134" s="57">
        <f t="shared" si="19"/>
        <v>103.82661367512488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8.6938907282854778</v>
      </c>
      <c r="K135" s="51">
        <f t="shared" si="22"/>
        <v>2.0077874047544833</v>
      </c>
      <c r="L135" s="55">
        <f t="shared" si="23"/>
        <v>9.2300382393147133E-3</v>
      </c>
      <c r="M135" s="51">
        <f t="shared" si="21"/>
        <v>2.0170174429937981</v>
      </c>
      <c r="N135" s="94">
        <f t="shared" si="17"/>
        <v>494186330.39491409</v>
      </c>
      <c r="O135" s="56">
        <f t="shared" si="18"/>
        <v>101.80928906017472</v>
      </c>
      <c r="P135" s="57">
        <f t="shared" si="19"/>
        <v>103.99619339979812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8.6881097002541132</v>
      </c>
      <c r="K136" s="51">
        <f t="shared" si="22"/>
        <v>2.0085865259165061</v>
      </c>
      <c r="L136" s="55">
        <f t="shared" si="23"/>
        <v>9.1493429729766693E-3</v>
      </c>
      <c r="M136" s="51">
        <f t="shared" si="21"/>
        <v>2.0177358688894826</v>
      </c>
      <c r="N136" s="94">
        <f t="shared" si="17"/>
        <v>487651652.51200575</v>
      </c>
      <c r="O136" s="56">
        <f t="shared" si="18"/>
        <v>101.99679513688685</v>
      </c>
      <c r="P136" s="57">
        <f t="shared" si="19"/>
        <v>104.16837009684086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8.6822506798244099</v>
      </c>
      <c r="K137" s="51">
        <f t="shared" si="22"/>
        <v>2.0093964280980381</v>
      </c>
      <c r="L137" s="55">
        <f t="shared" si="23"/>
        <v>9.0678099848158812E-3</v>
      </c>
      <c r="M137" s="51">
        <f t="shared" si="21"/>
        <v>2.0184642380828541</v>
      </c>
      <c r="N137" s="94">
        <f t="shared" si="17"/>
        <v>481116974.62909853</v>
      </c>
      <c r="O137" s="56">
        <f t="shared" si="18"/>
        <v>102.18718323584156</v>
      </c>
      <c r="P137" s="57">
        <f t="shared" si="19"/>
        <v>104.34322079146585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8.6763115337784118</v>
      </c>
      <c r="K138" s="51">
        <f t="shared" si="22"/>
        <v>2.010217406177361</v>
      </c>
      <c r="L138" s="55">
        <f t="shared" si="23"/>
        <v>8.985426836509991E-3</v>
      </c>
      <c r="M138" s="51">
        <f t="shared" si="21"/>
        <v>2.0192028330138712</v>
      </c>
      <c r="N138" s="94">
        <f t="shared" si="17"/>
        <v>474582296.74618983</v>
      </c>
      <c r="O138" s="56">
        <f t="shared" si="18"/>
        <v>102.38053771260903</v>
      </c>
      <c r="P138" s="57">
        <f t="shared" si="19"/>
        <v>104.52082595967349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8.6702900401628096</v>
      </c>
      <c r="K139" s="51">
        <f t="shared" si="22"/>
        <v>2.0110497672987924</v>
      </c>
      <c r="L139" s="55">
        <f t="shared" si="23"/>
        <v>8.9021812085623049E-3</v>
      </c>
      <c r="M139" s="51">
        <f t="shared" si="21"/>
        <v>2.0199519485073547</v>
      </c>
      <c r="N139" s="94">
        <f t="shared" si="17"/>
        <v>468047618.8632803</v>
      </c>
      <c r="O139" s="56">
        <f t="shared" si="18"/>
        <v>102.57694659687175</v>
      </c>
      <c r="P139" s="57">
        <f t="shared" si="19"/>
        <v>104.70126973818914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8.6641838832981577</v>
      </c>
      <c r="K140" s="51">
        <f t="shared" si="22"/>
        <v>2.0118938315625705</v>
      </c>
      <c r="L140" s="55">
        <f t="shared" si="23"/>
        <v>8.8180609569974318E-3</v>
      </c>
      <c r="M140" s="51">
        <f t="shared" si="21"/>
        <v>2.020711892519568</v>
      </c>
      <c r="N140" s="94">
        <f t="shared" si="17"/>
        <v>461512940.98037153</v>
      </c>
      <c r="O140" s="56">
        <f t="shared" si="18"/>
        <v>102.77650180641612</v>
      </c>
      <c r="P140" s="57">
        <f t="shared" si="19"/>
        <v>104.88464015073279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8.6579906484322144</v>
      </c>
      <c r="K141" s="51">
        <f t="shared" si="22"/>
        <v>2.0127499327639318</v>
      </c>
      <c r="L141" s="55">
        <f t="shared" si="23"/>
        <v>8.7330541788745129E-3</v>
      </c>
      <c r="M141" s="51">
        <f t="shared" si="21"/>
        <v>2.0214829869428064</v>
      </c>
      <c r="N141" s="94">
        <f t="shared" si="17"/>
        <v>454978263.09746307</v>
      </c>
      <c r="O141" s="56">
        <f t="shared" si="18"/>
        <v>102.97929937682082</v>
      </c>
      <c r="P141" s="57">
        <f t="shared" si="19"/>
        <v>105.07102935218083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8.651707816006514</v>
      </c>
      <c r="K142" s="51">
        <f t="shared" si="22"/>
        <v>2.0136184191856512</v>
      </c>
      <c r="L142" s="55">
        <f t="shared" si="23"/>
        <v>8.6471492879137864E-3</v>
      </c>
      <c r="M142" s="51">
        <f t="shared" si="21"/>
        <v>2.0222655684735651</v>
      </c>
      <c r="N142" s="94">
        <f t="shared" si="17"/>
        <v>448443585.2145533</v>
      </c>
      <c r="O142" s="56">
        <f t="shared" si="18"/>
        <v>103.18543970823644</v>
      </c>
      <c r="P142" s="57">
        <f t="shared" si="19"/>
        <v>105.26053389236075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8.6453327555020874</v>
      </c>
      <c r="K143" s="51">
        <f t="shared" si="22"/>
        <v>2.0144996544487608</v>
      </c>
      <c r="L143" s="55">
        <f t="shared" si="23"/>
        <v>8.5603351017312923E-3</v>
      </c>
      <c r="M143" s="51">
        <f t="shared" si="21"/>
        <v>2.0230599895504922</v>
      </c>
      <c r="N143" s="94">
        <f t="shared" si="17"/>
        <v>441908907.33164567</v>
      </c>
      <c r="O143" s="56">
        <f t="shared" si="18"/>
        <v>103.39502783079955</v>
      </c>
      <c r="P143" s="57">
        <f t="shared" si="19"/>
        <v>105.45325500141863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8.6388627188267098</v>
      </c>
      <c r="K144" s="51">
        <f t="shared" si="22"/>
        <v>2.0153940184266395</v>
      </c>
      <c r="L144" s="55">
        <f t="shared" si="23"/>
        <v>8.4726009424087208E-3</v>
      </c>
      <c r="M144" s="51">
        <f t="shared" si="21"/>
        <v>2.023866619369048</v>
      </c>
      <c r="N144" s="94">
        <f t="shared" si="17"/>
        <v>435374229.44873631</v>
      </c>
      <c r="O144" s="56">
        <f t="shared" si="18"/>
        <v>103.60817369038519</v>
      </c>
      <c r="P144" s="57">
        <f t="shared" si="19"/>
        <v>105.64929889892751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8.6322948332020939</v>
      </c>
      <c r="K145" s="51">
        <f t="shared" si="22"/>
        <v>2.0163019082282281</v>
      </c>
      <c r="L145" s="55">
        <f t="shared" si="23"/>
        <v>8.3839367523961764E-3</v>
      </c>
      <c r="M145" s="51">
        <f t="shared" si="21"/>
        <v>2.0246858449806244</v>
      </c>
      <c r="N145" s="94">
        <f t="shared" si="17"/>
        <v>428839551.56582898</v>
      </c>
      <c r="O145" s="56">
        <f t="shared" si="18"/>
        <v>103.82499245658967</v>
      </c>
      <c r="P145" s="57">
        <f t="shared" si="19"/>
        <v>105.84877712916568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8.6256260935049074</v>
      </c>
      <c r="K146" s="51">
        <f t="shared" si="22"/>
        <v>2.017223739256746</v>
      </c>
      <c r="L146" s="55">
        <f t="shared" si="23"/>
        <v>8.2943332280602869E-3</v>
      </c>
      <c r="M146" s="51">
        <f t="shared" si="21"/>
        <v>2.0255180724848065</v>
      </c>
      <c r="N146" s="94">
        <f t="shared" si="17"/>
        <v>422304873.68291765</v>
      </c>
      <c r="O146" s="56">
        <f t="shared" si="18"/>
        <v>104.04560485504135</v>
      </c>
      <c r="P146" s="57">
        <f t="shared" si="19"/>
        <v>106.05180692529039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8.6188533540105627</v>
      </c>
      <c r="K147" s="51">
        <f t="shared" si="22"/>
        <v>2.0181599463509574</v>
      </c>
      <c r="L147" s="55">
        <f t="shared" si="23"/>
        <v>8.2037819735602136E-3</v>
      </c>
      <c r="M147" s="51">
        <f t="shared" si="21"/>
        <v>2.0263637283245175</v>
      </c>
      <c r="N147" s="94">
        <f t="shared" si="17"/>
        <v>415770195.8000102</v>
      </c>
      <c r="O147" s="56">
        <f t="shared" si="18"/>
        <v>104.27013752636863</v>
      </c>
      <c r="P147" s="57">
        <f t="shared" si="19"/>
        <v>106.25851160546618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8.6119733194829404</v>
      </c>
      <c r="K148" s="51">
        <f t="shared" si="22"/>
        <v>2.019110985016856</v>
      </c>
      <c r="L148" s="55">
        <f t="shared" si="23"/>
        <v>8.1122756781638466E-3</v>
      </c>
      <c r="M148" s="51">
        <f t="shared" si="21"/>
        <v>2.02722326069502</v>
      </c>
      <c r="N148" s="94">
        <f t="shared" si="17"/>
        <v>409235517.91710061</v>
      </c>
      <c r="O148" s="56">
        <f t="shared" si="18"/>
        <v>104.49872341442425</v>
      </c>
      <c r="P148" s="57">
        <f t="shared" si="19"/>
        <v>106.46902100439947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8.6049825355469238</v>
      </c>
      <c r="K149" s="51">
        <f t="shared" si="22"/>
        <v>2.0200773327584844</v>
      </c>
      <c r="L149" s="55">
        <f t="shared" si="23"/>
        <v>8.0198083206232049E-3</v>
      </c>
      <c r="M149" s="51">
        <f t="shared" si="21"/>
        <v>2.0280971410791078</v>
      </c>
      <c r="N149" s="94">
        <f t="shared" si="17"/>
        <v>402700840.03419232</v>
      </c>
      <c r="O149" s="56">
        <f t="shared" si="18"/>
        <v>104.73150218665634</v>
      </c>
      <c r="P149" s="57">
        <f t="shared" si="19"/>
        <v>106.68347194416519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8.5978773782733029</v>
      </c>
      <c r="K150" s="51">
        <f t="shared" si="22"/>
        <v>2.021059490517632</v>
      </c>
      <c r="L150" s="55">
        <f t="shared" si="23"/>
        <v>7.9263754048191377E-3</v>
      </c>
      <c r="M150" s="51">
        <f t="shared" si="21"/>
        <v>2.0289858659224511</v>
      </c>
      <c r="N150" s="94">
        <f t="shared" si="17"/>
        <v>396166162.15128249</v>
      </c>
      <c r="O150" s="56">
        <f t="shared" si="18"/>
        <v>104.96862068986113</v>
      </c>
      <c r="P150" s="57">
        <f t="shared" si="19"/>
        <v>106.90200874872795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8.5906540428974498</v>
      </c>
      <c r="K151" s="51">
        <f t="shared" si="22"/>
        <v>2.0220579842332675</v>
      </c>
      <c r="L151" s="55">
        <f t="shared" si="23"/>
        <v>7.8319742315809231E-3</v>
      </c>
      <c r="M151" s="51">
        <f t="shared" si="21"/>
        <v>2.0298899584648487</v>
      </c>
      <c r="N151" s="94">
        <f t="shared" si="17"/>
        <v>389631484.26837432</v>
      </c>
      <c r="O151" s="56">
        <f t="shared" si="18"/>
        <v>105.21023344493247</v>
      </c>
      <c r="P151" s="57">
        <f t="shared" si="19"/>
        <v>107.12478380713344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8.5833085315838318</v>
      </c>
      <c r="K152" s="51">
        <f t="shared" si="22"/>
        <v>2.0230733665328766</v>
      </c>
      <c r="L152" s="55">
        <f t="shared" si="23"/>
        <v>7.7366042124020909E-3</v>
      </c>
      <c r="M152" s="51">
        <f t="shared" si="21"/>
        <v>2.0308099707452789</v>
      </c>
      <c r="N152" s="94">
        <f t="shared" si="17"/>
        <v>383096806.38546491</v>
      </c>
      <c r="O152" s="56">
        <f t="shared" si="18"/>
        <v>105.45650318466446</v>
      </c>
      <c r="P152" s="57">
        <f t="shared" si="19"/>
        <v>107.35195819103066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8.5758366401378829</v>
      </c>
      <c r="K153" s="51">
        <f t="shared" si="22"/>
        <v>2.0241062185692966</v>
      </c>
      <c r="L153" s="55">
        <f t="shared" si="23"/>
        <v>7.6402672317335187E-3</v>
      </c>
      <c r="M153" s="51">
        <f t="shared" si="21"/>
        <v>2.0317464858010301</v>
      </c>
      <c r="N153" s="94">
        <f t="shared" si="17"/>
        <v>376562128.50255597</v>
      </c>
      <c r="O153" s="56">
        <f t="shared" si="18"/>
        <v>105.70760143915506</v>
      </c>
      <c r="P153" s="57">
        <f t="shared" si="19"/>
        <v>107.58370233294906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8.5682339435546186</v>
      </c>
      <c r="K154" s="51">
        <f t="shared" si="22"/>
        <v>2.025157152018358</v>
      </c>
      <c r="L154" s="55">
        <f t="shared" si="23"/>
        <v>7.542968065661777E-3</v>
      </c>
      <c r="M154" s="51">
        <f t="shared" si="21"/>
        <v>2.0327001200840198</v>
      </c>
      <c r="N154" s="94">
        <f t="shared" si="17"/>
        <v>370027450.61964822</v>
      </c>
      <c r="O154" s="56">
        <f t="shared" si="18"/>
        <v>105.96370917393813</v>
      </c>
      <c r="P154" s="57">
        <f t="shared" si="19"/>
        <v>107.82019677266594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8.5604957802796307</v>
      </c>
      <c r="K155" s="51">
        <f t="shared" si="22"/>
        <v>2.0262268112545154</v>
      </c>
      <c r="L155" s="55">
        <f t="shared" si="23"/>
        <v>7.4447148661076473E-3</v>
      </c>
      <c r="M155" s="51">
        <f t="shared" si="21"/>
        <v>2.0336715261206231</v>
      </c>
      <c r="N155" s="94">
        <f t="shared" si="17"/>
        <v>363492772.73673934</v>
      </c>
      <c r="O155" s="56">
        <f t="shared" si="18"/>
        <v>106.22501748661566</v>
      </c>
      <c r="P155" s="57">
        <f t="shared" si="19"/>
        <v>108.06163298003393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8.5526172350423035</v>
      </c>
      <c r="K156" s="51">
        <f t="shared" si="22"/>
        <v>2.0273158757238354</v>
      </c>
      <c r="L156" s="55">
        <f t="shared" si="23"/>
        <v>7.3455197212399237E-3</v>
      </c>
      <c r="M156" s="51">
        <f t="shared" si="21"/>
        <v>2.0346613954450752</v>
      </c>
      <c r="N156" s="94">
        <f t="shared" si="17"/>
        <v>356958094.85383028</v>
      </c>
      <c r="O156" s="56">
        <f t="shared" si="18"/>
        <v>106.49172836851166</v>
      </c>
      <c r="P156" s="57">
        <f t="shared" si="19"/>
        <v>108.30821426384743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8.5445931201029115</v>
      </c>
      <c r="K157" s="51">
        <f t="shared" si="22"/>
        <v>2.0284250625362468</v>
      </c>
      <c r="L157" s="55">
        <f t="shared" si="23"/>
        <v>7.2453993046331508E-3</v>
      </c>
      <c r="M157" s="51">
        <f t="shared" si="21"/>
        <v>2.0356704618408799</v>
      </c>
      <c r="N157" s="94">
        <f t="shared" si="17"/>
        <v>350423416.97092134</v>
      </c>
      <c r="O157" s="56">
        <f t="shared" si="18"/>
        <v>106.76405553873758</v>
      </c>
      <c r="P157" s="57">
        <f t="shared" si="19"/>
        <v>108.56015677774296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8.5364179547344605</v>
      </c>
      <c r="K158" s="51">
        <f t="shared" si="22"/>
        <v>2.0295551293017979</v>
      </c>
      <c r="L158" s="55">
        <f t="shared" si="23"/>
        <v>7.1443756278539942E-3</v>
      </c>
      <c r="M158" s="51">
        <f t="shared" si="21"/>
        <v>2.0366995049296519</v>
      </c>
      <c r="N158" s="94">
        <f t="shared" si="17"/>
        <v>343888739.0880127</v>
      </c>
      <c r="O158" s="56">
        <f t="shared" si="18"/>
        <v>107.04222535904314</v>
      </c>
      <c r="P158" s="57">
        <f t="shared" si="19"/>
        <v>108.81769063575595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8.5280859427360145</v>
      </c>
      <c r="K159" s="51">
        <f t="shared" si="22"/>
        <v>2.0307068772390271</v>
      </c>
      <c r="L159" s="55">
        <f t="shared" si="23"/>
        <v>7.0424769136889047E-3</v>
      </c>
      <c r="M159" s="51">
        <f t="shared" si="21"/>
        <v>2.0377493541527159</v>
      </c>
      <c r="N159" s="94">
        <f t="shared" si="17"/>
        <v>337354061.20510399</v>
      </c>
      <c r="O159" s="56">
        <f t="shared" si="18"/>
        <v>107.32647783898241</v>
      </c>
      <c r="P159" s="57">
        <f t="shared" si="19"/>
        <v>109.08106115207987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8.5195909477464404</v>
      </c>
      <c r="K160" s="51">
        <f t="shared" si="22"/>
        <v>2.0318811545873841</v>
      </c>
      <c r="L160" s="55">
        <f t="shared" si="23"/>
        <v>6.939738610187398E-3</v>
      </c>
      <c r="M160" s="51">
        <f t="shared" si="21"/>
        <v>2.0388208931975713</v>
      </c>
      <c r="N160" s="94">
        <f t="shared" si="17"/>
        <v>330819383.32219505</v>
      </c>
      <c r="O160" s="56">
        <f t="shared" si="18"/>
        <v>107.61706774225524</v>
      </c>
      <c r="P160" s="57">
        <f t="shared" si="19"/>
        <v>109.3505302218035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8.5109264660952402</v>
      </c>
      <c r="K161" s="51">
        <f t="shared" si="22"/>
        <v>2.0330788603601055</v>
      </c>
      <c r="L161" s="55">
        <f t="shared" si="23"/>
        <v>6.8362045691536906E-3</v>
      </c>
      <c r="M161" s="51">
        <f t="shared" si="21"/>
        <v>2.0399150649292594</v>
      </c>
      <c r="N161" s="94">
        <f t="shared" si="17"/>
        <v>324284705.43928653</v>
      </c>
      <c r="O161" s="56">
        <f t="shared" si="18"/>
        <v>107.91426580663344</v>
      </c>
      <c r="P161" s="57">
        <f t="shared" si="19"/>
        <v>109.6263778620158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8.502085596889561</v>
      </c>
      <c r="K162" s="51">
        <f t="shared" si="22"/>
        <v>2.0343009484791401</v>
      </c>
      <c r="L162" s="55">
        <f t="shared" si="23"/>
        <v>6.7319284167417373E-3</v>
      </c>
      <c r="M162" s="51">
        <f t="shared" si="21"/>
        <v>2.0410328768958816</v>
      </c>
      <c r="N162" s="94">
        <f t="shared" si="17"/>
        <v>317750027.55637723</v>
      </c>
      <c r="O162" s="56">
        <f t="shared" si="18"/>
        <v>108.21836009168679</v>
      </c>
      <c r="P162" s="57">
        <f t="shared" si="19"/>
        <v>109.90890393572786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8.4930610089927381</v>
      </c>
      <c r="K163" s="51">
        <f t="shared" si="22"/>
        <v>2.0355484323397546</v>
      </c>
      <c r="L163" s="55">
        <f t="shared" si="23"/>
        <v>6.6269751484640503E-3</v>
      </c>
      <c r="M163" s="51">
        <f t="shared" si="21"/>
        <v>2.0421754074882186</v>
      </c>
      <c r="N163" s="94">
        <f t="shared" si="17"/>
        <v>311215349.67346799</v>
      </c>
      <c r="O163" s="56">
        <f t="shared" si="18"/>
        <v>108.52965747063486</v>
      </c>
      <c r="P163" s="57">
        <f t="shared" si="19"/>
        <v>110.19843008463705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8.4838449044985129</v>
      </c>
      <c r="K164" s="51">
        <f t="shared" si="22"/>
        <v>2.0368223898595574</v>
      </c>
      <c r="L164" s="55">
        <f t="shared" si="23"/>
        <v>6.5214229862723995E-3</v>
      </c>
      <c r="M164" s="51">
        <f t="shared" si="21"/>
        <v>2.0433438128458299</v>
      </c>
      <c r="N164" s="94">
        <f t="shared" si="17"/>
        <v>304680671.79055935</v>
      </c>
      <c r="O164" s="56">
        <f t="shared" si="18"/>
        <v>108.84848528513206</v>
      </c>
      <c r="P164" s="57">
        <f t="shared" si="19"/>
        <v>110.49530190094585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8.47442897824493</v>
      </c>
      <c r="K165" s="51">
        <f t="shared" si="22"/>
        <v>2.0381239690749604</v>
      </c>
      <c r="L165" s="55">
        <f t="shared" si="23"/>
        <v>6.415365541452292E-3</v>
      </c>
      <c r="M165" s="51">
        <f t="shared" si="21"/>
        <v>2.0445393346164127</v>
      </c>
      <c r="N165" s="94">
        <f t="shared" si="17"/>
        <v>298145993.90765065</v>
      </c>
      <c r="O165" s="56">
        <f t="shared" si="18"/>
        <v>109.17519318470428</v>
      </c>
      <c r="P165" s="57">
        <f t="shared" si="19"/>
        <v>110.7998913733436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8.464804372841229</v>
      </c>
      <c r="K166" s="51">
        <f t="shared" si="22"/>
        <v>2.0394543943578833</v>
      </c>
      <c r="L166" s="55">
        <f t="shared" si="23"/>
        <v>6.3089143339053119E-3</v>
      </c>
      <c r="M166" s="51">
        <f t="shared" si="21"/>
        <v>2.0457633086917886</v>
      </c>
      <c r="N166" s="94">
        <f t="shared" si="17"/>
        <v>291611316.02474135</v>
      </c>
      <c r="O166" s="56">
        <f t="shared" si="18"/>
        <v>109.51015517599839</v>
      </c>
      <c r="P166" s="57">
        <f t="shared" si="19"/>
        <v>111.11259964796761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8.454961628597415</v>
      </c>
      <c r="K167" s="51">
        <f t="shared" si="22"/>
        <v>2.0408149733370786</v>
      </c>
      <c r="L167" s="55">
        <f t="shared" si="23"/>
        <v>6.2022017259234525E-3</v>
      </c>
      <c r="M167" s="51">
        <f t="shared" si="21"/>
        <v>2.0470171750630022</v>
      </c>
      <c r="N167" s="94">
        <f t="shared" si="17"/>
        <v>285076638.14183307</v>
      </c>
      <c r="O167" s="56">
        <f t="shared" si="18"/>
        <v>109.85377191108802</v>
      </c>
      <c r="P167" s="57">
        <f t="shared" si="19"/>
        <v>111.43386015180968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8.4448906276471032</v>
      </c>
      <c r="K168" s="51">
        <f t="shared" si="22"/>
        <v>2.0422071046221166</v>
      </c>
      <c r="L168" s="55">
        <f t="shared" si="23"/>
        <v>6.0953843366459729E-3</v>
      </c>
      <c r="M168" s="51">
        <f t="shared" si="21"/>
        <v>2.0483024889587624</v>
      </c>
      <c r="N168" s="94">
        <f t="shared" ref="N168:N204" si="24">10^$J168</f>
        <v>278541960.25892466</v>
      </c>
      <c r="O168" s="56">
        <f t="shared" ref="O168:O204" si="25">10^K168</f>
        <v>110.20647324891932</v>
      </c>
      <c r="P168" s="57">
        <f t="shared" ref="P168:P204" si="26">10^M168</f>
        <v>111.76414213373891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8.4345805314363353</v>
      </c>
      <c r="K169" s="51">
        <f t="shared" si="22"/>
        <v>2.0436322864444181</v>
      </c>
      <c r="L169" s="55">
        <f t="shared" si="23"/>
        <v>5.9886470117385343E-3</v>
      </c>
      <c r="M169" s="51">
        <f t="shared" ref="M169:M204" si="28">+$I$14+$I$13*J169+L169</f>
        <v>2.0496209334561568</v>
      </c>
      <c r="N169" s="94">
        <f t="shared" si="24"/>
        <v>272007282.37601584</v>
      </c>
      <c r="O169" s="56">
        <f t="shared" si="25"/>
        <v>110.56872112978094</v>
      </c>
      <c r="P169" s="57">
        <f t="shared" si="26"/>
        <v>112.1039546872104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8.4240197106101586</v>
      </c>
      <c r="K170" s="51">
        <f t="shared" si="22"/>
        <v>2.0450921263491448</v>
      </c>
      <c r="L170" s="55">
        <f t="shared" si="23"/>
        <v>5.8822074309256463E-3</v>
      </c>
      <c r="M170" s="51">
        <f t="shared" si="28"/>
        <v>2.0509743337800703</v>
      </c>
      <c r="N170" s="94">
        <f t="shared" si="24"/>
        <v>265472604.49310595</v>
      </c>
      <c r="O170" s="56">
        <f t="shared" si="25"/>
        <v>110.94101280960314</v>
      </c>
      <c r="P170" s="57">
        <f t="shared" si="26"/>
        <v>112.45385132889926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8.4131956661598277</v>
      </c>
      <c r="K171" s="51">
        <f t="shared" si="22"/>
        <v>2.0465883520951555</v>
      </c>
      <c r="L171" s="55">
        <f t="shared" si="23"/>
        <v>5.7763214429896181E-3</v>
      </c>
      <c r="M171" s="51">
        <f t="shared" si="28"/>
        <v>2.0523646735381451</v>
      </c>
      <c r="N171" s="94">
        <f t="shared" si="24"/>
        <v>258937926.61019793</v>
      </c>
      <c r="O171" s="56">
        <f t="shared" si="25"/>
        <v>111.32388450924935</v>
      </c>
      <c r="P171" s="57">
        <f t="shared" si="26"/>
        <v>112.81443521906913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8.4020949404899028</v>
      </c>
      <c r="K172" s="51">
        <f t="shared" si="22"/>
        <v>2.048122823948348</v>
      </c>
      <c r="L172" s="55">
        <f t="shared" si="23"/>
        <v>5.6712892223926966E-3</v>
      </c>
      <c r="M172" s="51">
        <f t="shared" si="28"/>
        <v>2.0537941131707407</v>
      </c>
      <c r="N172" s="94">
        <f t="shared" si="24"/>
        <v>252403248.72728845</v>
      </c>
      <c r="O172" s="56">
        <f t="shared" si="25"/>
        <v>111.71791554403929</v>
      </c>
      <c r="P172" s="57">
        <f t="shared" si="26"/>
        <v>113.18636512241949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8.3907030168183354</v>
      </c>
      <c r="K173" s="51">
        <f t="shared" si="22"/>
        <v>2.0496975485877562</v>
      </c>
      <c r="L173" s="55">
        <f t="shared" si="23"/>
        <v>5.5674623418018807E-3</v>
      </c>
      <c r="M173" s="51">
        <f t="shared" si="28"/>
        <v>2.055265010929558</v>
      </c>
      <c r="N173" s="94">
        <f t="shared" si="24"/>
        <v>245868570.84438014</v>
      </c>
      <c r="O173" s="56">
        <f t="shared" si="25"/>
        <v>112.12373301098897</v>
      </c>
      <c r="P173" s="57">
        <f t="shared" si="26"/>
        <v>113.5703622224494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8.3790042050231719</v>
      </c>
      <c r="K174" s="51">
        <f t="shared" si="22"/>
        <v>2.0513146948851477</v>
      </c>
      <c r="L174" s="55">
        <f t="shared" si="23"/>
        <v>5.4652518476375608E-3</v>
      </c>
      <c r="M174" s="51">
        <f t="shared" si="28"/>
        <v>2.0567799467327852</v>
      </c>
      <c r="N174" s="94">
        <f t="shared" si="24"/>
        <v>239333892.96147141</v>
      </c>
      <c r="O174" s="56">
        <f t="shared" si="25"/>
        <v>112.54201712618278</v>
      </c>
      <c r="P174" s="57">
        <f t="shared" si="26"/>
        <v>113.96721791779781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8.3669815116839334</v>
      </c>
      <c r="K175" s="51">
        <f t="shared" si="22"/>
        <v>2.0529766118694228</v>
      </c>
      <c r="L175" s="55">
        <f t="shared" si="23"/>
        <v>5.3651374073694193E-3</v>
      </c>
      <c r="M175" s="51">
        <f t="shared" si="28"/>
        <v>2.0583417492767921</v>
      </c>
      <c r="N175" s="94">
        <f t="shared" si="24"/>
        <v>232799215.07856214</v>
      </c>
      <c r="O175" s="56">
        <f t="shared" si="25"/>
        <v>112.97350732299786</v>
      </c>
      <c r="P175" s="57">
        <f t="shared" si="26"/>
        <v>114.37780274525929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8.3546164916166248</v>
      </c>
      <c r="K176" s="51">
        <f t="shared" si="22"/>
        <v>2.0546858492491786</v>
      </c>
      <c r="L176" s="55">
        <f t="shared" si="23"/>
        <v>5.2676775623813621E-3</v>
      </c>
      <c r="M176" s="51">
        <f t="shared" si="28"/>
        <v>2.0599535268115599</v>
      </c>
      <c r="N176" s="94">
        <f t="shared" si="24"/>
        <v>226264537.19565374</v>
      </c>
      <c r="O176" s="56">
        <f t="shared" si="25"/>
        <v>113.41900924445629</v>
      </c>
      <c r="P176" s="57">
        <f t="shared" si="26"/>
        <v>114.80307659068697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8.3418890776470427</v>
      </c>
      <c r="K177" s="51">
        <f t="shared" si="22"/>
        <v>2.0564451809434274</v>
      </c>
      <c r="L177" s="55">
        <f t="shared" si="23"/>
        <v>5.1735210622153669E-3</v>
      </c>
      <c r="M177" s="51">
        <f t="shared" si="28"/>
        <v>2.0616187020056427</v>
      </c>
      <c r="N177" s="94">
        <f t="shared" si="24"/>
        <v>219729859.31274468</v>
      </c>
      <c r="O177" s="56">
        <f t="shared" si="25"/>
        <v>113.87940279092466</v>
      </c>
      <c r="P177" s="57">
        <f t="shared" si="26"/>
        <v>115.24410036511019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8.3287773846787285</v>
      </c>
      <c r="K178" s="51">
        <f t="shared" si="22"/>
        <v>2.0582576321656108</v>
      </c>
      <c r="L178" s="55">
        <f t="shared" si="23"/>
        <v>5.0834191672056968E-3</v>
      </c>
      <c r="M178" s="51">
        <f t="shared" si="28"/>
        <v>2.0633410513328165</v>
      </c>
      <c r="N178" s="94">
        <f t="shared" si="24"/>
        <v>213195181.42983627</v>
      </c>
      <c r="O178" s="56">
        <f t="shared" si="25"/>
        <v>114.35565141921623</v>
      </c>
      <c r="P178" s="57">
        <f t="shared" si="26"/>
        <v>115.7020493384297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8.3152574832521129</v>
      </c>
      <c r="K179" s="51">
        <f t="shared" si="22"/>
        <v>2.0601265107249009</v>
      </c>
      <c r="L179" s="55">
        <f t="shared" si="23"/>
        <v>4.9982386791185421E-3</v>
      </c>
      <c r="M179" s="51">
        <f t="shared" si="28"/>
        <v>2.0651247494040197</v>
      </c>
      <c r="N179" s="94">
        <f t="shared" si="24"/>
        <v>206660503.54692706</v>
      </c>
      <c r="O179" s="56">
        <f t="shared" si="25"/>
        <v>114.84881293283048</v>
      </c>
      <c r="P179" s="57">
        <f t="shared" si="26"/>
        <v>116.17822833663332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8.3013031367104269</v>
      </c>
      <c r="K180" s="51">
        <f t="shared" si="22"/>
        <v>2.062055443358191</v>
      </c>
      <c r="L180" s="55">
        <f t="shared" si="23"/>
        <v>4.9189752874739734E-3</v>
      </c>
      <c r="M180" s="51">
        <f t="shared" si="28"/>
        <v>2.0669744186456649</v>
      </c>
      <c r="N180" s="94">
        <f t="shared" si="24"/>
        <v>200125825.66401801</v>
      </c>
      <c r="O180" s="56">
        <f t="shared" si="25"/>
        <v>115.3600520581913</v>
      </c>
      <c r="P180" s="57">
        <f t="shared" si="26"/>
        <v>116.67408902121819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8.2868854947197281</v>
      </c>
      <c r="K181" s="51">
        <f t="shared" si="22"/>
        <v>2.0640484180953358</v>
      </c>
      <c r="L181" s="55">
        <f t="shared" si="23"/>
        <v>4.8467666022906034E-3</v>
      </c>
      <c r="M181" s="51">
        <f t="shared" si="28"/>
        <v>2.0688951846976265</v>
      </c>
      <c r="N181" s="94">
        <f t="shared" si="24"/>
        <v>193591147.78110939</v>
      </c>
      <c r="O181" s="56">
        <f t="shared" si="25"/>
        <v>115.89065517182404</v>
      </c>
      <c r="P181" s="57">
        <f t="shared" si="26"/>
        <v>117.19124948426207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8.2719727341460541</v>
      </c>
      <c r="K182" s="51">
        <f t="shared" si="22"/>
        <v>2.0661098339013044</v>
      </c>
      <c r="L182" s="55">
        <f t="shared" si="23"/>
        <v>4.7829039927547697E-3</v>
      </c>
      <c r="M182" s="51">
        <f t="shared" si="28"/>
        <v>2.0708927378940594</v>
      </c>
      <c r="N182" s="94">
        <f t="shared" si="24"/>
        <v>187056469.89820045</v>
      </c>
      <c r="O182" s="56">
        <f t="shared" si="25"/>
        <v>116.44204763311741</v>
      </c>
      <c r="P182" s="57">
        <f t="shared" si="26"/>
        <v>117.73151641624196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8.2565296360517948</v>
      </c>
      <c r="K183" s="51">
        <f t="shared" si="22"/>
        <v>2.0682445591486758</v>
      </c>
      <c r="L183" s="55">
        <f t="shared" si="23"/>
        <v>4.7288420952831317E-3</v>
      </c>
      <c r="M183" s="51">
        <f t="shared" si="28"/>
        <v>2.0729734012439591</v>
      </c>
      <c r="N183" s="94">
        <f t="shared" si="24"/>
        <v>180521792.01529145</v>
      </c>
      <c r="O183" s="56">
        <f t="shared" si="25"/>
        <v>117.01581429306351</v>
      </c>
      <c r="P183" s="57">
        <f t="shared" si="26"/>
        <v>118.29691015001357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8.240517084670925</v>
      </c>
      <c r="K184" s="51">
        <f t="shared" si="22"/>
        <v>2.0704580008751314</v>
      </c>
      <c r="L184" s="55">
        <f t="shared" si="23"/>
        <v>4.6862046503157581E-3</v>
      </c>
      <c r="M184" s="51">
        <f t="shared" si="28"/>
        <v>2.0751442055254472</v>
      </c>
      <c r="N184" s="94">
        <f t="shared" si="24"/>
        <v>173987114.13238254</v>
      </c>
      <c r="O184" s="56">
        <f t="shared" si="25"/>
        <v>117.61372389997268</v>
      </c>
      <c r="P184" s="57">
        <f t="shared" si="26"/>
        <v>118.88969297712629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8.2238914704307149</v>
      </c>
      <c r="K185" s="51">
        <f t="shared" si="22"/>
        <v>2.0727561873047593</v>
      </c>
      <c r="L185" s="55">
        <f t="shared" si="23"/>
        <v>4.6567852645122984E-3</v>
      </c>
      <c r="M185" s="51">
        <f t="shared" si="28"/>
        <v>2.0774129725692716</v>
      </c>
      <c r="N185" s="94">
        <f t="shared" si="24"/>
        <v>167452436.24947411</v>
      </c>
      <c r="O185" s="56">
        <f t="shared" si="25"/>
        <v>118.2377583208219</v>
      </c>
      <c r="P185" s="57">
        <f t="shared" si="26"/>
        <v>119.51240130887574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8.2066039740868195</v>
      </c>
      <c r="K186" s="51">
        <f t="shared" si="22"/>
        <v>2.0751458668032585</v>
      </c>
      <c r="L186" s="55">
        <f t="shared" si="23"/>
        <v>4.6425418930977789E-3</v>
      </c>
      <c r="M186" s="51">
        <f t="shared" si="28"/>
        <v>2.0797884086963565</v>
      </c>
      <c r="N186" s="94">
        <f t="shared" si="24"/>
        <v>160917758.36656502</v>
      </c>
      <c r="O186" s="56">
        <f t="shared" si="25"/>
        <v>118.89014775883531</v>
      </c>
      <c r="P186" s="57">
        <f t="shared" si="26"/>
        <v>120.16788256591373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8.1885997023778092</v>
      </c>
      <c r="K187" s="51">
        <f t="shared" si="22"/>
        <v>2.0776346273578552</v>
      </c>
      <c r="L187" s="55">
        <f t="shared" si="23"/>
        <v>4.6455844248871206E-3</v>
      </c>
      <c r="M187" s="51">
        <f t="shared" si="28"/>
        <v>2.0822802117827424</v>
      </c>
      <c r="N187" s="94">
        <f t="shared" si="24"/>
        <v>154383080.48365611</v>
      </c>
      <c r="O187" s="56">
        <f t="shared" si="25"/>
        <v>119.5734134985216</v>
      </c>
      <c r="P187" s="57">
        <f t="shared" si="26"/>
        <v>120.85933819106619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8.1698166366373908</v>
      </c>
      <c r="K188" s="51">
        <f t="shared" si="22"/>
        <v>2.0802310419123948</v>
      </c>
      <c r="L188" s="55">
        <f t="shared" si="23"/>
        <v>4.6681558259588111E-3</v>
      </c>
      <c r="M188" s="51">
        <f t="shared" si="28"/>
        <v>2.0848991977383537</v>
      </c>
      <c r="N188" s="94">
        <f t="shared" si="24"/>
        <v>147848402.60074708</v>
      </c>
      <c r="O188" s="56">
        <f t="shared" si="25"/>
        <v>120.29042018392508</v>
      </c>
      <c r="P188" s="57">
        <f t="shared" si="26"/>
        <v>121.59037495972919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8.1501843435878456</v>
      </c>
      <c r="K189" s="51">
        <f t="shared" si="22"/>
        <v>2.0829448465765146</v>
      </c>
      <c r="L189" s="55">
        <f t="shared" si="23"/>
        <v>4.7126088584759744E-3</v>
      </c>
      <c r="M189" s="51">
        <f t="shared" si="28"/>
        <v>2.0876574554349907</v>
      </c>
      <c r="N189" s="94">
        <f t="shared" si="24"/>
        <v>141313724.71783823</v>
      </c>
      <c r="O189" s="56">
        <f t="shared" si="25"/>
        <v>121.04444028565973</v>
      </c>
      <c r="P189" s="57">
        <f t="shared" si="26"/>
        <v>122.36506787435798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8.1296223806913126</v>
      </c>
      <c r="K190" s="51">
        <f t="shared" si="22"/>
        <v>2.0857871610566034</v>
      </c>
      <c r="L190" s="55">
        <f t="shared" si="23"/>
        <v>4.7813822874535443E-3</v>
      </c>
      <c r="M190" s="51">
        <f t="shared" si="28"/>
        <v>2.0905685433440571</v>
      </c>
      <c r="N190" s="94">
        <f t="shared" si="24"/>
        <v>134779046.83492959</v>
      </c>
      <c r="O190" s="56">
        <f t="shared" si="25"/>
        <v>121.8392343135955</v>
      </c>
      <c r="P190" s="57">
        <f t="shared" si="26"/>
        <v>123.18803942364354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8.108038304881287</v>
      </c>
      <c r="K191" s="51">
        <f t="shared" si="22"/>
        <v>2.0887707639121715</v>
      </c>
      <c r="L191" s="55">
        <f t="shared" si="23"/>
        <v>4.8769824022052346E-3</v>
      </c>
      <c r="M191" s="51">
        <f t="shared" si="28"/>
        <v>2.0936477463143768</v>
      </c>
      <c r="N191" s="94">
        <f t="shared" si="24"/>
        <v>128244368.95202084</v>
      </c>
      <c r="O191" s="56">
        <f t="shared" si="25"/>
        <v>122.67915159956701</v>
      </c>
      <c r="P191" s="57">
        <f t="shared" si="26"/>
        <v>124.06456190642609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8.0853251600729052</v>
      </c>
      <c r="K192" s="51">
        <f t="shared" si="22"/>
        <v>2.0919104398614996</v>
      </c>
      <c r="L192" s="55">
        <f t="shared" si="23"/>
        <v>5.0019771983906055E-3</v>
      </c>
      <c r="M192" s="51">
        <f t="shared" si="28"/>
        <v>2.0969124170598903</v>
      </c>
      <c r="N192" s="94">
        <f t="shared" si="24"/>
        <v>121709691.06911176</v>
      </c>
      <c r="O192" s="56">
        <f t="shared" si="25"/>
        <v>123.56925828412668</v>
      </c>
      <c r="P192" s="57">
        <f t="shared" si="26"/>
        <v>125.00069194365464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8.0613582706463998</v>
      </c>
      <c r="K193" s="51">
        <f t="shared" si="22"/>
        <v>2.0952234230237803</v>
      </c>
      <c r="L193" s="55">
        <f t="shared" si="23"/>
        <v>5.1590113533895761E-3</v>
      </c>
      <c r="M193" s="51">
        <f t="shared" si="28"/>
        <v>2.10038243437717</v>
      </c>
      <c r="N193" s="94">
        <f t="shared" si="24"/>
        <v>115175013.18620308</v>
      </c>
      <c r="O193" s="56">
        <f t="shared" si="25"/>
        <v>124.51550176799753</v>
      </c>
      <c r="P193" s="57">
        <f t="shared" si="26"/>
        <v>126.00344942723981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8.0359910973280471</v>
      </c>
      <c r="K194" s="51">
        <f t="shared" ref="K194:K204" si="29">+$I$14+$I$13*J194</f>
        <v>2.0987299697676143</v>
      </c>
      <c r="L194" s="55">
        <f t="shared" ref="L194:L204" si="30">SQRT(2*$I$20*$I$17)*SQRT((1/$I$2)+((J194-$I$11)^2/$I$8))</f>
        <v>5.3508501327190422E-3</v>
      </c>
      <c r="M194" s="51">
        <f t="shared" si="28"/>
        <v>2.1040808199003331</v>
      </c>
      <c r="N194" s="94">
        <f t="shared" si="24"/>
        <v>108640335.30329417</v>
      </c>
      <c r="O194" s="56">
        <f t="shared" si="25"/>
        <v>125.52492477113064</v>
      </c>
      <c r="P194" s="57">
        <f t="shared" si="26"/>
        <v>127.08105743147287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8.009049805930065</v>
      </c>
      <c r="K195" s="51">
        <f t="shared" si="29"/>
        <v>2.1024541094831717</v>
      </c>
      <c r="L195" s="55">
        <f t="shared" si="30"/>
        <v>5.5804599844248284E-3</v>
      </c>
      <c r="M195" s="51">
        <f t="shared" si="28"/>
        <v>2.1080345694675966</v>
      </c>
      <c r="N195" s="94">
        <f t="shared" si="24"/>
        <v>102105657.42038554</v>
      </c>
      <c r="O195" s="56">
        <f t="shared" si="25"/>
        <v>126.60594799634903</v>
      </c>
      <c r="P195" s="57">
        <f t="shared" si="26"/>
        <v>128.24326591311186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7.9803260372543434</v>
      </c>
      <c r="K196" s="51">
        <f t="shared" si="29"/>
        <v>2.1064246440104704</v>
      </c>
      <c r="L196" s="55">
        <f t="shared" si="30"/>
        <v>5.851133673680624E-3</v>
      </c>
      <c r="M196" s="51">
        <f t="shared" si="28"/>
        <v>2.1122757776841512</v>
      </c>
      <c r="N196" s="94">
        <f t="shared" si="24"/>
        <v>95570979.537476718</v>
      </c>
      <c r="O196" s="56">
        <f t="shared" si="25"/>
        <v>127.76874942026437</v>
      </c>
      <c r="P196" s="57">
        <f t="shared" si="26"/>
        <v>129.50179188425696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7.9495671121940008</v>
      </c>
      <c r="K197" s="51">
        <f t="shared" si="29"/>
        <v>2.110676501604559</v>
      </c>
      <c r="L197" s="55">
        <f t="shared" si="30"/>
        <v>6.1666696134478885E-3</v>
      </c>
      <c r="M197" s="51">
        <f t="shared" si="28"/>
        <v>2.1168431712180067</v>
      </c>
      <c r="N197" s="94">
        <f t="shared" si="24"/>
        <v>89036301.65456745</v>
      </c>
      <c r="O197" s="56">
        <f t="shared" si="25"/>
        <v>129.02578249934712</v>
      </c>
      <c r="P197" s="57">
        <f t="shared" si="26"/>
        <v>130.87092475495515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7.9164624962848524</v>
      </c>
      <c r="K198" s="51">
        <f t="shared" si="29"/>
        <v>2.1152526079631704</v>
      </c>
      <c r="L198" s="55">
        <f t="shared" si="30"/>
        <v>6.5316201028171039E-3</v>
      </c>
      <c r="M198" s="51">
        <f t="shared" si="28"/>
        <v>2.1217842280659873</v>
      </c>
      <c r="N198" s="94">
        <f t="shared" si="24"/>
        <v>82501623.771658957</v>
      </c>
      <c r="O198" s="56">
        <f t="shared" si="25"/>
        <v>130.39249876279891</v>
      </c>
      <c r="P198" s="57">
        <f t="shared" si="26"/>
        <v>132.36837217258602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7.880624666744878</v>
      </c>
      <c r="K199" s="51">
        <f t="shared" si="29"/>
        <v>2.1202065310078231</v>
      </c>
      <c r="L199" s="55">
        <f t="shared" si="30"/>
        <v>6.9516335697333799E-3</v>
      </c>
      <c r="M199" s="51">
        <f t="shared" si="28"/>
        <v>2.1271581645775566</v>
      </c>
      <c r="N199" s="94">
        <f t="shared" si="24"/>
        <v>75966945.888749883</v>
      </c>
      <c r="O199" s="56">
        <f t="shared" si="25"/>
        <v>131.88837915168733</v>
      </c>
      <c r="P199" s="57">
        <f t="shared" si="26"/>
        <v>134.0164669646683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7.8415613517225529</v>
      </c>
      <c r="K200" s="51">
        <f t="shared" si="29"/>
        <v>2.1256063182988973</v>
      </c>
      <c r="L200" s="55">
        <f t="shared" si="30"/>
        <v>7.4339350557011165E-3</v>
      </c>
      <c r="M200" s="51">
        <f t="shared" si="28"/>
        <v>2.1330402533545985</v>
      </c>
      <c r="N200" s="94">
        <f t="shared" si="24"/>
        <v>69432268.005841389</v>
      </c>
      <c r="O200" s="56">
        <f t="shared" si="25"/>
        <v>133.53844609210051</v>
      </c>
      <c r="P200" s="57">
        <f t="shared" si="26"/>
        <v>135.84393501136333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7.7986340060754413</v>
      </c>
      <c r="K201" s="51">
        <f t="shared" si="29"/>
        <v>2.1315402369981253</v>
      </c>
      <c r="L201" s="55">
        <f t="shared" si="30"/>
        <v>7.9880238008935688E-3</v>
      </c>
      <c r="M201" s="51">
        <f t="shared" si="28"/>
        <v>2.1395282607990187</v>
      </c>
      <c r="N201" s="94">
        <f t="shared" si="24"/>
        <v>62897590.122932367</v>
      </c>
      <c r="O201" s="56">
        <f t="shared" si="25"/>
        <v>135.37555091072915</v>
      </c>
      <c r="P201" s="57">
        <f t="shared" si="26"/>
        <v>137.88856781318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7.750993424769054</v>
      </c>
      <c r="K202" s="51">
        <f t="shared" si="29"/>
        <v>2.1381256741360284</v>
      </c>
      <c r="L202" s="55">
        <f t="shared" si="30"/>
        <v>8.6267313366140963E-3</v>
      </c>
      <c r="M202" s="51">
        <f t="shared" si="28"/>
        <v>2.1467524054726423</v>
      </c>
      <c r="N202" s="94">
        <f t="shared" si="24"/>
        <v>56362912.240023531</v>
      </c>
      <c r="O202" s="56">
        <f t="shared" si="25"/>
        <v>137.44396464833201</v>
      </c>
      <c r="P202" s="57">
        <f t="shared" si="26"/>
        <v>140.20141779227643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7.6974754983982736</v>
      </c>
      <c r="K203" s="51">
        <f t="shared" si="29"/>
        <v>2.1455235465003275</v>
      </c>
      <c r="L203" s="55">
        <f t="shared" si="30"/>
        <v>9.367910894283682E-3</v>
      </c>
      <c r="M203" s="51">
        <f t="shared" si="28"/>
        <v>2.1548914573946112</v>
      </c>
      <c r="N203" s="94">
        <f t="shared" si="24"/>
        <v>49828234.357114568</v>
      </c>
      <c r="O203" s="56">
        <f t="shared" si="25"/>
        <v>139.8052712639207</v>
      </c>
      <c r="P203" s="57">
        <f t="shared" si="26"/>
        <v>142.85368816894726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7.636423263652838</v>
      </c>
      <c r="K204" s="51">
        <f t="shared" si="29"/>
        <v>2.1539628988973698</v>
      </c>
      <c r="L204" s="55">
        <f t="shared" si="30"/>
        <v>1.0237299421808937E-2</v>
      </c>
      <c r="M204" s="51">
        <f t="shared" si="28"/>
        <v>2.1642001983191785</v>
      </c>
      <c r="N204" s="97">
        <f t="shared" si="24"/>
        <v>43293556.474205777</v>
      </c>
      <c r="O204" s="91">
        <f t="shared" si="25"/>
        <v>142.54858113629828</v>
      </c>
      <c r="P204" s="92">
        <f t="shared" si="26"/>
        <v>145.9486890252463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6" zoomScaleNormal="100" workbookViewId="0">
      <selection activeCell="I49" sqref="I49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G20 120L'!W7</f>
        <v>13977574.747182118</v>
      </c>
      <c r="B2" s="48">
        <f>'New Vestas G20 120L'!T7</f>
        <v>138.47528590532582</v>
      </c>
      <c r="C2" s="50">
        <f t="shared" ref="C2:D32" si="0">IF(ISNA(A2),"",LOG10(A2))</f>
        <v>7.1454318233919469</v>
      </c>
      <c r="D2" s="50">
        <f t="shared" si="0"/>
        <v>2.1413722704930462</v>
      </c>
      <c r="E2" s="51">
        <f>IF(C2="","",C2^2)</f>
        <v>51.057195942742361</v>
      </c>
      <c r="F2" s="51">
        <f>IF(D2="","",D2^2)</f>
        <v>4.5854752008365436</v>
      </c>
      <c r="G2" s="52">
        <f>IF(OR(C2="",D2=""),"",C2*D2)</f>
        <v>15.301029567310081</v>
      </c>
      <c r="H2" s="53" t="s">
        <v>57</v>
      </c>
      <c r="I2" s="54">
        <f>COUNT(C:C)</f>
        <v>31</v>
      </c>
      <c r="J2" s="51">
        <f t="shared" ref="J2:J65" si="1">LOG($I$24+($I$25-$I$24)*(ROW()-2)/100)</f>
        <v>7.9025579899222214</v>
      </c>
      <c r="K2" s="51">
        <f t="shared" ref="K2:K65" si="2">+$I$14+$I$13*J2</f>
        <v>1.9834647631348494</v>
      </c>
      <c r="L2" s="55">
        <f t="shared" ref="L2:L65" si="3">SQRT(2*$I$20*$I$17)*SQRT((1/$I$2)+((J2-$I$11)^2/$I$8))</f>
        <v>1.6587647871952535E-2</v>
      </c>
      <c r="M2" s="51">
        <f t="shared" ref="M2:M65" si="4">+$I$14+$I$13*J2-L2</f>
        <v>1.966877115262897</v>
      </c>
      <c r="N2" s="94">
        <f>10^$J2</f>
        <v>79902062.515633941</v>
      </c>
      <c r="O2" s="56">
        <f>10^K2</f>
        <v>96.264190500619236</v>
      </c>
      <c r="P2" s="57">
        <f t="shared" ref="P2:P65" si="5">10^M2</f>
        <v>92.656761160310595</v>
      </c>
      <c r="R2" s="47"/>
      <c r="S2" s="47"/>
      <c r="T2" s="47"/>
    </row>
    <row r="3" spans="1:20" ht="12.75" customHeight="1" x14ac:dyDescent="0.35">
      <c r="A3" s="49">
        <f>'New Vestas G20 120L'!W8</f>
        <v>20197922.549470805</v>
      </c>
      <c r="B3" s="48">
        <f>'New Vestas G20 120L'!T8</f>
        <v>128.9393080514532</v>
      </c>
      <c r="C3" s="50">
        <f t="shared" si="0"/>
        <v>7.3053067025308467</v>
      </c>
      <c r="D3" s="50">
        <f t="shared" si="0"/>
        <v>2.1103853352543176</v>
      </c>
      <c r="E3" s="51">
        <f t="shared" ref="E3:F32" si="6">IF(C3="","",C3^2)</f>
        <v>53.367506018042114</v>
      </c>
      <c r="F3" s="51">
        <f t="shared" si="6"/>
        <v>4.4537262632564785</v>
      </c>
      <c r="G3" s="52">
        <f t="shared" ref="G3:G32" si="7">IF(OR(C3="",D3=""),"",C3*D3)</f>
        <v>15.417012134556174</v>
      </c>
      <c r="H3" s="53" t="s">
        <v>58</v>
      </c>
      <c r="I3" s="58">
        <f>SUM(C:C)</f>
        <v>229.48450316728128</v>
      </c>
      <c r="J3" s="51">
        <f t="shared" si="1"/>
        <v>7.8987347631583722</v>
      </c>
      <c r="K3" s="51">
        <f t="shared" si="2"/>
        <v>1.9841723799256825</v>
      </c>
      <c r="L3" s="55">
        <f t="shared" si="3"/>
        <v>1.6479643174704139E-2</v>
      </c>
      <c r="M3" s="51">
        <f t="shared" si="4"/>
        <v>1.9676927367509784</v>
      </c>
      <c r="N3" s="94">
        <f t="shared" ref="N3:N66" si="8">10^$J3</f>
        <v>79201747.359586701</v>
      </c>
      <c r="O3" s="56">
        <f t="shared" ref="O3:O66" si="9">10^K3</f>
        <v>96.421166204052156</v>
      </c>
      <c r="P3" s="57">
        <f t="shared" si="5"/>
        <v>92.83093757136119</v>
      </c>
      <c r="R3" s="47"/>
      <c r="S3" s="47"/>
      <c r="T3" s="47"/>
    </row>
    <row r="4" spans="1:20" ht="12.75" customHeight="1" x14ac:dyDescent="0.35">
      <c r="A4" s="49">
        <f>'New Vestas G20 120L'!W9</f>
        <v>20917606.81088499</v>
      </c>
      <c r="B4" s="48">
        <f>'New Vestas G20 120L'!T9</f>
        <v>119.78359925310309</v>
      </c>
      <c r="C4" s="50">
        <f t="shared" si="0"/>
        <v>7.320511995286985</v>
      </c>
      <c r="D4" s="50">
        <f t="shared" si="0"/>
        <v>2.0783973586085747</v>
      </c>
      <c r="E4" s="51">
        <f t="shared" si="6"/>
        <v>53.589895873140634</v>
      </c>
      <c r="F4" s="51">
        <f t="shared" si="6"/>
        <v>4.3197355802711002</v>
      </c>
      <c r="G4" s="52">
        <f t="shared" si="7"/>
        <v>15.214932794666856</v>
      </c>
      <c r="H4" s="59" t="s">
        <v>59</v>
      </c>
      <c r="I4" s="58">
        <f>SUM(D:D)</f>
        <v>64.35524089081234</v>
      </c>
      <c r="J4" s="51">
        <f t="shared" si="1"/>
        <v>7.8948775802155744</v>
      </c>
      <c r="K4" s="51">
        <f t="shared" si="2"/>
        <v>1.9848862814502917</v>
      </c>
      <c r="L4" s="55">
        <f t="shared" si="3"/>
        <v>1.6370805900320886E-2</v>
      </c>
      <c r="M4" s="51">
        <f t="shared" si="4"/>
        <v>1.9685154755499708</v>
      </c>
      <c r="N4" s="94">
        <f t="shared" si="8"/>
        <v>78501432.203539819</v>
      </c>
      <c r="O4" s="56">
        <f t="shared" si="9"/>
        <v>96.579795493073803</v>
      </c>
      <c r="P4" s="57">
        <f t="shared" si="5"/>
        <v>93.006965605231187</v>
      </c>
      <c r="R4" s="47"/>
      <c r="S4" s="47"/>
      <c r="T4" s="47"/>
    </row>
    <row r="5" spans="1:20" ht="12.75" customHeight="1" x14ac:dyDescent="0.35">
      <c r="A5" s="49">
        <f>'New Vestas G20 120L'!W10</f>
        <v>10109525.458900744</v>
      </c>
      <c r="B5" s="48">
        <f>'New Vestas G20 120L'!T10</f>
        <v>144.23390887684323</v>
      </c>
      <c r="C5" s="50">
        <f t="shared" si="0"/>
        <v>7.0047307702875674</v>
      </c>
      <c r="D5" s="50">
        <f t="shared" si="0"/>
        <v>2.1590673734686971</v>
      </c>
      <c r="E5" s="51">
        <f t="shared" si="6"/>
        <v>49.066253164213457</v>
      </c>
      <c r="F5" s="51">
        <f t="shared" si="6"/>
        <v>4.6615719231770187</v>
      </c>
      <c r="G5" s="52">
        <f t="shared" si="7"/>
        <v>15.123685666060142</v>
      </c>
      <c r="H5" s="59" t="s">
        <v>60</v>
      </c>
      <c r="I5" s="58">
        <f>SUM(E:E)</f>
        <v>1700.1591423041853</v>
      </c>
      <c r="J5" s="51">
        <f t="shared" si="1"/>
        <v>7.8909858325177025</v>
      </c>
      <c r="K5" s="51">
        <f t="shared" si="2"/>
        <v>1.9856065803461718</v>
      </c>
      <c r="L5" s="55">
        <f t="shared" si="3"/>
        <v>1.6261124856536822E-2</v>
      </c>
      <c r="M5" s="51">
        <f t="shared" si="4"/>
        <v>1.969345455489635</v>
      </c>
      <c r="N5" s="94">
        <f t="shared" si="8"/>
        <v>77801117.047493026</v>
      </c>
      <c r="O5" s="56">
        <f t="shared" si="9"/>
        <v>96.740110773278303</v>
      </c>
      <c r="P5" s="57">
        <f t="shared" si="5"/>
        <v>93.184881117762814</v>
      </c>
      <c r="R5" s="47"/>
      <c r="S5" s="47"/>
      <c r="T5" s="47"/>
    </row>
    <row r="6" spans="1:20" ht="12.75" customHeight="1" x14ac:dyDescent="0.35">
      <c r="A6" s="49">
        <f>'New Vestas G20 120L'!W11</f>
        <v>14470913.272516044</v>
      </c>
      <c r="B6" s="48">
        <f>'New Vestas G20 120L'!T11</f>
        <v>140.89783799974145</v>
      </c>
      <c r="C6" s="50">
        <f t="shared" si="0"/>
        <v>7.1604959407042559</v>
      </c>
      <c r="D6" s="50">
        <f t="shared" si="0"/>
        <v>2.1489043291492007</v>
      </c>
      <c r="E6" s="51">
        <f t="shared" si="6"/>
        <v>51.272702116842126</v>
      </c>
      <c r="F6" s="51">
        <f t="shared" si="6"/>
        <v>4.6177898158361765</v>
      </c>
      <c r="G6" s="52">
        <f t="shared" si="7"/>
        <v>15.387220725834654</v>
      </c>
      <c r="H6" s="59" t="s">
        <v>61</v>
      </c>
      <c r="I6" s="58">
        <f>SUM(F:F)</f>
        <v>133.65160125971101</v>
      </c>
      <c r="J6" s="51">
        <f t="shared" si="1"/>
        <v>7.8870588949798668</v>
      </c>
      <c r="K6" s="51">
        <f t="shared" si="2"/>
        <v>1.9863333923063202</v>
      </c>
      <c r="L6" s="55">
        <f t="shared" si="3"/>
        <v>1.6150588707559546E-2</v>
      </c>
      <c r="M6" s="51">
        <f t="shared" si="4"/>
        <v>1.9701828035987607</v>
      </c>
      <c r="N6" s="94">
        <f t="shared" si="8"/>
        <v>77100801.891446009</v>
      </c>
      <c r="O6" s="56">
        <f t="shared" si="9"/>
        <v>96.902145384333181</v>
      </c>
      <c r="P6" s="57">
        <f t="shared" si="5"/>
        <v>93.364720966853724</v>
      </c>
      <c r="R6" s="47"/>
      <c r="S6" s="47"/>
      <c r="T6" s="47"/>
    </row>
    <row r="7" spans="1:20" ht="12.75" customHeight="1" x14ac:dyDescent="0.35">
      <c r="A7" s="49">
        <f>'New Vestas G20 120L'!W12</f>
        <v>16288023.038008833</v>
      </c>
      <c r="B7" s="48">
        <f>'New Vestas G20 120L'!T12</f>
        <v>129.45570016687481</v>
      </c>
      <c r="C7" s="50">
        <f t="shared" si="0"/>
        <v>7.2118683749293213</v>
      </c>
      <c r="D7" s="50">
        <f t="shared" si="0"/>
        <v>2.1121211779575835</v>
      </c>
      <c r="E7" s="51">
        <f t="shared" si="6"/>
        <v>52.011045457305691</v>
      </c>
      <c r="F7" s="51">
        <f t="shared" si="6"/>
        <v>4.4610558703769296</v>
      </c>
      <c r="G7" s="52">
        <f t="shared" si="7"/>
        <v>15.232339927330761</v>
      </c>
      <c r="H7" s="59" t="s">
        <v>62</v>
      </c>
      <c r="I7" s="58">
        <f>SUM(G:G)</f>
        <v>476.15466726637533</v>
      </c>
      <c r="J7" s="51">
        <f t="shared" si="1"/>
        <v>7.8830961254058529</v>
      </c>
      <c r="K7" s="51">
        <f t="shared" si="2"/>
        <v>1.9870668361907609</v>
      </c>
      <c r="L7" s="55">
        <f t="shared" si="3"/>
        <v>1.6039185977771278E-2</v>
      </c>
      <c r="M7" s="51">
        <f t="shared" si="4"/>
        <v>1.9710276502129895</v>
      </c>
      <c r="N7" s="94">
        <f t="shared" si="8"/>
        <v>76400486.735398859</v>
      </c>
      <c r="O7" s="56">
        <f t="shared" si="9"/>
        <v>97.065933635680153</v>
      </c>
      <c r="P7" s="57">
        <f t="shared" si="5"/>
        <v>93.546523048677273</v>
      </c>
      <c r="R7" s="47"/>
      <c r="S7" s="47"/>
      <c r="T7" s="47"/>
    </row>
    <row r="8" spans="1:20" ht="12.75" customHeight="1" x14ac:dyDescent="0.35">
      <c r="A8" s="49">
        <f>'New Vestas G20 120L'!W13</f>
        <v>22452455.285122048</v>
      </c>
      <c r="B8" s="48">
        <f>'New Vestas G20 120L'!T13</f>
        <v>124.10042849573773</v>
      </c>
      <c r="C8" s="50">
        <f t="shared" si="0"/>
        <v>7.351263840148893</v>
      </c>
      <c r="D8" s="50">
        <f t="shared" si="0"/>
        <v>2.0937732810395286</v>
      </c>
      <c r="E8" s="51">
        <f t="shared" si="6"/>
        <v>54.041080047480648</v>
      </c>
      <c r="F8" s="51">
        <f t="shared" si="6"/>
        <v>4.3838865523950332</v>
      </c>
      <c r="G8" s="52">
        <f t="shared" si="7"/>
        <v>15.391879810375793</v>
      </c>
      <c r="H8" s="53" t="s">
        <v>63</v>
      </c>
      <c r="I8" s="58">
        <f>+I5-I3^2/$I$2</f>
        <v>1.3482650805101457</v>
      </c>
      <c r="J8" s="51">
        <f t="shared" si="1"/>
        <v>7.8790968638578169</v>
      </c>
      <c r="K8" s="51">
        <f t="shared" si="2"/>
        <v>1.987807034143203</v>
      </c>
      <c r="L8" s="55">
        <f t="shared" si="3"/>
        <v>1.5926905056211867E-2</v>
      </c>
      <c r="M8" s="51">
        <f t="shared" si="4"/>
        <v>1.9718801290869912</v>
      </c>
      <c r="N8" s="94">
        <f t="shared" si="8"/>
        <v>75700171.579351962</v>
      </c>
      <c r="O8" s="56">
        <f t="shared" si="9"/>
        <v>97.231510843941834</v>
      </c>
      <c r="P8" s="57">
        <f t="shared" si="5"/>
        <v>93.730326335480711</v>
      </c>
      <c r="R8" s="47"/>
      <c r="S8" s="47"/>
      <c r="T8" s="47"/>
    </row>
    <row r="9" spans="1:20" ht="12.75" customHeight="1" x14ac:dyDescent="0.35">
      <c r="A9" s="49">
        <f>'New Vestas G20 120L'!W14</f>
        <v>9870546.9109358415</v>
      </c>
      <c r="B9" s="48">
        <f>'New Vestas G20 120L'!T14</f>
        <v>142.5189443282251</v>
      </c>
      <c r="C9" s="50">
        <f t="shared" si="0"/>
        <v>6.9943412168865668</v>
      </c>
      <c r="D9" s="50">
        <f t="shared" si="0"/>
        <v>2.1538725967681969</v>
      </c>
      <c r="E9" s="51">
        <f t="shared" si="6"/>
        <v>48.920809058238262</v>
      </c>
      <c r="F9" s="51">
        <f t="shared" si="6"/>
        <v>4.6391671631089757</v>
      </c>
      <c r="G9" s="52">
        <f t="shared" si="7"/>
        <v>15.0649198794983</v>
      </c>
      <c r="H9" s="59" t="s">
        <v>64</v>
      </c>
      <c r="I9" s="58">
        <f>+I6-I4^2/$I$2</f>
        <v>5.169706246957162E-2</v>
      </c>
      <c r="J9" s="51">
        <f t="shared" si="1"/>
        <v>7.875060431996685</v>
      </c>
      <c r="K9" s="51">
        <f t="shared" si="2"/>
        <v>1.9885541117131234</v>
      </c>
      <c r="L9" s="55">
        <f t="shared" si="3"/>
        <v>1.5813734201936731E-2</v>
      </c>
      <c r="M9" s="51">
        <f t="shared" si="4"/>
        <v>1.9727403775111867</v>
      </c>
      <c r="N9" s="94">
        <f t="shared" si="8"/>
        <v>74999856.423305079</v>
      </c>
      <c r="O9" s="56">
        <f t="shared" si="9"/>
        <v>97.398913372133123</v>
      </c>
      <c r="P9" s="57">
        <f t="shared" si="5"/>
        <v>93.916170915037725</v>
      </c>
      <c r="R9" s="47"/>
      <c r="S9" s="47"/>
      <c r="T9" s="47"/>
    </row>
    <row r="10" spans="1:20" ht="12.75" customHeight="1" x14ac:dyDescent="0.35">
      <c r="A10" s="49">
        <f>'New Vestas G20 120L'!W15</f>
        <v>12982792.320875306</v>
      </c>
      <c r="B10" s="48">
        <f>'New Vestas G20 120L'!T15</f>
        <v>133.45670982827062</v>
      </c>
      <c r="C10" s="50">
        <f t="shared" si="0"/>
        <v>7.1133681099625559</v>
      </c>
      <c r="D10" s="50">
        <f t="shared" si="0"/>
        <v>2.1253404137783507</v>
      </c>
      <c r="E10" s="51">
        <f t="shared" si="6"/>
        <v>50.600005867832266</v>
      </c>
      <c r="F10" s="51">
        <f t="shared" si="6"/>
        <v>4.5170718744395311</v>
      </c>
      <c r="G10" s="52">
        <f t="shared" si="7"/>
        <v>15.118328722185543</v>
      </c>
      <c r="H10" s="59" t="s">
        <v>65</v>
      </c>
      <c r="I10" s="58">
        <f>+I7-I3*I4/$I$2</f>
        <v>-0.24954183164965116</v>
      </c>
      <c r="J10" s="51">
        <f t="shared" si="1"/>
        <v>7.870986132391617</v>
      </c>
      <c r="K10" s="51">
        <f t="shared" si="2"/>
        <v>1.9893081979835721</v>
      </c>
      <c r="L10" s="55">
        <f t="shared" si="3"/>
        <v>1.5699661550353364E-2</v>
      </c>
      <c r="M10" s="51">
        <f t="shared" si="4"/>
        <v>1.9736085364332188</v>
      </c>
      <c r="N10" s="94">
        <f t="shared" si="8"/>
        <v>74299541.267258078</v>
      </c>
      <c r="O10" s="56">
        <f t="shared" si="9"/>
        <v>97.568178670780824</v>
      </c>
      <c r="P10" s="57">
        <f t="shared" si="5"/>
        <v>94.104098031837765</v>
      </c>
      <c r="R10" s="47"/>
      <c r="S10" s="47"/>
      <c r="T10" s="47"/>
    </row>
    <row r="11" spans="1:20" ht="12.75" customHeight="1" x14ac:dyDescent="0.35">
      <c r="A11" s="49">
        <f>'New Vestas G20 120L'!W16</f>
        <v>15117174.762536354</v>
      </c>
      <c r="B11" s="48">
        <f>'New Vestas G20 120L'!T16</f>
        <v>124.71603849452865</v>
      </c>
      <c r="C11" s="50">
        <f t="shared" si="0"/>
        <v>7.1794706337783794</v>
      </c>
      <c r="D11" s="50">
        <f t="shared" si="0"/>
        <v>2.0959223073821125</v>
      </c>
      <c r="E11" s="51">
        <f t="shared" si="6"/>
        <v>51.544798581286123</v>
      </c>
      <c r="F11" s="51">
        <f t="shared" si="6"/>
        <v>4.3928903185819586</v>
      </c>
      <c r="G11" s="52">
        <f t="shared" si="7"/>
        <v>15.047612656530898</v>
      </c>
      <c r="H11" s="59" t="s">
        <v>66</v>
      </c>
      <c r="I11" s="58">
        <f>+I3/$I$2</f>
        <v>7.402725908621977</v>
      </c>
      <c r="J11" s="51">
        <f t="shared" si="1"/>
        <v>7.8668732477967689</v>
      </c>
      <c r="K11" s="51">
        <f t="shared" si="2"/>
        <v>1.9900694257050329</v>
      </c>
      <c r="L11" s="55">
        <f t="shared" si="3"/>
        <v>1.5584675120651944E-2</v>
      </c>
      <c r="M11" s="51">
        <f t="shared" si="4"/>
        <v>1.974484750584381</v>
      </c>
      <c r="N11" s="94">
        <f t="shared" si="8"/>
        <v>73599226.111210912</v>
      </c>
      <c r="O11" s="56">
        <f t="shared" si="9"/>
        <v>97.739345321065002</v>
      </c>
      <c r="P11" s="57">
        <f t="shared" si="5"/>
        <v>94.294150130098487</v>
      </c>
      <c r="R11" s="47"/>
      <c r="S11" s="47"/>
      <c r="T11" s="47"/>
    </row>
    <row r="12" spans="1:20" ht="12.75" customHeight="1" x14ac:dyDescent="0.35">
      <c r="A12" s="49">
        <f>'New Vestas G20 120L'!W17</f>
        <v>22379092.088151079</v>
      </c>
      <c r="B12" s="48">
        <f>'New Vestas G20 120L'!T17</f>
        <v>123.89751408438963</v>
      </c>
      <c r="C12" s="50">
        <f t="shared" si="0"/>
        <v>7.349842463376234</v>
      </c>
      <c r="D12" s="50">
        <f t="shared" si="0"/>
        <v>2.0930625926531992</v>
      </c>
      <c r="E12" s="51">
        <f t="shared" si="6"/>
        <v>54.020184236448429</v>
      </c>
      <c r="F12" s="51">
        <f t="shared" si="6"/>
        <v>4.3809110167641316</v>
      </c>
      <c r="G12" s="52">
        <f t="shared" si="7"/>
        <v>15.383680321986837</v>
      </c>
      <c r="H12" s="59" t="s">
        <v>67</v>
      </c>
      <c r="I12" s="58">
        <f>+I4/$I$2</f>
        <v>2.0759755126068495</v>
      </c>
      <c r="J12" s="51">
        <f t="shared" si="1"/>
        <v>7.8627210403934793</v>
      </c>
      <c r="K12" s="51">
        <f t="shared" si="2"/>
        <v>1.9908379314356821</v>
      </c>
      <c r="L12" s="55">
        <f t="shared" si="3"/>
        <v>1.5468762824458977E-2</v>
      </c>
      <c r="M12" s="51">
        <f t="shared" si="4"/>
        <v>1.9753691686112231</v>
      </c>
      <c r="N12" s="94">
        <f t="shared" si="8"/>
        <v>72898910.955164045</v>
      </c>
      <c r="O12" s="56">
        <f t="shared" si="9"/>
        <v>97.912453080101116</v>
      </c>
      <c r="P12" s="57">
        <f t="shared" si="5"/>
        <v>94.486370898691163</v>
      </c>
      <c r="R12" s="47"/>
      <c r="S12" s="47"/>
      <c r="T12" s="47"/>
    </row>
    <row r="13" spans="1:20" ht="12.75" customHeight="1" x14ac:dyDescent="0.35">
      <c r="A13" s="49">
        <f>'New Vestas G20 120L'!W18</f>
        <v>28566701.973071992</v>
      </c>
      <c r="B13" s="48">
        <f>'New Vestas G20 120L'!T18</f>
        <v>125.0881979570498</v>
      </c>
      <c r="C13" s="50">
        <f t="shared" si="0"/>
        <v>7.455860103960859</v>
      </c>
      <c r="D13" s="50">
        <f t="shared" si="0"/>
        <v>2.0972163360409928</v>
      </c>
      <c r="E13" s="51">
        <f t="shared" si="6"/>
        <v>55.589849889835229</v>
      </c>
      <c r="F13" s="51">
        <f t="shared" si="6"/>
        <v>4.3983163601572066</v>
      </c>
      <c r="G13" s="52">
        <f t="shared" si="7"/>
        <v>15.636551609263009</v>
      </c>
      <c r="H13" s="59" t="s">
        <v>68</v>
      </c>
      <c r="I13" s="60">
        <f>+I10/I8</f>
        <v>-0.18508365695804532</v>
      </c>
      <c r="J13" s="51">
        <f t="shared" si="1"/>
        <v>7.8585287509958803</v>
      </c>
      <c r="K13" s="51">
        <f t="shared" si="2"/>
        <v>1.9916138556884162</v>
      </c>
      <c r="L13" s="55">
        <f t="shared" si="3"/>
        <v>1.5351912475857992E-2</v>
      </c>
      <c r="M13" s="51">
        <f t="shared" si="4"/>
        <v>1.9762619432125581</v>
      </c>
      <c r="N13" s="94">
        <f t="shared" si="8"/>
        <v>72198595.799116895</v>
      </c>
      <c r="O13" s="56">
        <f t="shared" si="9"/>
        <v>98.087542928489327</v>
      </c>
      <c r="P13" s="57">
        <f t="shared" si="5"/>
        <v>94.680805318073212</v>
      </c>
      <c r="R13" s="47"/>
      <c r="S13" s="47"/>
      <c r="T13" s="47"/>
    </row>
    <row r="14" spans="1:20" ht="12.75" customHeight="1" x14ac:dyDescent="0.35">
      <c r="A14" s="49">
        <f>'New Vestas G20 120L'!W19</f>
        <v>28849422.785649415</v>
      </c>
      <c r="B14" s="48">
        <f>'New Vestas G20 120L'!T19</f>
        <v>116.38083086759765</v>
      </c>
      <c r="C14" s="50">
        <f t="shared" si="0"/>
        <v>7.4601371282884532</v>
      </c>
      <c r="D14" s="50">
        <f t="shared" si="0"/>
        <v>2.0658814533894834</v>
      </c>
      <c r="E14" s="51">
        <f t="shared" si="6"/>
        <v>55.653645972867892</v>
      </c>
      <c r="F14" s="51">
        <f t="shared" si="6"/>
        <v>4.2678661794586441</v>
      </c>
      <c r="G14" s="52">
        <f t="shared" si="7"/>
        <v>15.411758933073397</v>
      </c>
      <c r="H14" s="59" t="s">
        <v>69</v>
      </c>
      <c r="I14" s="60">
        <f>+I12-I13*I11</f>
        <v>3.446099095232674</v>
      </c>
      <c r="J14" s="51">
        <f t="shared" si="1"/>
        <v>7.8542955982177896</v>
      </c>
      <c r="K14" s="51">
        <f t="shared" si="2"/>
        <v>1.9923973430850472</v>
      </c>
      <c r="L14" s="55">
        <f t="shared" si="3"/>
        <v>1.5234111802938136E-2</v>
      </c>
      <c r="M14" s="51">
        <f t="shared" si="4"/>
        <v>1.977163231282109</v>
      </c>
      <c r="N14" s="94">
        <f t="shared" si="8"/>
        <v>71498280.643070057</v>
      </c>
      <c r="O14" s="56">
        <f t="shared" si="9"/>
        <v>98.264657120271352</v>
      </c>
      <c r="P14" s="57">
        <f t="shared" si="5"/>
        <v>94.877499709329811</v>
      </c>
      <c r="R14" s="47"/>
      <c r="S14" s="47"/>
      <c r="T14" s="47"/>
    </row>
    <row r="15" spans="1:20" ht="12.75" customHeight="1" thickBot="1" x14ac:dyDescent="0.4">
      <c r="A15" s="49">
        <f>'New Vestas G20 120L'!W20</f>
        <v>31589759.018365614</v>
      </c>
      <c r="B15" s="48">
        <f>'New Vestas G20 120L'!T20</f>
        <v>113.91740208566142</v>
      </c>
      <c r="C15" s="50">
        <f t="shared" si="0"/>
        <v>7.4995463129139104</v>
      </c>
      <c r="D15" s="50">
        <f t="shared" si="0"/>
        <v>2.0565900722133681</v>
      </c>
      <c r="E15" s="51">
        <f t="shared" si="6"/>
        <v>56.243194899540626</v>
      </c>
      <c r="F15" s="51">
        <f t="shared" si="6"/>
        <v>4.2295627251265868</v>
      </c>
      <c r="G15" s="52">
        <f t="shared" si="7"/>
        <v>15.423492493243117</v>
      </c>
      <c r="H15" s="61" t="s">
        <v>70</v>
      </c>
      <c r="I15" s="62">
        <f>+I10^2/(I8*I9)</f>
        <v>0.89339920992437483</v>
      </c>
      <c r="J15" s="51">
        <f t="shared" si="1"/>
        <v>7.8500207775985995</v>
      </c>
      <c r="K15" s="51">
        <f t="shared" si="2"/>
        <v>1.9931885425180866</v>
      </c>
      <c r="L15" s="55">
        <f t="shared" si="3"/>
        <v>1.5115348461050551E-2</v>
      </c>
      <c r="M15" s="51">
        <f t="shared" si="4"/>
        <v>1.9780731940570362</v>
      </c>
      <c r="N15" s="94">
        <f t="shared" si="8"/>
        <v>70797965.48702313</v>
      </c>
      <c r="O15" s="56">
        <f t="shared" si="9"/>
        <v>98.443839235437594</v>
      </c>
      <c r="P15" s="57">
        <f t="shared" si="5"/>
        <v>95.076501785426316</v>
      </c>
      <c r="R15" s="47"/>
      <c r="S15" s="47"/>
      <c r="T15" s="47"/>
    </row>
    <row r="16" spans="1:20" ht="12.75" customHeight="1" x14ac:dyDescent="0.35">
      <c r="A16" s="49">
        <f>'New Vestas G20 120L'!W21</f>
        <v>34137295.841809817</v>
      </c>
      <c r="B16" s="48">
        <f>'New Vestas G20 120L'!T21</f>
        <v>111.6490963684362</v>
      </c>
      <c r="C16" s="50">
        <f t="shared" si="0"/>
        <v>7.5332291158562317</v>
      </c>
      <c r="D16" s="50">
        <f t="shared" si="0"/>
        <v>2.0478552124608385</v>
      </c>
      <c r="E16" s="51">
        <f t="shared" si="6"/>
        <v>56.749540911984063</v>
      </c>
      <c r="F16" s="51">
        <f t="shared" si="6"/>
        <v>4.1937109712030258</v>
      </c>
      <c r="G16" s="52">
        <f t="shared" si="7"/>
        <v>15.426962511567938</v>
      </c>
      <c r="H16" s="63" t="s">
        <v>71</v>
      </c>
      <c r="I16" s="64"/>
      <c r="J16" s="51">
        <f t="shared" si="1"/>
        <v>7.8457034606857183</v>
      </c>
      <c r="K16" s="51">
        <f t="shared" si="2"/>
        <v>1.9939876073205696</v>
      </c>
      <c r="L16" s="55">
        <f t="shared" si="3"/>
        <v>1.499561004797373E-2</v>
      </c>
      <c r="M16" s="51">
        <f t="shared" si="4"/>
        <v>1.9789919972725958</v>
      </c>
      <c r="N16" s="94">
        <f t="shared" si="8"/>
        <v>70097650.330976024</v>
      </c>
      <c r="O16" s="56">
        <f t="shared" si="9"/>
        <v>98.625134235143761</v>
      </c>
      <c r="P16" s="57">
        <f t="shared" si="5"/>
        <v>95.277860704782555</v>
      </c>
      <c r="R16" s="47"/>
      <c r="S16" s="47"/>
      <c r="T16" s="47"/>
    </row>
    <row r="17" spans="1:20" ht="12.75" customHeight="1" x14ac:dyDescent="0.35">
      <c r="A17" s="49">
        <f>'New Vestas G20 120L'!W22</f>
        <v>38787291.893262208</v>
      </c>
      <c r="B17" s="48">
        <f>'New Vestas G20 120L'!T22</f>
        <v>107.64907339062384</v>
      </c>
      <c r="C17" s="50">
        <f t="shared" si="0"/>
        <v>7.5886894584639508</v>
      </c>
      <c r="D17" s="50">
        <f t="shared" si="0"/>
        <v>2.032010295905248</v>
      </c>
      <c r="E17" s="51">
        <f t="shared" si="6"/>
        <v>57.588207697001891</v>
      </c>
      <c r="F17" s="51">
        <f t="shared" si="6"/>
        <v>4.1290658426649332</v>
      </c>
      <c r="G17" s="52">
        <f t="shared" si="7"/>
        <v>15.420295112026368</v>
      </c>
      <c r="H17" s="53" t="s">
        <v>72</v>
      </c>
      <c r="I17" s="65">
        <f>(+I9-(+I10^2/I8))/($I$2-2)</f>
        <v>1.9003267944294104E-4</v>
      </c>
      <c r="J17" s="51">
        <f t="shared" si="1"/>
        <v>7.8413427940709424</v>
      </c>
      <c r="K17" s="51">
        <f t="shared" si="2"/>
        <v>1.9947946954444071</v>
      </c>
      <c r="L17" s="55">
        <f t="shared" si="3"/>
        <v>1.4874884121212999E-2</v>
      </c>
      <c r="M17" s="51">
        <f t="shared" si="4"/>
        <v>1.9799198113231942</v>
      </c>
      <c r="N17" s="94">
        <f t="shared" si="8"/>
        <v>69397335.174929217</v>
      </c>
      <c r="O17" s="56">
        <f t="shared" si="9"/>
        <v>98.808588519805909</v>
      </c>
      <c r="P17" s="57">
        <f t="shared" si="5"/>
        <v>95.48162712728444</v>
      </c>
      <c r="R17" s="47"/>
      <c r="S17" s="47"/>
      <c r="T17" s="47"/>
    </row>
    <row r="18" spans="1:20" ht="12.75" customHeight="1" x14ac:dyDescent="0.35">
      <c r="A18" s="49">
        <f>'New Vestas G20 120L'!W23</f>
        <v>41492936.792937681</v>
      </c>
      <c r="B18" s="48">
        <f>'New Vestas G20 120L'!T23</f>
        <v>106.60028688260051</v>
      </c>
      <c r="C18" s="50">
        <f t="shared" si="0"/>
        <v>7.6179741744729803</v>
      </c>
      <c r="D18" s="50">
        <f t="shared" si="0"/>
        <v>2.0277583734650628</v>
      </c>
      <c r="E18" s="51">
        <f t="shared" si="6"/>
        <v>58.033530522937284</v>
      </c>
      <c r="F18" s="51">
        <f t="shared" si="6"/>
        <v>4.1118040211576776</v>
      </c>
      <c r="G18" s="52">
        <f t="shared" si="7"/>
        <v>15.447410921128185</v>
      </c>
      <c r="H18" s="66" t="s">
        <v>53</v>
      </c>
      <c r="I18" s="67">
        <v>0.95</v>
      </c>
      <c r="J18" s="51">
        <f t="shared" si="1"/>
        <v>7.8369378983779585</v>
      </c>
      <c r="K18" s="51">
        <f t="shared" si="2"/>
        <v>1.9956099696477834</v>
      </c>
      <c r="L18" s="55">
        <f t="shared" si="3"/>
        <v>1.4753158217686496E-2</v>
      </c>
      <c r="M18" s="51">
        <f t="shared" si="4"/>
        <v>1.9808568114300968</v>
      </c>
      <c r="N18" s="94">
        <f t="shared" si="8"/>
        <v>68697020.01888226</v>
      </c>
      <c r="O18" s="56">
        <f t="shared" si="9"/>
        <v>98.994249990252342</v>
      </c>
      <c r="P18" s="57">
        <f t="shared" si="5"/>
        <v>95.687853272850489</v>
      </c>
      <c r="R18" s="47"/>
      <c r="S18" s="47"/>
      <c r="T18" s="47"/>
    </row>
    <row r="19" spans="1:20" ht="12.75" customHeight="1" x14ac:dyDescent="0.35">
      <c r="A19" s="49">
        <f>'New Vestas G20 120L'!W24</f>
        <v>18294468.505622923</v>
      </c>
      <c r="B19" s="48">
        <f>'New Vestas G20 120L'!T24</f>
        <v>122.60037878831164</v>
      </c>
      <c r="C19" s="50">
        <f t="shared" si="0"/>
        <v>7.262319796800047</v>
      </c>
      <c r="D19" s="50">
        <f t="shared" si="0"/>
        <v>2.0884918119884275</v>
      </c>
      <c r="E19" s="51">
        <f t="shared" si="6"/>
        <v>52.741288830993874</v>
      </c>
      <c r="F19" s="51">
        <f t="shared" si="6"/>
        <v>4.3617980487427053</v>
      </c>
      <c r="G19" s="52">
        <f t="shared" si="7"/>
        <v>15.167295431658358</v>
      </c>
      <c r="H19" s="53" t="s">
        <v>73</v>
      </c>
      <c r="I19" s="68">
        <f>_xlfn.T.INV(1-(1-I18)/2,I2-2)</f>
        <v>2.0452296421327034</v>
      </c>
      <c r="J19" s="51">
        <f t="shared" si="1"/>
        <v>7.8324878671979707</v>
      </c>
      <c r="K19" s="51">
        <f t="shared" si="2"/>
        <v>1.9964335976921528</v>
      </c>
      <c r="L19" s="55">
        <f t="shared" si="3"/>
        <v>1.4630419876080429E-2</v>
      </c>
      <c r="M19" s="51">
        <f t="shared" si="4"/>
        <v>1.9818031778160723</v>
      </c>
      <c r="N19" s="94">
        <f t="shared" si="8"/>
        <v>67996704.862835169</v>
      </c>
      <c r="O19" s="56">
        <f t="shared" si="9"/>
        <v>99.182168112128338</v>
      </c>
      <c r="P19" s="57">
        <f t="shared" si="5"/>
        <v>95.896592982681653</v>
      </c>
      <c r="R19" s="47"/>
      <c r="S19" s="47"/>
      <c r="T19" s="47"/>
    </row>
    <row r="20" spans="1:20" ht="12.75" customHeight="1" x14ac:dyDescent="0.35">
      <c r="A20" s="49">
        <f>'New Vestas G20 120L'!W25</f>
        <v>21312287.2536062</v>
      </c>
      <c r="B20" s="48">
        <f>'New Vestas G20 120L'!T25</f>
        <v>118.35645197110961</v>
      </c>
      <c r="C20" s="50">
        <f t="shared" si="0"/>
        <v>7.3286300610851463</v>
      </c>
      <c r="D20" s="50">
        <f t="shared" si="0"/>
        <v>2.073191937626949</v>
      </c>
      <c r="E20" s="51">
        <f t="shared" si="6"/>
        <v>53.708818572240872</v>
      </c>
      <c r="F20" s="51">
        <f t="shared" si="6"/>
        <v>4.2981248102413829</v>
      </c>
      <c r="G20" s="52">
        <f t="shared" si="7"/>
        <v>15.193656756492219</v>
      </c>
      <c r="H20" s="53" t="s">
        <v>74</v>
      </c>
      <c r="I20" s="68">
        <f>_xlfn.F.INV(I18,2,I2-2)</f>
        <v>3.3276544985720586</v>
      </c>
      <c r="J20" s="51">
        <f t="shared" si="1"/>
        <v>7.8279917659702303</v>
      </c>
      <c r="K20" s="51">
        <f t="shared" si="2"/>
        <v>1.9972657525494364</v>
      </c>
      <c r="L20" s="55">
        <f t="shared" si="3"/>
        <v>1.4506656662190982E-2</v>
      </c>
      <c r="M20" s="51">
        <f t="shared" si="4"/>
        <v>1.9827590958872454</v>
      </c>
      <c r="N20" s="94">
        <f t="shared" si="8"/>
        <v>67296389.706788123</v>
      </c>
      <c r="O20" s="56">
        <f t="shared" si="9"/>
        <v>99.372393983762052</v>
      </c>
      <c r="P20" s="57">
        <f t="shared" si="5"/>
        <v>96.107901783323229</v>
      </c>
      <c r="R20" s="47"/>
      <c r="S20" s="47"/>
      <c r="T20" s="47"/>
    </row>
    <row r="21" spans="1:20" ht="12.75" customHeight="1" x14ac:dyDescent="0.35">
      <c r="A21" s="49">
        <f>'New Vestas G20 120L'!W26</f>
        <v>25175767.751475215</v>
      </c>
      <c r="B21" s="48">
        <f>'New Vestas G20 120L'!T26</f>
        <v>117.42961737884711</v>
      </c>
      <c r="C21" s="50">
        <f t="shared" si="0"/>
        <v>7.4009827235213868</v>
      </c>
      <c r="D21" s="50">
        <f t="shared" si="0"/>
        <v>2.0697776458212562</v>
      </c>
      <c r="E21" s="51">
        <f t="shared" si="6"/>
        <v>54.774545273862046</v>
      </c>
      <c r="F21" s="51">
        <f t="shared" si="6"/>
        <v>4.2839795031413814</v>
      </c>
      <c r="G21" s="52">
        <f t="shared" si="7"/>
        <v>15.318388598253884</v>
      </c>
      <c r="H21" s="53" t="s">
        <v>75</v>
      </c>
      <c r="I21" s="68">
        <f>I19*SQRT(I17)*(($I$8)^(-1/2))</f>
        <v>2.4281112497442282E-2</v>
      </c>
      <c r="J21" s="51">
        <f t="shared" si="1"/>
        <v>7.8234486308040072</v>
      </c>
      <c r="K21" s="51">
        <f t="shared" si="2"/>
        <v>1.9981066126200557</v>
      </c>
      <c r="L21" s="55">
        <f t="shared" si="3"/>
        <v>1.4381856197609033E-2</v>
      </c>
      <c r="M21" s="51">
        <f t="shared" si="4"/>
        <v>1.9837247564224467</v>
      </c>
      <c r="N21" s="94">
        <f t="shared" si="8"/>
        <v>66596074.550741144</v>
      </c>
      <c r="O21" s="56">
        <f t="shared" si="9"/>
        <v>99.56498040771379</v>
      </c>
      <c r="P21" s="57">
        <f t="shared" si="5"/>
        <v>96.321836953676069</v>
      </c>
      <c r="R21" s="47"/>
      <c r="S21" s="47"/>
      <c r="T21" s="47"/>
    </row>
    <row r="22" spans="1:20" ht="12.75" customHeight="1" thickBot="1" x14ac:dyDescent="0.4">
      <c r="A22" s="49">
        <f>'New Vestas G20 120L'!W27</f>
        <v>28403747.09112335</v>
      </c>
      <c r="B22" s="48">
        <f>'New Vestas G20 120L'!T27</f>
        <v>115.47838665829444</v>
      </c>
      <c r="C22" s="50">
        <f t="shared" si="0"/>
        <v>7.453375637006614</v>
      </c>
      <c r="D22" s="50">
        <f t="shared" si="0"/>
        <v>2.0625007077485633</v>
      </c>
      <c r="E22" s="51">
        <f t="shared" si="6"/>
        <v>55.552808386323747</v>
      </c>
      <c r="F22" s="51">
        <f t="shared" si="6"/>
        <v>4.2539091694633244</v>
      </c>
      <c r="G22" s="52">
        <f t="shared" si="7"/>
        <v>15.372592526442041</v>
      </c>
      <c r="H22" s="61" t="s">
        <v>76</v>
      </c>
      <c r="I22" s="69">
        <f>I19*SQRT(I17)*(1/I2+I11^2/I8)^(1/2)</f>
        <v>0.17981773450402125</v>
      </c>
      <c r="J22" s="51">
        <f t="shared" si="1"/>
        <v>7.8188574672382929</v>
      </c>
      <c r="K22" s="51">
        <f t="shared" si="2"/>
        <v>1.9989563619624906</v>
      </c>
      <c r="L22" s="55">
        <f t="shared" si="3"/>
        <v>1.4256006192148145E-2</v>
      </c>
      <c r="M22" s="51">
        <f t="shared" si="4"/>
        <v>1.9847003557703424</v>
      </c>
      <c r="N22" s="94">
        <f t="shared" si="8"/>
        <v>65895759.394694202</v>
      </c>
      <c r="O22" s="56">
        <f t="shared" si="9"/>
        <v>99.759981966252724</v>
      </c>
      <c r="P22" s="57">
        <f t="shared" si="5"/>
        <v>96.538457595099317</v>
      </c>
      <c r="R22" s="47"/>
      <c r="S22" s="47"/>
      <c r="T22" s="47"/>
    </row>
    <row r="23" spans="1:20" ht="12.75" customHeight="1" x14ac:dyDescent="0.35">
      <c r="A23" s="49">
        <f>'New Vestas G20 120L'!W28</f>
        <v>35889354.556029454</v>
      </c>
      <c r="B23" s="48">
        <f>'New Vestas G20 120L'!T28</f>
        <v>114.47838091401121</v>
      </c>
      <c r="C23" s="50">
        <f t="shared" si="0"/>
        <v>7.5549656479326996</v>
      </c>
      <c r="D23" s="50">
        <f t="shared" si="0"/>
        <v>2.0587234784990724</v>
      </c>
      <c r="E23" s="51">
        <f t="shared" si="6"/>
        <v>57.077505941443157</v>
      </c>
      <c r="F23" s="51">
        <f t="shared" si="6"/>
        <v>4.2383423609233208</v>
      </c>
      <c r="G23" s="52">
        <f t="shared" si="7"/>
        <v>15.553585158653005</v>
      </c>
      <c r="H23" s="63" t="s">
        <v>77</v>
      </c>
      <c r="I23" s="70"/>
      <c r="J23" s="51">
        <f t="shared" si="1"/>
        <v>7.8142172489352388</v>
      </c>
      <c r="K23" s="51">
        <f t="shared" si="2"/>
        <v>1.9998151905351036</v>
      </c>
      <c r="L23" s="55">
        <f t="shared" si="3"/>
        <v>1.4129094480465915E-2</v>
      </c>
      <c r="M23" s="51">
        <f t="shared" si="4"/>
        <v>1.9856860960546376</v>
      </c>
      <c r="N23" s="94">
        <f t="shared" si="8"/>
        <v>65195444.23864717</v>
      </c>
      <c r="O23" s="56">
        <f t="shared" si="9"/>
        <v>99.95745510101851</v>
      </c>
      <c r="P23" s="57">
        <f t="shared" si="5"/>
        <v>96.757824704751485</v>
      </c>
      <c r="R23" s="47"/>
      <c r="S23" s="47"/>
      <c r="T23" s="47"/>
    </row>
    <row r="24" spans="1:20" ht="12.75" customHeight="1" x14ac:dyDescent="0.35">
      <c r="A24" s="49">
        <f>'New Vestas G20 120L'!W29</f>
        <v>39183425.385658704</v>
      </c>
      <c r="B24" s="48">
        <f>'New Vestas G20 120L'!T29</f>
        <v>113.47837516972798</v>
      </c>
      <c r="C24" s="50">
        <f t="shared" si="0"/>
        <v>7.593102399016157</v>
      </c>
      <c r="D24" s="50">
        <f t="shared" si="0"/>
        <v>2.0549131087604637</v>
      </c>
      <c r="E24" s="51">
        <f t="shared" si="6"/>
        <v>57.65520404194492</v>
      </c>
      <c r="F24" s="51">
        <f t="shared" si="6"/>
        <v>4.2226678845555936</v>
      </c>
      <c r="G24" s="52">
        <f t="shared" si="7"/>
        <v>15.603165655898826</v>
      </c>
      <c r="H24" s="66" t="s">
        <v>78</v>
      </c>
      <c r="I24" s="71">
        <f>10^(MAX(C:C))</f>
        <v>79902062.515633658</v>
      </c>
      <c r="J24" s="51">
        <f t="shared" si="1"/>
        <v>7.8095269163030423</v>
      </c>
      <c r="K24" s="51">
        <f t="shared" si="2"/>
        <v>2.0006832944510204</v>
      </c>
      <c r="L24" s="55">
        <f t="shared" si="3"/>
        <v>1.4001109063385669E-2</v>
      </c>
      <c r="M24" s="51">
        <f t="shared" si="4"/>
        <v>1.9866821853876349</v>
      </c>
      <c r="N24" s="94">
        <f t="shared" si="8"/>
        <v>64495129.082600236</v>
      </c>
      <c r="O24" s="56">
        <f t="shared" si="9"/>
        <v>100.15745819714817</v>
      </c>
      <c r="P24" s="57">
        <f t="shared" si="5"/>
        <v>96.980001252321699</v>
      </c>
      <c r="R24" s="47"/>
      <c r="S24" s="47"/>
      <c r="T24" s="47"/>
    </row>
    <row r="25" spans="1:20" ht="12.75" customHeight="1" thickBot="1" x14ac:dyDescent="0.4">
      <c r="A25" s="49">
        <f>'New Vestas G20 120L'!W30</f>
        <v>38664355.264964215</v>
      </c>
      <c r="B25" s="48">
        <f>'New Vestas G20 120L'!T30</f>
        <v>107.47834070402855</v>
      </c>
      <c r="C25" s="50">
        <f t="shared" si="0"/>
        <v>7.587310772636326</v>
      </c>
      <c r="D25" s="50">
        <f t="shared" si="0"/>
        <v>2.0313209529914356</v>
      </c>
      <c r="E25" s="51">
        <f t="shared" si="6"/>
        <v>57.56728476056324</v>
      </c>
      <c r="F25" s="51">
        <f t="shared" si="6"/>
        <v>4.1262648140620337</v>
      </c>
      <c r="G25" s="52">
        <f t="shared" si="7"/>
        <v>15.412263349313807</v>
      </c>
      <c r="H25" s="72" t="s">
        <v>79</v>
      </c>
      <c r="I25" s="73">
        <f>10^(MIN(C:C))</f>
        <v>9870546.9109358788</v>
      </c>
      <c r="J25" s="51">
        <f t="shared" si="1"/>
        <v>7.804785375043644</v>
      </c>
      <c r="K25" s="51">
        <f t="shared" si="2"/>
        <v>2.001560876246927</v>
      </c>
      <c r="L25" s="55">
        <f t="shared" si="3"/>
        <v>1.3872038154488916E-2</v>
      </c>
      <c r="M25" s="51">
        <f t="shared" si="4"/>
        <v>1.987688838092438</v>
      </c>
      <c r="N25" s="94">
        <f t="shared" si="8"/>
        <v>63794813.926553361</v>
      </c>
      <c r="O25" s="56">
        <f t="shared" si="9"/>
        <v>100.36005167217114</v>
      </c>
      <c r="P25" s="57">
        <f t="shared" si="5"/>
        <v>97.205052260309031</v>
      </c>
      <c r="R25" s="47"/>
      <c r="S25" s="47"/>
      <c r="T25" s="47"/>
    </row>
    <row r="26" spans="1:20" ht="12.75" customHeight="1" x14ac:dyDescent="0.35">
      <c r="A26" s="49">
        <f>'New Vestas G20 120L'!W31</f>
        <v>21415652.508545797</v>
      </c>
      <c r="B26" s="48">
        <f>'New Vestas G20 120L'!T31</f>
        <v>118.64312103662732</v>
      </c>
      <c r="C26" s="50">
        <f t="shared" si="0"/>
        <v>7.3307313113519514</v>
      </c>
      <c r="D26" s="50">
        <f t="shared" si="0"/>
        <v>2.0742425627603511</v>
      </c>
      <c r="E26" s="51">
        <f t="shared" si="6"/>
        <v>53.7396215592359</v>
      </c>
      <c r="F26" s="51">
        <f t="shared" si="6"/>
        <v>4.3024822091666293</v>
      </c>
      <c r="G26" s="52">
        <f t="shared" si="7"/>
        <v>15.205714902166221</v>
      </c>
      <c r="H26" s="63" t="s">
        <v>80</v>
      </c>
      <c r="I26" s="70"/>
      <c r="J26" s="51">
        <f t="shared" si="1"/>
        <v>7.7999914946202775</v>
      </c>
      <c r="K26" s="51">
        <f t="shared" si="2"/>
        <v>2.0024481451667033</v>
      </c>
      <c r="L26" s="55">
        <f t="shared" si="3"/>
        <v>1.3741870232622898E-2</v>
      </c>
      <c r="M26" s="51">
        <f t="shared" si="4"/>
        <v>1.9887062749340805</v>
      </c>
      <c r="N26" s="94">
        <f t="shared" si="8"/>
        <v>63094498.770506233</v>
      </c>
      <c r="O26" s="56">
        <f t="shared" si="9"/>
        <v>100.56529806999743</v>
      </c>
      <c r="P26" s="57">
        <f t="shared" si="5"/>
        <v>97.433044888012674</v>
      </c>
      <c r="R26" s="47" t="s">
        <v>81</v>
      </c>
      <c r="S26" s="47"/>
      <c r="T26" s="47"/>
    </row>
    <row r="27" spans="1:20" ht="12.75" customHeight="1" x14ac:dyDescent="0.35">
      <c r="A27" s="49">
        <f>'New Vestas G20 120L'!W32</f>
        <v>24168071.446572632</v>
      </c>
      <c r="B27" s="48">
        <f>'New Vestas G20 120L'!T32</f>
        <v>115.05547298976759</v>
      </c>
      <c r="C27" s="50">
        <f t="shared" si="0"/>
        <v>7.3832419961449984</v>
      </c>
      <c r="D27" s="50">
        <f t="shared" si="0"/>
        <v>2.0609072821330621</v>
      </c>
      <c r="E27" s="51">
        <f t="shared" si="6"/>
        <v>54.512262373639182</v>
      </c>
      <c r="F27" s="51">
        <f t="shared" si="6"/>
        <v>4.2473388255490843</v>
      </c>
      <c r="G27" s="52">
        <f t="shared" si="7"/>
        <v>15.216177195605873</v>
      </c>
      <c r="H27" s="53" t="str">
        <f>"m lower " &amp; TEXT(I18,"##%") &amp; " conf"</f>
        <v>m lower 95% conf</v>
      </c>
      <c r="I27" s="74">
        <f>-I13-I21</f>
        <v>0.16080254446060305</v>
      </c>
      <c r="J27" s="51">
        <f t="shared" si="1"/>
        <v>7.7951441066394862</v>
      </c>
      <c r="K27" s="51">
        <f t="shared" si="2"/>
        <v>2.0033453174608828</v>
      </c>
      <c r="L27" s="55">
        <f t="shared" si="3"/>
        <v>1.3610594101049176E-2</v>
      </c>
      <c r="M27" s="51">
        <f t="shared" si="4"/>
        <v>1.9897347233598337</v>
      </c>
      <c r="N27" s="94">
        <f t="shared" si="8"/>
        <v>62394183.614459403</v>
      </c>
      <c r="O27" s="56">
        <f t="shared" si="9"/>
        <v>100.77326216035063</v>
      </c>
      <c r="P27" s="57">
        <f t="shared" si="5"/>
        <v>97.664048519394271</v>
      </c>
      <c r="R27" s="47"/>
      <c r="S27" s="47"/>
      <c r="T27" s="47"/>
    </row>
    <row r="28" spans="1:20" ht="12.75" customHeight="1" x14ac:dyDescent="0.35">
      <c r="A28" s="49">
        <f>'New Vestas G20 120L'!W33</f>
        <v>30724494.184445988</v>
      </c>
      <c r="B28" s="48">
        <f>'New Vestas G20 120L'!T33</f>
        <v>112.3464326278531</v>
      </c>
      <c r="C28" s="50">
        <f t="shared" si="0"/>
        <v>7.4874847418526436</v>
      </c>
      <c r="D28" s="50">
        <f t="shared" si="0"/>
        <v>2.0505592866827347</v>
      </c>
      <c r="E28" s="51">
        <f t="shared" si="6"/>
        <v>56.062427759476151</v>
      </c>
      <c r="F28" s="51">
        <f t="shared" si="6"/>
        <v>4.2047933882008053</v>
      </c>
      <c r="G28" s="52">
        <f t="shared" si="7"/>
        <v>15.353531371301216</v>
      </c>
      <c r="H28" s="75" t="s">
        <v>82</v>
      </c>
      <c r="I28" s="76">
        <f>-I13</f>
        <v>0.18508365695804532</v>
      </c>
      <c r="J28" s="51">
        <f t="shared" si="1"/>
        <v>7.7902420031418202</v>
      </c>
      <c r="K28" s="51">
        <f t="shared" si="2"/>
        <v>2.0042526167030177</v>
      </c>
      <c r="L28" s="55">
        <f t="shared" si="3"/>
        <v>1.3478198954054091E-2</v>
      </c>
      <c r="M28" s="51">
        <f t="shared" si="4"/>
        <v>1.9907744177489637</v>
      </c>
      <c r="N28" s="94">
        <f t="shared" si="8"/>
        <v>61693868.458412372</v>
      </c>
      <c r="O28" s="56">
        <f t="shared" si="9"/>
        <v>100.98401104402662</v>
      </c>
      <c r="P28" s="57">
        <f t="shared" si="5"/>
        <v>97.898134854986168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G20 120L'!W34</f>
        <v>33669872.359292693</v>
      </c>
      <c r="B29" s="48">
        <f>'New Vestas G20 120L'!T34</f>
        <v>110.88208648627773</v>
      </c>
      <c r="C29" s="50">
        <f t="shared" si="0"/>
        <v>7.5272414700037729</v>
      </c>
      <c r="D29" s="50">
        <f t="shared" si="0"/>
        <v>2.0448613895346086</v>
      </c>
      <c r="E29" s="51">
        <f t="shared" si="6"/>
        <v>56.659364147744562</v>
      </c>
      <c r="F29" s="51">
        <f t="shared" si="6"/>
        <v>4.18145810240941</v>
      </c>
      <c r="G29" s="52">
        <f t="shared" si="7"/>
        <v>15.392165451714446</v>
      </c>
      <c r="H29" s="77" t="str">
        <f>"m upper " &amp; TEXT(I18,"##%") &amp; " conf"</f>
        <v>m upper 95% conf</v>
      </c>
      <c r="I29" s="74">
        <f>-I13+I21</f>
        <v>0.2093647694554876</v>
      </c>
      <c r="J29" s="51">
        <f t="shared" si="1"/>
        <v>7.7852839347949594</v>
      </c>
      <c r="K29" s="51">
        <f t="shared" si="2"/>
        <v>2.0051702741241026</v>
      </c>
      <c r="L29" s="55">
        <f t="shared" si="3"/>
        <v>1.3344674451948941E-2</v>
      </c>
      <c r="M29" s="51">
        <f t="shared" si="4"/>
        <v>1.9918255996721537</v>
      </c>
      <c r="N29" s="94">
        <f t="shared" si="8"/>
        <v>60993553.302365489</v>
      </c>
      <c r="O29" s="56">
        <f t="shared" si="9"/>
        <v>101.19761426439096</v>
      </c>
      <c r="P29" s="57">
        <f t="shared" si="5"/>
        <v>98.135378008012538</v>
      </c>
      <c r="R29" s="47"/>
      <c r="S29" s="47"/>
      <c r="T29" s="47"/>
    </row>
    <row r="30" spans="1:20" ht="12.75" customHeight="1" x14ac:dyDescent="0.35">
      <c r="A30" s="49">
        <f>'New Vestas G20 120L'!W35</f>
        <v>37246463.248498172</v>
      </c>
      <c r="B30" s="48">
        <f>'New Vestas G20 120L'!T35</f>
        <v>110.63802879601515</v>
      </c>
      <c r="C30" s="50">
        <f t="shared" si="0"/>
        <v>7.5710850404511811</v>
      </c>
      <c r="D30" s="50">
        <f t="shared" si="0"/>
        <v>2.0439044294779753</v>
      </c>
      <c r="E30" s="51">
        <f t="shared" si="6"/>
        <v>57.321328689743666</v>
      </c>
      <c r="F30" s="51">
        <f t="shared" si="6"/>
        <v>4.1775453168396881</v>
      </c>
      <c r="G30" s="52">
        <f t="shared" si="7"/>
        <v>15.474574250132605</v>
      </c>
      <c r="H30" s="77" t="str">
        <f>"C lower " &amp; TEXT(I18,"##%") &amp; " conf"</f>
        <v>C lower 95% conf</v>
      </c>
      <c r="I30" s="78">
        <f>10^(I14-I22)</f>
        <v>1846.2111126473505</v>
      </c>
      <c r="J30" s="51">
        <f t="shared" si="1"/>
        <v>7.7802686089825013</v>
      </c>
      <c r="K30" s="51">
        <f t="shared" si="2"/>
        <v>2.0060985289663082</v>
      </c>
      <c r="L30" s="55">
        <f t="shared" si="3"/>
        <v>1.3210010805510005E-2</v>
      </c>
      <c r="M30" s="51">
        <f t="shared" si="4"/>
        <v>1.9928885181607983</v>
      </c>
      <c r="N30" s="94">
        <f t="shared" si="8"/>
        <v>60293238.146318391</v>
      </c>
      <c r="O30" s="56">
        <f t="shared" si="9"/>
        <v>101.4141439255587</v>
      </c>
      <c r="P30" s="57">
        <f t="shared" si="5"/>
        <v>98.375854604895125</v>
      </c>
      <c r="R30" s="47"/>
      <c r="S30" s="47"/>
      <c r="T30" s="47"/>
    </row>
    <row r="31" spans="1:20" ht="12.75" customHeight="1" x14ac:dyDescent="0.35">
      <c r="A31" s="49">
        <f>'New Vestas G20 120L'!W36</f>
        <v>79902062.515633449</v>
      </c>
      <c r="B31" s="48">
        <f>'New Vestas G20 120L'!T36</f>
        <v>101.0765920893912</v>
      </c>
      <c r="C31" s="50">
        <f t="shared" si="0"/>
        <v>7.9025579899222205</v>
      </c>
      <c r="D31" s="50">
        <f t="shared" si="0"/>
        <v>2.0046505907694194</v>
      </c>
      <c r="E31" s="51">
        <f t="shared" si="6"/>
        <v>62.450422784083528</v>
      </c>
      <c r="F31" s="51">
        <f t="shared" si="6"/>
        <v>4.0186239910721824</v>
      </c>
      <c r="G31" s="52">
        <f t="shared" si="7"/>
        <v>15.841867543087176</v>
      </c>
      <c r="H31" s="75" t="s">
        <v>83</v>
      </c>
      <c r="I31" s="79">
        <f>10^I14</f>
        <v>2793.1811032032256</v>
      </c>
      <c r="J31" s="51">
        <f t="shared" si="1"/>
        <v>7.775194687781096</v>
      </c>
      <c r="K31" s="51">
        <f t="shared" si="2"/>
        <v>2.0070376288573812</v>
      </c>
      <c r="L31" s="55">
        <f t="shared" si="3"/>
        <v>1.3074198871047832E-2</v>
      </c>
      <c r="M31" s="51">
        <f t="shared" si="4"/>
        <v>1.9939634299863334</v>
      </c>
      <c r="N31" s="94">
        <f t="shared" si="8"/>
        <v>59592922.990271345</v>
      </c>
      <c r="O31" s="56">
        <f t="shared" si="9"/>
        <v>101.63367481774242</v>
      </c>
      <c r="P31" s="57">
        <f t="shared" si="5"/>
        <v>98.61964389031489</v>
      </c>
      <c r="R31" s="47"/>
      <c r="S31" s="47"/>
      <c r="T31" s="47"/>
    </row>
    <row r="32" spans="1:20" ht="12.75" customHeight="1" thickBot="1" x14ac:dyDescent="0.4">
      <c r="A32" s="49">
        <f>'New Vestas G20 120L'!W37</f>
        <v>64477087.890320711</v>
      </c>
      <c r="B32" s="48">
        <f>'New Vestas G20 120L'!T37</f>
        <v>99.463772200994654</v>
      </c>
      <c r="C32" s="50">
        <f t="shared" si="0"/>
        <v>7.8094054143161973</v>
      </c>
      <c r="D32" s="50">
        <f t="shared" si="0"/>
        <v>1.9976649259902204</v>
      </c>
      <c r="E32" s="51">
        <f t="shared" si="6"/>
        <v>60.986812925151135</v>
      </c>
      <c r="F32" s="51">
        <f t="shared" si="6"/>
        <v>3.9906651565315125</v>
      </c>
      <c r="G32" s="52">
        <f t="shared" si="7"/>
        <v>15.600575289017593</v>
      </c>
      <c r="H32" s="61" t="str">
        <f>"C upper " &amp; TEXT(I18,"##%") &amp; " conf"</f>
        <v>C upper 95% conf</v>
      </c>
      <c r="I32" s="80">
        <f>10^(I14+I22)</f>
        <v>4225.8767818292517</v>
      </c>
      <c r="J32" s="51">
        <f t="shared" si="1"/>
        <v>7.7700607858180089</v>
      </c>
      <c r="K32" s="51">
        <f t="shared" si="2"/>
        <v>2.0079878302071736</v>
      </c>
      <c r="L32" s="55">
        <f t="shared" si="3"/>
        <v>1.2937230257454678E-2</v>
      </c>
      <c r="M32" s="51">
        <f t="shared" si="4"/>
        <v>1.995050599949719</v>
      </c>
      <c r="N32" s="94">
        <f t="shared" si="8"/>
        <v>58892607.834224463</v>
      </c>
      <c r="O32" s="56">
        <f t="shared" si="9"/>
        <v>101.85628455029119</v>
      </c>
      <c r="P32" s="57">
        <f t="shared" si="5"/>
        <v>98.866827836996563</v>
      </c>
      <c r="R32" s="47"/>
      <c r="S32" s="47"/>
      <c r="T32" s="47"/>
    </row>
    <row r="33" spans="1:20" ht="12.75" customHeight="1" x14ac:dyDescent="0.35">
      <c r="A33" s="49"/>
      <c r="B33" s="48"/>
      <c r="C33" s="50"/>
      <c r="D33" s="50"/>
      <c r="E33" s="51"/>
      <c r="F33" s="51"/>
      <c r="G33" s="52"/>
      <c r="H33" s="63" t="s">
        <v>84</v>
      </c>
      <c r="I33" s="81"/>
      <c r="J33" s="51">
        <f t="shared" si="1"/>
        <v>7.7648654680005347</v>
      </c>
      <c r="K33" s="51">
        <f t="shared" si="2"/>
        <v>2.008949398627891</v>
      </c>
      <c r="L33" s="55">
        <f t="shared" si="3"/>
        <v>1.2799097446761111E-2</v>
      </c>
      <c r="M33" s="51">
        <f t="shared" si="4"/>
        <v>1.9961503011811299</v>
      </c>
      <c r="N33" s="94">
        <f t="shared" si="8"/>
        <v>58192292.678177536</v>
      </c>
      <c r="O33" s="56">
        <f t="shared" si="9"/>
        <v>102.08205369299178</v>
      </c>
      <c r="P33" s="57">
        <f t="shared" si="5"/>
        <v>99.117491260376767</v>
      </c>
      <c r="R33" s="47"/>
      <c r="S33" s="47"/>
      <c r="T33" s="47"/>
    </row>
    <row r="34" spans="1:20" ht="12.75" customHeight="1" thickBot="1" x14ac:dyDescent="0.4">
      <c r="A34" s="49"/>
      <c r="B34" s="48"/>
      <c r="C34" s="50"/>
      <c r="D34" s="50"/>
      <c r="E34" s="51"/>
      <c r="F34" s="51"/>
      <c r="G34" s="52"/>
      <c r="H34" s="82" t="str">
        <f>"G20 Fit: S = " &amp; TEXT(I31,"0,00 E+00 ") &amp; " * N ^ -" &amp; TEXT(I28,"0,00")</f>
        <v>G20 Fit: S = 2,793 E+00  * N ^ -000</v>
      </c>
      <c r="I34" s="62"/>
      <c r="J34" s="51">
        <f t="shared" si="1"/>
        <v>7.7596072471079438</v>
      </c>
      <c r="K34" s="51">
        <f t="shared" si="2"/>
        <v>2.0099226093797848</v>
      </c>
      <c r="L34" s="55">
        <f t="shared" si="3"/>
        <v>1.2659793929940787E-2</v>
      </c>
      <c r="M34" s="51">
        <f t="shared" si="4"/>
        <v>1.997262815449844</v>
      </c>
      <c r="N34" s="94">
        <f t="shared" si="8"/>
        <v>57491977.522130504</v>
      </c>
      <c r="O34" s="56">
        <f t="shared" si="9"/>
        <v>102.311065926251</v>
      </c>
      <c r="P34" s="57">
        <f t="shared" si="5"/>
        <v>99.371721938311097</v>
      </c>
      <c r="R34" s="47"/>
      <c r="S34" s="47"/>
      <c r="T34" s="47"/>
    </row>
    <row r="35" spans="1:20" ht="12.75" customHeight="1" thickBot="1" x14ac:dyDescent="0.4">
      <c r="A35" s="49"/>
      <c r="B35" s="48"/>
      <c r="C35" s="50"/>
      <c r="D35" s="50"/>
      <c r="E35" s="51"/>
      <c r="F35" s="51"/>
      <c r="G35" s="52"/>
      <c r="H35" s="82" t="str">
        <f>"G20 Fit: N = " &amp; TEXT((1/I31)^(-1/I28),"0,00 E+00 ") &amp; " * S ^ -" &amp; TEXT(1/I28,"0,00")</f>
        <v>G20 Fit: N = 416 E+16  * S ^ -005</v>
      </c>
      <c r="I35" s="84"/>
      <c r="J35" s="51">
        <f t="shared" si="1"/>
        <v>7.7542845812358543</v>
      </c>
      <c r="K35" s="51">
        <f t="shared" si="2"/>
        <v>2.0109077478441568</v>
      </c>
      <c r="L35" s="55">
        <f t="shared" si="3"/>
        <v>1.2519314359941136E-2</v>
      </c>
      <c r="M35" s="51">
        <f t="shared" si="4"/>
        <v>1.9983884334842157</v>
      </c>
      <c r="N35" s="94">
        <f t="shared" si="8"/>
        <v>56791662.366083555</v>
      </c>
      <c r="O35" s="56">
        <f t="shared" si="9"/>
        <v>102.5434082008326</v>
      </c>
      <c r="P35" s="57">
        <f t="shared" si="5"/>
        <v>99.629610735960355</v>
      </c>
      <c r="R35" s="47"/>
      <c r="S35" s="47"/>
      <c r="T35" s="47"/>
    </row>
    <row r="36" spans="1:20" ht="12.75" customHeight="1" x14ac:dyDescent="0.35">
      <c r="A36" s="49"/>
      <c r="B36" s="48"/>
      <c r="C36" s="50"/>
      <c r="D36" s="50"/>
      <c r="E36" s="51"/>
      <c r="F36" s="51"/>
      <c r="G36" s="52"/>
      <c r="H36" s="83"/>
      <c r="I36" s="83"/>
      <c r="J36" s="51">
        <f t="shared" si="1"/>
        <v>7.7488958710820501</v>
      </c>
      <c r="K36" s="51">
        <f t="shared" si="2"/>
        <v>2.0119051100257099</v>
      </c>
      <c r="L36" s="55">
        <f t="shared" si="3"/>
        <v>1.2377654724191214E-2</v>
      </c>
      <c r="M36" s="51">
        <f t="shared" si="4"/>
        <v>1.9995274553015188</v>
      </c>
      <c r="N36" s="94">
        <f t="shared" si="8"/>
        <v>56091347.210036613</v>
      </c>
      <c r="O36" s="56">
        <f t="shared" si="9"/>
        <v>102.77917090788326</v>
      </c>
      <c r="P36" s="57">
        <f t="shared" si="5"/>
        <v>99.891251735979267</v>
      </c>
      <c r="R36" s="47"/>
      <c r="S36" s="47"/>
      <c r="T36" s="47"/>
    </row>
    <row r="37" spans="1:20" ht="12.75" customHeight="1" x14ac:dyDescent="0.35">
      <c r="A37" s="49"/>
      <c r="B37" s="48"/>
      <c r="C37" s="50"/>
      <c r="D37" s="50"/>
      <c r="E37" s="51"/>
      <c r="F37" s="51"/>
      <c r="G37" s="52"/>
      <c r="H37" s="95">
        <f>1/I28</f>
        <v>5.4029621871296802</v>
      </c>
      <c r="I37" s="85">
        <f>I31-I30</f>
        <v>946.96999055587503</v>
      </c>
      <c r="J37" s="51">
        <f t="shared" si="1"/>
        <v>7.7434394570617764</v>
      </c>
      <c r="K37" s="51">
        <f t="shared" si="2"/>
        <v>2.0129150030864595</v>
      </c>
      <c r="L37" s="55">
        <f t="shared" si="3"/>
        <v>1.2234812539150635E-2</v>
      </c>
      <c r="M37" s="51">
        <f t="shared" si="4"/>
        <v>2.0006801905473091</v>
      </c>
      <c r="N37" s="94">
        <f t="shared" si="8"/>
        <v>55391032.053989545</v>
      </c>
      <c r="O37" s="56">
        <f t="shared" si="9"/>
        <v>103.01844806004952</v>
      </c>
      <c r="P37" s="57">
        <f t="shared" si="5"/>
        <v>100.15674237411041</v>
      </c>
      <c r="R37" s="47"/>
      <c r="S37" s="47"/>
      <c r="T37" s="47"/>
    </row>
    <row r="38" spans="1:20" ht="12.75" customHeight="1" x14ac:dyDescent="0.35">
      <c r="A38" s="49"/>
      <c r="B38" s="48"/>
      <c r="C38" s="50"/>
      <c r="D38" s="50"/>
      <c r="E38" s="51"/>
      <c r="F38" s="51"/>
      <c r="G38" s="52"/>
      <c r="H38" s="95">
        <f>((1/I27)-(1/I29))/2</f>
        <v>0.72122714057418991</v>
      </c>
      <c r="I38" s="85">
        <f>I32-I31</f>
        <v>1432.6956786260262</v>
      </c>
      <c r="J38" s="51">
        <f t="shared" si="1"/>
        <v>7.7379136162395117</v>
      </c>
      <c r="K38" s="51">
        <f t="shared" si="2"/>
        <v>2.0139377459136121</v>
      </c>
      <c r="L38" s="55">
        <f t="shared" si="3"/>
        <v>1.2090787069824164E-2</v>
      </c>
      <c r="M38" s="51">
        <f t="shared" si="4"/>
        <v>2.0018469588437879</v>
      </c>
      <c r="N38" s="94">
        <f t="shared" si="8"/>
        <v>54690716.897942618</v>
      </c>
      <c r="O38" s="56">
        <f t="shared" si="9"/>
        <v>103.26133748455645</v>
      </c>
      <c r="P38" s="57">
        <f t="shared" si="5"/>
        <v>100.42618358025582</v>
      </c>
      <c r="R38" s="47"/>
      <c r="S38" s="47"/>
      <c r="T38" s="47"/>
    </row>
    <row r="39" spans="1:20" ht="12.75" customHeight="1" x14ac:dyDescent="0.35">
      <c r="A39" s="49"/>
      <c r="B39" s="48"/>
      <c r="C39" s="50"/>
      <c r="D39" s="50"/>
      <c r="E39" s="51"/>
      <c r="F39" s="51"/>
      <c r="G39" s="52"/>
      <c r="H39" s="86"/>
      <c r="I39" s="86"/>
      <c r="J39" s="51">
        <f t="shared" si="1"/>
        <v>7.7323165590630047</v>
      </c>
      <c r="K39" s="51">
        <f t="shared" si="2"/>
        <v>2.0149736697240437</v>
      </c>
      <c r="L39" s="55">
        <f t="shared" si="3"/>
        <v>1.1945579577578167E-2</v>
      </c>
      <c r="M39" s="51">
        <f t="shared" si="4"/>
        <v>2.0030280901464654</v>
      </c>
      <c r="N39" s="94">
        <f t="shared" si="8"/>
        <v>53990401.741895519</v>
      </c>
      <c r="O39" s="56">
        <f t="shared" si="9"/>
        <v>103.5079410292069</v>
      </c>
      <c r="P39" s="57">
        <f t="shared" si="5"/>
        <v>100.69967992506211</v>
      </c>
      <c r="R39" s="47"/>
      <c r="S39" s="47"/>
      <c r="T39" s="47"/>
    </row>
    <row r="40" spans="1:20" ht="12.75" customHeight="1" x14ac:dyDescent="0.35">
      <c r="A40" s="49"/>
      <c r="B40" s="48"/>
      <c r="C40" s="50"/>
      <c r="D40" s="50"/>
      <c r="E40" s="51"/>
      <c r="F40" s="51"/>
      <c r="G40" s="52"/>
      <c r="H40" s="86" t="b">
        <f>H37=H38</f>
        <v>0</v>
      </c>
      <c r="I40" s="86"/>
      <c r="J40" s="51">
        <f t="shared" si="1"/>
        <v>7.7266464258841028</v>
      </c>
      <c r="K40" s="51">
        <f t="shared" si="2"/>
        <v>2.016023118708234</v>
      </c>
      <c r="L40" s="55">
        <f t="shared" si="3"/>
        <v>1.1799193600070288E-2</v>
      </c>
      <c r="M40" s="51">
        <f t="shared" si="4"/>
        <v>2.0042239251081639</v>
      </c>
      <c r="N40" s="94">
        <f t="shared" si="8"/>
        <v>53290086.585848637</v>
      </c>
      <c r="O40" s="56">
        <f t="shared" si="9"/>
        <v>103.75836478234153</v>
      </c>
      <c r="P40" s="57">
        <f t="shared" si="5"/>
        <v>100.97733977200608</v>
      </c>
      <c r="R40" s="47"/>
      <c r="S40" s="47"/>
      <c r="T40" s="47"/>
    </row>
    <row r="41" spans="1:20" ht="12.75" customHeight="1" x14ac:dyDescent="0.35">
      <c r="A41" s="49"/>
      <c r="B41" s="48"/>
      <c r="C41" s="50"/>
      <c r="D41" s="50"/>
      <c r="E41" s="51"/>
      <c r="F41" s="51"/>
      <c r="G41" s="52"/>
      <c r="H41" s="86"/>
      <c r="I41" s="86"/>
      <c r="J41" s="51">
        <f t="shared" si="1"/>
        <v>7.7209012832494404</v>
      </c>
      <c r="K41" s="51">
        <f t="shared" si="2"/>
        <v>2.0170864507168025</v>
      </c>
      <c r="L41" s="55">
        <f t="shared" si="3"/>
        <v>1.1651635267647655E-2</v>
      </c>
      <c r="M41" s="51">
        <f t="shared" si="4"/>
        <v>2.005434815449155</v>
      </c>
      <c r="N41" s="94">
        <f t="shared" si="8"/>
        <v>52589771.429801509</v>
      </c>
      <c r="O41" s="56">
        <f t="shared" si="9"/>
        <v>104.0127193079071</v>
      </c>
      <c r="P41" s="57">
        <f t="shared" si="5"/>
        <v>101.25927543491328</v>
      </c>
      <c r="R41" s="47"/>
      <c r="S41" s="47"/>
      <c r="T41" s="47"/>
    </row>
    <row r="42" spans="1:20" ht="12.75" customHeight="1" x14ac:dyDescent="0.35">
      <c r="A42" s="49"/>
      <c r="B42" s="48"/>
      <c r="C42" s="50"/>
      <c r="D42" s="50"/>
      <c r="E42" s="51"/>
      <c r="F42" s="51"/>
      <c r="G42" s="52"/>
      <c r="H42" s="86"/>
      <c r="I42" s="86"/>
      <c r="J42" s="51">
        <f t="shared" si="1"/>
        <v>7.7150791199424651</v>
      </c>
      <c r="K42" s="51">
        <f t="shared" si="2"/>
        <v>2.0181640379930643</v>
      </c>
      <c r="L42" s="55">
        <f t="shared" si="3"/>
        <v>1.1502913661194363E-2</v>
      </c>
      <c r="M42" s="51">
        <f t="shared" si="4"/>
        <v>2.0066611243318699</v>
      </c>
      <c r="N42" s="94">
        <f t="shared" si="8"/>
        <v>51889456.273754515</v>
      </c>
      <c r="O42" s="56">
        <f t="shared" si="9"/>
        <v>104.2711198968862</v>
      </c>
      <c r="P42" s="57">
        <f t="shared" si="5"/>
        <v>101.54560334076852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7.7091778427565458</v>
      </c>
      <c r="K43" s="51">
        <f t="shared" si="2"/>
        <v>2.0192562679553578</v>
      </c>
      <c r="L43" s="55">
        <f t="shared" si="3"/>
        <v>1.1353041217128374E-2</v>
      </c>
      <c r="M43" s="51">
        <f t="shared" si="4"/>
        <v>2.0079032267382293</v>
      </c>
      <c r="N43" s="94">
        <f t="shared" si="8"/>
        <v>51189141.117707603</v>
      </c>
      <c r="O43" s="56">
        <f t="shared" si="9"/>
        <v>104.53368683646352</v>
      </c>
      <c r="P43" s="57">
        <f t="shared" si="5"/>
        <v>101.83644419758764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 t="s">
        <v>83</v>
      </c>
      <c r="I44" s="86">
        <f>(1/$I$31)^(-1/$I$28)</f>
        <v>4.1604768003879588E+18</v>
      </c>
      <c r="J44" s="51">
        <f t="shared" si="1"/>
        <v>7.7031952719769183</v>
      </c>
      <c r="K44" s="51">
        <f t="shared" si="2"/>
        <v>2.0203635440332617</v>
      </c>
      <c r="L44" s="55">
        <f t="shared" si="3"/>
        <v>1.1202034186071963E-2</v>
      </c>
      <c r="M44" s="51">
        <f t="shared" si="4"/>
        <v>2.0091615098471896</v>
      </c>
      <c r="N44" s="94">
        <f t="shared" si="8"/>
        <v>50488825.96166072</v>
      </c>
      <c r="O44" s="56">
        <f t="shared" si="9"/>
        <v>104.80054569844414</v>
      </c>
      <c r="P44" s="57">
        <f t="shared" si="5"/>
        <v>102.13192316701637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5.4029621871296802</v>
      </c>
      <c r="J45" s="51">
        <f t="shared" si="1"/>
        <v>7.6971291365470673</v>
      </c>
      <c r="K45" s="51">
        <f t="shared" si="2"/>
        <v>2.021486286562221</v>
      </c>
      <c r="L45" s="55">
        <f t="shared" si="3"/>
        <v>1.104991315266674E-2</v>
      </c>
      <c r="M45" s="51">
        <f t="shared" si="4"/>
        <v>2.0104363734095543</v>
      </c>
      <c r="N45" s="94">
        <f t="shared" si="8"/>
        <v>49788510.805613793</v>
      </c>
      <c r="O45" s="56">
        <f t="shared" si="9"/>
        <v>105.07182764858999</v>
      </c>
      <c r="P45" s="57">
        <f t="shared" si="5"/>
        <v>102.43217004119437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7.6909770688927326</v>
      </c>
      <c r="K46" s="51">
        <f t="shared" si="2"/>
        <v>2.0226249337415387</v>
      </c>
      <c r="L46" s="55">
        <f t="shared" si="3"/>
        <v>1.0896703625089018E-2</v>
      </c>
      <c r="M46" s="51">
        <f t="shared" si="4"/>
        <v>2.0117282301164496</v>
      </c>
      <c r="N46" s="94">
        <f t="shared" si="8"/>
        <v>49088195.649566688</v>
      </c>
      <c r="O46" s="56">
        <f t="shared" si="9"/>
        <v>105.34766977870623</v>
      </c>
      <c r="P46" s="57">
        <f t="shared" si="5"/>
        <v>102.73731942326448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7.6847365993740029</v>
      </c>
      <c r="K47" s="51">
        <f t="shared" si="2"/>
        <v>2.0237799426612</v>
      </c>
      <c r="L47" s="55">
        <f t="shared" si="3"/>
        <v>1.0742436704061291E-2</v>
      </c>
      <c r="M47" s="51">
        <f t="shared" si="4"/>
        <v>2.0130375059571386</v>
      </c>
      <c r="N47" s="94">
        <f t="shared" si="8"/>
        <v>48387880.493519768</v>
      </c>
      <c r="O47" s="56">
        <f t="shared" si="9"/>
        <v>105.62821546350568</v>
      </c>
      <c r="P47" s="57">
        <f t="shared" si="5"/>
        <v>103.04751091072762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7.6784051503329671</v>
      </c>
      <c r="K48" s="51">
        <f t="shared" si="2"/>
        <v>2.0249517904035588</v>
      </c>
      <c r="L48" s="55">
        <f t="shared" si="3"/>
        <v>1.0587149842572439E-2</v>
      </c>
      <c r="M48" s="51">
        <f t="shared" si="4"/>
        <v>2.0143646405609865</v>
      </c>
      <c r="N48" s="94">
        <f t="shared" si="8"/>
        <v>47687565.337472782</v>
      </c>
      <c r="O48" s="56">
        <f t="shared" si="9"/>
        <v>105.91361474448807</v>
      </c>
      <c r="P48" s="57">
        <f t="shared" si="5"/>
        <v>103.36288928062716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7.6719800297010288</v>
      </c>
      <c r="K49" s="51">
        <f t="shared" si="2"/>
        <v>2.0261409752265145</v>
      </c>
      <c r="L49" s="55">
        <f t="shared" si="3"/>
        <v>1.0430887709131127E-2</v>
      </c>
      <c r="M49" s="51">
        <f t="shared" si="4"/>
        <v>2.0157100875173835</v>
      </c>
      <c r="N49" s="94">
        <f t="shared" si="8"/>
        <v>46987250.18142584</v>
      </c>
      <c r="O49" s="56">
        <f t="shared" si="9"/>
        <v>106.20402474330726</v>
      </c>
      <c r="P49" s="57">
        <f t="shared" si="5"/>
        <v>103.68360467528717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7.665458424126192</v>
      </c>
      <c r="K50" s="51">
        <f t="shared" si="2"/>
        <v>2.0273480178355432</v>
      </c>
      <c r="L50" s="55">
        <f t="shared" si="3"/>
        <v>1.0273703169203598E-2</v>
      </c>
      <c r="M50" s="51">
        <f t="shared" si="4"/>
        <v>2.0170743146663397</v>
      </c>
      <c r="N50" s="94">
        <f t="shared" si="8"/>
        <v>46286935.025378756</v>
      </c>
      <c r="O50" s="56">
        <f t="shared" si="9"/>
        <v>106.49961010737343</v>
      </c>
      <c r="P50" s="57">
        <f t="shared" si="5"/>
        <v>104.0098127870417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7.6588373915764052</v>
      </c>
      <c r="K51" s="51">
        <f t="shared" si="2"/>
        <v>2.0285734627526959</v>
      </c>
      <c r="L51" s="55">
        <f t="shared" si="3"/>
        <v>1.0115658401547904E-2</v>
      </c>
      <c r="M51" s="51">
        <f t="shared" si="4"/>
        <v>2.0184578043511481</v>
      </c>
      <c r="N51" s="94">
        <f t="shared" si="8"/>
        <v>45586619.869331829</v>
      </c>
      <c r="O51" s="56">
        <f t="shared" si="9"/>
        <v>106.80054349073116</v>
      </c>
      <c r="P51" s="57">
        <f t="shared" si="5"/>
        <v>104.34167504003825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7.6521138533703006</v>
      </c>
      <c r="K52" s="51">
        <f t="shared" si="2"/>
        <v>2.0298178797915787</v>
      </c>
      <c r="L52" s="55">
        <f t="shared" si="3"/>
        <v>9.956826168465379E-3</v>
      </c>
      <c r="M52" s="51">
        <f t="shared" si="4"/>
        <v>2.0198610536231132</v>
      </c>
      <c r="N52" s="94">
        <f t="shared" si="8"/>
        <v>44886304.713284835</v>
      </c>
      <c r="O52" s="56">
        <f t="shared" si="9"/>
        <v>107.10700607359682</v>
      </c>
      <c r="P52" s="57">
        <f t="shared" si="5"/>
        <v>104.67935876681611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7.6452845855812894</v>
      </c>
      <c r="K53" s="51">
        <f t="shared" si="2"/>
        <v>2.0310818656483152</v>
      </c>
      <c r="L53" s="55">
        <f t="shared" si="3"/>
        <v>9.7972912615525102E-3</v>
      </c>
      <c r="M53" s="51">
        <f t="shared" si="4"/>
        <v>2.0212845743867627</v>
      </c>
      <c r="N53" s="94">
        <f t="shared" si="8"/>
        <v>44185989.557237901</v>
      </c>
      <c r="O53" s="56">
        <f t="shared" si="9"/>
        <v>107.41918812432289</v>
      </c>
      <c r="P53" s="57">
        <f t="shared" si="5"/>
        <v>105.02303737691838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7.6383462097549257</v>
      </c>
      <c r="K54" s="51">
        <f t="shared" si="2"/>
        <v>2.0323660456196073</v>
      </c>
      <c r="L54" s="55">
        <f t="shared" si="3"/>
        <v>9.6371521473486692E-3</v>
      </c>
      <c r="M54" s="51">
        <f t="shared" si="4"/>
        <v>2.0227288934722587</v>
      </c>
      <c r="N54" s="94">
        <f t="shared" si="8"/>
        <v>43485674.401190877</v>
      </c>
      <c r="O54" s="56">
        <f t="shared" si="9"/>
        <v>107.73728960798566</v>
      </c>
      <c r="P54" s="57">
        <f t="shared" si="5"/>
        <v>105.37289051430554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7.6312951828726678</v>
      </c>
      <c r="K55" s="51">
        <f t="shared" si="2"/>
        <v>2.0336710754602851</v>
      </c>
      <c r="L55" s="55">
        <f t="shared" si="3"/>
        <v>9.4765228403132385E-3</v>
      </c>
      <c r="M55" s="51">
        <f t="shared" si="4"/>
        <v>2.0241945526199721</v>
      </c>
      <c r="N55" s="94">
        <f t="shared" si="8"/>
        <v>42785359.245143883</v>
      </c>
      <c r="O55" s="56">
        <f t="shared" si="9"/>
        <v>108.06152084628874</v>
      </c>
      <c r="P55" s="57">
        <f t="shared" si="5"/>
        <v>105.72910419982144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7.6241277864873584</v>
      </c>
      <c r="K56" s="51">
        <f t="shared" si="2"/>
        <v>2.0349976433941466</v>
      </c>
      <c r="L56" s="55">
        <f t="shared" si="3"/>
        <v>9.3155350337718271E-3</v>
      </c>
      <c r="M56" s="51">
        <f t="shared" si="4"/>
        <v>2.0256821083603747</v>
      </c>
      <c r="N56" s="94">
        <f t="shared" si="8"/>
        <v>42085044.089096896</v>
      </c>
      <c r="O56" s="56">
        <f t="shared" si="9"/>
        <v>108.39210323402561</v>
      </c>
      <c r="P56" s="57">
        <f t="shared" si="5"/>
        <v>106.09187095440382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7.6168401149470641</v>
      </c>
      <c r="K57" s="51">
        <f t="shared" si="2"/>
        <v>2.0363464722935332</v>
      </c>
      <c r="L57" s="55">
        <f t="shared" si="3"/>
        <v>9.154340522754963E-3</v>
      </c>
      <c r="M57" s="51">
        <f t="shared" si="4"/>
        <v>2.0271921317707782</v>
      </c>
      <c r="N57" s="94">
        <f t="shared" si="8"/>
        <v>41384728.933049984</v>
      </c>
      <c r="O57" s="56">
        <f t="shared" si="9"/>
        <v>108.72927001798351</v>
      </c>
      <c r="P57" s="57">
        <f t="shared" si="5"/>
        <v>106.4613898981995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7.6094280626138735</v>
      </c>
      <c r="K58" s="51">
        <f t="shared" si="2"/>
        <v>2.0377183220449244</v>
      </c>
      <c r="L58" s="55">
        <f t="shared" si="3"/>
        <v>8.9931139558464129E-3</v>
      </c>
      <c r="M58" s="51">
        <f t="shared" si="4"/>
        <v>2.0287252080890781</v>
      </c>
      <c r="N58" s="94">
        <f t="shared" si="8"/>
        <v>40684413.77700296</v>
      </c>
      <c r="O58" s="56">
        <f t="shared" si="9"/>
        <v>109.07326714489116</v>
      </c>
      <c r="P58" s="57">
        <f t="shared" si="5"/>
        <v>106.83786682024352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7.6018873099729545</v>
      </c>
      <c r="K59" s="51">
        <f t="shared" si="2"/>
        <v>2.0391139921199217</v>
      </c>
      <c r="L59" s="55">
        <f t="shared" si="3"/>
        <v>8.8320559560206933E-3</v>
      </c>
      <c r="M59" s="51">
        <f t="shared" si="4"/>
        <v>2.0302819361639011</v>
      </c>
      <c r="N59" s="94">
        <f t="shared" si="8"/>
        <v>39984098.620955959</v>
      </c>
      <c r="O59" s="56">
        <f t="shared" si="9"/>
        <v>109.42435418583638</v>
      </c>
      <c r="P59" s="57">
        <f t="shared" si="5"/>
        <v>107.22151421299368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7.594213308514191</v>
      </c>
      <c r="K60" s="51">
        <f t="shared" si="2"/>
        <v>2.0405343243734109</v>
      </c>
      <c r="L60" s="55">
        <f t="shared" si="3"/>
        <v>8.671396652604399E-3</v>
      </c>
      <c r="M60" s="51">
        <f t="shared" si="4"/>
        <v>2.0318629277208067</v>
      </c>
      <c r="N60" s="94">
        <f t="shared" si="8"/>
        <v>39283783.46490898</v>
      </c>
      <c r="O60" s="56">
        <f t="shared" si="9"/>
        <v>109.78280534552702</v>
      </c>
      <c r="P60" s="57">
        <f t="shared" si="5"/>
        <v>107.61255126586413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7.5864012642539072</v>
      </c>
      <c r="K61" s="51">
        <f t="shared" si="2"/>
        <v>2.0419802060934225</v>
      </c>
      <c r="L61" s="55">
        <f t="shared" si="3"/>
        <v>8.5113996674079841E-3</v>
      </c>
      <c r="M61" s="51">
        <f t="shared" si="4"/>
        <v>2.0334688064260145</v>
      </c>
      <c r="N61" s="94">
        <f t="shared" si="8"/>
        <v>38583468.30886206</v>
      </c>
      <c r="O61" s="56">
        <f t="shared" si="9"/>
        <v>110.14891056585114</v>
      </c>
      <c r="P61" s="57">
        <f t="shared" si="5"/>
        <v>108.01120381213335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7.5784461197471975</v>
      </c>
      <c r="K62" s="51">
        <f t="shared" si="2"/>
        <v>2.0434525733303541</v>
      </c>
      <c r="L62" s="55">
        <f t="shared" si="3"/>
        <v>8.3523665969813445E-3</v>
      </c>
      <c r="M62" s="51">
        <f t="shared" si="4"/>
        <v>2.035100206733373</v>
      </c>
      <c r="N62" s="94">
        <f t="shared" si="8"/>
        <v>37883153.152815126</v>
      </c>
      <c r="O62" s="56">
        <f t="shared" si="9"/>
        <v>110.52297673443907</v>
      </c>
      <c r="P62" s="57">
        <f t="shared" si="5"/>
        <v>108.41770422442873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7.5703425344218465</v>
      </c>
      <c r="K63" s="51">
        <f t="shared" si="2"/>
        <v>2.0449524145368416</v>
      </c>
      <c r="L63" s="55">
        <f t="shared" si="3"/>
        <v>8.1946420287971663E-3</v>
      </c>
      <c r="M63" s="51">
        <f t="shared" si="4"/>
        <v>2.0367577725080444</v>
      </c>
      <c r="N63" s="94">
        <f t="shared" si="8"/>
        <v>37182837.996768072</v>
      </c>
      <c r="O63" s="56">
        <f t="shared" si="9"/>
        <v>110.90532901036931</v>
      </c>
      <c r="P63" s="57">
        <f t="shared" si="5"/>
        <v>108.83229125571708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7.5620848630423323</v>
      </c>
      <c r="K64" s="51">
        <f t="shared" si="2"/>
        <v>2.0464807745537197</v>
      </c>
      <c r="L64" s="55">
        <f t="shared" si="3"/>
        <v>8.0386191205463267E-3</v>
      </c>
      <c r="M64" s="51">
        <f t="shared" si="4"/>
        <v>2.0384421554331733</v>
      </c>
      <c r="N64" s="94">
        <f t="shared" si="8"/>
        <v>36482522.840721101</v>
      </c>
      <c r="O64" s="56">
        <f t="shared" si="9"/>
        <v>111.29631228081895</v>
      </c>
      <c r="P64" s="57">
        <f t="shared" si="5"/>
        <v>109.25520982576695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7.5536671320864022</v>
      </c>
      <c r="K65" s="51">
        <f t="shared" si="2"/>
        <v>2.0480387589823321</v>
      </c>
      <c r="L65" s="55">
        <f t="shared" si="3"/>
        <v>7.8847457567839761E-3</v>
      </c>
      <c r="M65" s="51">
        <f t="shared" si="4"/>
        <v>2.040154013225548</v>
      </c>
      <c r="N65" s="94">
        <f t="shared" si="8"/>
        <v>35782207.684674114</v>
      </c>
      <c r="O65" s="56">
        <f t="shared" si="9"/>
        <v>111.69629276438988</v>
      </c>
      <c r="P65" s="57">
        <f t="shared" si="5"/>
        <v>109.68671075794373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7.5450830137866385</v>
      </c>
      <c r="K66" s="51">
        <f t="shared" ref="K66:K129" si="11">+$I$14+$I$13*J66</f>
        <v>2.0496275389890131</v>
      </c>
      <c r="L66" s="55">
        <f t="shared" ref="L66:L129" si="12">SQRT(2*$I$20*$I$17)*SQRT((1/$I$2)+((J66-$I$11)^2/$I$8))</f>
        <v>7.7335312735436618E-3</v>
      </c>
      <c r="M66" s="51">
        <f t="shared" ref="M66:M102" si="13">+$I$14+$I$13*J66-L66</f>
        <v>2.0418940077154693</v>
      </c>
      <c r="N66" s="94">
        <f t="shared" si="8"/>
        <v>35081892.528627068</v>
      </c>
      <c r="O66" s="56">
        <f t="shared" si="9"/>
        <v>112.10565977907409</v>
      </c>
      <c r="P66" s="57">
        <f t="shared" ref="P66:P102" si="14">10^M66</f>
        <v>110.12705047866032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7.536325797554432</v>
      </c>
      <c r="K67" s="51">
        <f t="shared" si="11"/>
        <v>2.0512483565940425</v>
      </c>
      <c r="L67" s="55">
        <f t="shared" si="12"/>
        <v>7.5855537063762501E-3</v>
      </c>
      <c r="M67" s="51">
        <f t="shared" si="13"/>
        <v>2.0436628028876664</v>
      </c>
      <c r="N67" s="94">
        <f t="shared" ref="N67:N101" si="15">10^$J67</f>
        <v>34381577.372580156</v>
      </c>
      <c r="O67" s="56">
        <f t="shared" ref="O67:O102" si="16">10^K67</f>
        <v>112.5248276954358</v>
      </c>
      <c r="P67" s="57">
        <f t="shared" si="14"/>
        <v>110.57649070271471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7.5273883584631127</v>
      </c>
      <c r="K68" s="51">
        <f t="shared" si="11"/>
        <v>2.0529025305049036</v>
      </c>
      <c r="L68" s="55">
        <f t="shared" si="12"/>
        <v>7.4414674672912823E-3</v>
      </c>
      <c r="M68" s="51">
        <f t="shared" si="13"/>
        <v>2.0454610630376124</v>
      </c>
      <c r="N68" s="94">
        <f t="shared" si="15"/>
        <v>33681262.21653311</v>
      </c>
      <c r="O68" s="56">
        <f t="shared" si="16"/>
        <v>112.95423809863458</v>
      </c>
      <c r="P68" s="57">
        <f t="shared" si="14"/>
        <v>111.03529814313674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7.5182631224194081</v>
      </c>
      <c r="K69" s="51">
        <f t="shared" si="11"/>
        <v>2.0545914625624775</v>
      </c>
      <c r="L69" s="55">
        <f t="shared" si="12"/>
        <v>7.3020112878355815E-3</v>
      </c>
      <c r="M69" s="51">
        <f t="shared" si="13"/>
        <v>2.0472894512746418</v>
      </c>
      <c r="N69" s="94">
        <f t="shared" si="15"/>
        <v>32980947.060486216</v>
      </c>
      <c r="O69" s="56">
        <f t="shared" si="16"/>
        <v>113.39436218648447</v>
      </c>
      <c r="P69" s="57">
        <f t="shared" si="14"/>
        <v>111.50374430520641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7.508942027596655</v>
      </c>
      <c r="K70" s="51">
        <f t="shared" si="11"/>
        <v>2.0563166448791255</v>
      </c>
      <c r="L70" s="55">
        <f t="shared" si="12"/>
        <v>7.1680161759867357E-3</v>
      </c>
      <c r="M70" s="51">
        <f t="shared" si="13"/>
        <v>2.0491486287031386</v>
      </c>
      <c r="N70" s="94">
        <f t="shared" si="15"/>
        <v>32280631.904439304</v>
      </c>
      <c r="O70" s="56">
        <f t="shared" si="16"/>
        <v>113.84570343495409</v>
      </c>
      <c r="P70" s="57">
        <f t="shared" si="14"/>
        <v>111.98210545210847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7.4994164816377289</v>
      </c>
      <c r="K71" s="51">
        <f t="shared" si="11"/>
        <v>2.0580796677597251</v>
      </c>
      <c r="L71" s="55">
        <f t="shared" si="12"/>
        <v>7.0404130219775939E-3</v>
      </c>
      <c r="M71" s="51">
        <f t="shared" si="13"/>
        <v>2.0510392547377476</v>
      </c>
      <c r="N71" s="94">
        <f t="shared" si="15"/>
        <v>31580316.748392321</v>
      </c>
      <c r="O71" s="56">
        <f t="shared" si="16"/>
        <v>114.30880056746557</v>
      </c>
      <c r="P71" s="57">
        <f t="shared" si="14"/>
        <v>112.47066286513549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7.4896773140583459</v>
      </c>
      <c r="K72" s="51">
        <f t="shared" si="11"/>
        <v>2.0598822285110447</v>
      </c>
      <c r="L72" s="55">
        <f t="shared" si="12"/>
        <v>6.9202393538034942E-3</v>
      </c>
      <c r="M72" s="51">
        <f t="shared" si="13"/>
        <v>2.0529619891572413</v>
      </c>
      <c r="N72" s="94">
        <f t="shared" si="15"/>
        <v>30880001.592345197</v>
      </c>
      <c r="O72" s="56">
        <f t="shared" si="16"/>
        <v>114.7842308702288</v>
      </c>
      <c r="P72" s="57">
        <f t="shared" si="14"/>
        <v>112.96970356462705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7.4797147231899741</v>
      </c>
      <c r="K73" s="51">
        <f t="shared" si="11"/>
        <v>2.0617261412617398</v>
      </c>
      <c r="L73" s="55">
        <f t="shared" si="12"/>
        <v>6.8086445932728388E-3</v>
      </c>
      <c r="M73" s="51">
        <f t="shared" si="13"/>
        <v>2.0549174966684669</v>
      </c>
      <c r="N73" s="94">
        <f t="shared" si="15"/>
        <v>30179686.436298314</v>
      </c>
      <c r="O73" s="56">
        <f t="shared" si="16"/>
        <v>115.27261390281861</v>
      </c>
      <c r="P73" s="57">
        <f t="shared" si="14"/>
        <v>113.47952170786466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7.4695182168929417</v>
      </c>
      <c r="K74" s="51">
        <f t="shared" si="11"/>
        <v>2.0636133479353904</v>
      </c>
      <c r="L74" s="55">
        <f t="shared" si="12"/>
        <v>6.7068930121046214E-3</v>
      </c>
      <c r="M74" s="51">
        <f t="shared" si="13"/>
        <v>2.0569064549232858</v>
      </c>
      <c r="N74" s="94">
        <f t="shared" si="15"/>
        <v>29479371.280251335</v>
      </c>
      <c r="O74" s="56">
        <f t="shared" si="16"/>
        <v>115.77461566153107</v>
      </c>
      <c r="P74" s="57">
        <f t="shared" si="14"/>
        <v>114.00042093381762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7.4590765461408317</v>
      </c>
      <c r="K75" s="51">
        <f t="shared" si="11"/>
        <v>2.0655459305429424</v>
      </c>
      <c r="L75" s="55">
        <f t="shared" si="12"/>
        <v>6.6163634594191036E-3</v>
      </c>
      <c r="M75" s="51">
        <f t="shared" si="13"/>
        <v>2.0589295670835233</v>
      </c>
      <c r="N75" s="94">
        <f t="shared" si="15"/>
        <v>28779056.124204297</v>
      </c>
      <c r="O75" s="56">
        <f t="shared" si="16"/>
        <v>116.29095326300991</v>
      </c>
      <c r="P75" s="57">
        <f t="shared" si="14"/>
        <v>114.53271797592978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7.4483776304221374</v>
      </c>
      <c r="K76" s="51">
        <f t="shared" si="11"/>
        <v>2.0675261249896444</v>
      </c>
      <c r="L76" s="55">
        <f t="shared" si="12"/>
        <v>6.5385448641527184E-3</v>
      </c>
      <c r="M76" s="51">
        <f t="shared" si="13"/>
        <v>2.0609875801254915</v>
      </c>
      <c r="N76" s="94">
        <f t="shared" si="15"/>
        <v>28078740.968157399</v>
      </c>
      <c r="O76" s="56">
        <f t="shared" si="16"/>
        <v>116.82240022762217</v>
      </c>
      <c r="P76" s="57">
        <f t="shared" si="14"/>
        <v>115.07674790350517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7.4374084737187909</v>
      </c>
      <c r="K77" s="51">
        <f t="shared" si="11"/>
        <v>2.0695563366260457</v>
      </c>
      <c r="L77" s="55">
        <f t="shared" si="12"/>
        <v>6.4750265572898523E-3</v>
      </c>
      <c r="M77" s="51">
        <f t="shared" si="13"/>
        <v>2.0630813100687559</v>
      </c>
      <c r="N77" s="94">
        <f t="shared" si="15"/>
        <v>27378425.812110398</v>
      </c>
      <c r="O77" s="56">
        <f t="shared" si="16"/>
        <v>117.36979245651055</v>
      </c>
      <c r="P77" s="57">
        <f t="shared" si="14"/>
        <v>115.63287136652589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7.426155069596069</v>
      </c>
      <c r="K78" s="51">
        <f t="shared" si="11"/>
        <v>2.0716391578143059</v>
      </c>
      <c r="L78" s="55">
        <f t="shared" si="12"/>
        <v>6.4274826640949674E-3</v>
      </c>
      <c r="M78" s="51">
        <f t="shared" si="13"/>
        <v>2.065211675150211</v>
      </c>
      <c r="N78" s="94">
        <f t="shared" si="15"/>
        <v>26678110.656063378</v>
      </c>
      <c r="O78" s="56">
        <f t="shared" si="16"/>
        <v>117.93403501379761</v>
      </c>
      <c r="P78" s="57">
        <f t="shared" si="14"/>
        <v>116.20148419260853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7.4146022936654106</v>
      </c>
      <c r="K79" s="51">
        <f t="shared" si="11"/>
        <v>2.0737773878315693</v>
      </c>
      <c r="L79" s="55">
        <f t="shared" si="12"/>
        <v>6.3976502335760035E-3</v>
      </c>
      <c r="M79" s="51">
        <f t="shared" si="13"/>
        <v>2.0673797375979932</v>
      </c>
      <c r="N79" s="94">
        <f t="shared" si="15"/>
        <v>25977795.500016358</v>
      </c>
      <c r="O79" s="56">
        <f t="shared" si="16"/>
        <v>118.51610984677133</v>
      </c>
      <c r="P79" s="57">
        <f t="shared" si="14"/>
        <v>116.78302960394427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7.4027337813489922</v>
      </c>
      <c r="K80" s="51">
        <f t="shared" si="11"/>
        <v>2.0759740554937434</v>
      </c>
      <c r="L80" s="55">
        <f t="shared" si="12"/>
        <v>6.3873014218241353E-3</v>
      </c>
      <c r="M80" s="51">
        <f t="shared" si="13"/>
        <v>2.0695867540719193</v>
      </c>
      <c r="N80" s="94">
        <f t="shared" si="15"/>
        <v>25277480.343969438</v>
      </c>
      <c r="O80" s="56">
        <f t="shared" si="16"/>
        <v>119.11708460304415</v>
      </c>
      <c r="P80" s="57">
        <f t="shared" si="14"/>
        <v>117.37801317881591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7.3905317884673645</v>
      </c>
      <c r="K81" s="51">
        <f t="shared" si="11"/>
        <v>2.0782324449584513</v>
      </c>
      <c r="L81" s="55">
        <f t="shared" si="12"/>
        <v>6.3982108968716903E-3</v>
      </c>
      <c r="M81" s="51">
        <f t="shared" si="13"/>
        <v>2.0718342340615794</v>
      </c>
      <c r="N81" s="94">
        <f t="shared" si="15"/>
        <v>24577165.187922493</v>
      </c>
      <c r="O81" s="56">
        <f t="shared" si="16"/>
        <v>119.73812273586839</v>
      </c>
      <c r="P81" s="57">
        <f t="shared" si="14"/>
        <v>117.98702048253249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7.3779770316696967</v>
      </c>
      <c r="K82" s="51">
        <f t="shared" si="11"/>
        <v>2.0805561252587825</v>
      </c>
      <c r="L82" s="55">
        <f t="shared" si="12"/>
        <v>6.4321205839929247E-3</v>
      </c>
      <c r="M82" s="51">
        <f t="shared" si="13"/>
        <v>2.0741240046747897</v>
      </c>
      <c r="N82" s="94">
        <f t="shared" si="15"/>
        <v>23876850.031875465</v>
      </c>
      <c r="O82" s="56">
        <f t="shared" si="16"/>
        <v>120.38049512861706</v>
      </c>
      <c r="P82" s="57">
        <f t="shared" si="14"/>
        <v>118.61073706192172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7.3650485051047623</v>
      </c>
      <c r="K83" s="51">
        <f t="shared" si="11"/>
        <v>2.0829489842344997</v>
      </c>
      <c r="L83" s="55">
        <f t="shared" si="12"/>
        <v>6.4907047492581173E-3</v>
      </c>
      <c r="M83" s="51">
        <f t="shared" si="13"/>
        <v>2.0764582794852418</v>
      </c>
      <c r="N83" s="94">
        <f t="shared" si="15"/>
        <v>23176534.875828456</v>
      </c>
      <c r="O83" s="56">
        <f t="shared" si="16"/>
        <v>121.04559351901085</v>
      </c>
      <c r="P83" s="57">
        <f t="shared" si="14"/>
        <v>119.24997028270468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7.3517232689568655</v>
      </c>
      <c r="K84" s="51">
        <f t="shared" si="11"/>
        <v>2.0854152676705819</v>
      </c>
      <c r="L84" s="55">
        <f t="shared" si="12"/>
        <v>6.5755390107383026E-3</v>
      </c>
      <c r="M84" s="51">
        <f t="shared" si="13"/>
        <v>2.0788397286598435</v>
      </c>
      <c r="N84" s="94">
        <f t="shared" si="15"/>
        <v>22476219.719781555</v>
      </c>
      <c r="O84" s="56">
        <f t="shared" si="16"/>
        <v>121.73494606572682</v>
      </c>
      <c r="P84" s="57">
        <f t="shared" si="14"/>
        <v>119.90567235167913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7.3379762045007775</v>
      </c>
      <c r="K85" s="51">
        <f t="shared" si="11"/>
        <v>2.0879596246325525</v>
      </c>
      <c r="L85" s="55">
        <f t="shared" si="12"/>
        <v>6.6880769743444786E-3</v>
      </c>
      <c r="M85" s="51">
        <f t="shared" si="13"/>
        <v>2.0812715476582082</v>
      </c>
      <c r="N85" s="94">
        <f t="shared" si="15"/>
        <v>21775904.563734557</v>
      </c>
      <c r="O85" s="56">
        <f t="shared" si="16"/>
        <v>122.45023547821104</v>
      </c>
      <c r="P85" s="57">
        <f t="shared" si="14"/>
        <v>120.57896386644154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7.323779729105885</v>
      </c>
      <c r="K86" s="51">
        <f t="shared" si="11"/>
        <v>2.0905871602145543</v>
      </c>
      <c r="L86" s="55">
        <f t="shared" si="12"/>
        <v>6.8296377113452435E-3</v>
      </c>
      <c r="M86" s="51">
        <f t="shared" si="13"/>
        <v>2.083757522503209</v>
      </c>
      <c r="N86" s="94">
        <f t="shared" si="15"/>
        <v>21075589.407687578</v>
      </c>
      <c r="O86" s="56">
        <f t="shared" si="16"/>
        <v>123.1933202297049</v>
      </c>
      <c r="P86" s="57">
        <f t="shared" si="14"/>
        <v>121.27115741384847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7.3091034630646545</v>
      </c>
      <c r="K87" s="51">
        <f t="shared" si="11"/>
        <v>2.0933034972039541</v>
      </c>
      <c r="L87" s="55">
        <f t="shared" si="12"/>
        <v>7.0014062739775125E-3</v>
      </c>
      <c r="M87" s="51">
        <f t="shared" si="13"/>
        <v>2.0863020909299768</v>
      </c>
      <c r="N87" s="94">
        <f t="shared" si="15"/>
        <v>20375274.251640595</v>
      </c>
      <c r="O87" s="56">
        <f t="shared" si="16"/>
        <v>123.96625950020874</v>
      </c>
      <c r="P87" s="57">
        <f t="shared" si="14"/>
        <v>121.98378109575988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7.2939138381301385</v>
      </c>
      <c r="K88" s="51">
        <f t="shared" si="11"/>
        <v>2.0961148485346559</v>
      </c>
      <c r="L88" s="55">
        <f t="shared" si="12"/>
        <v>7.2044480882300756E-3</v>
      </c>
      <c r="M88" s="51">
        <f t="shared" si="13"/>
        <v>2.0889104004464256</v>
      </c>
      <c r="N88" s="94">
        <f t="shared" si="15"/>
        <v>19674959.095593594</v>
      </c>
      <c r="O88" s="56">
        <f t="shared" si="16"/>
        <v>124.77134265924558</v>
      </c>
      <c r="P88" s="57">
        <f t="shared" si="14"/>
        <v>122.7186023559187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7.2781736350791917</v>
      </c>
      <c r="K89" s="51">
        <f t="shared" si="11"/>
        <v>2.0990281028765869</v>
      </c>
      <c r="L89" s="55">
        <f t="shared" si="12"/>
        <v>7.4397366746965067E-3</v>
      </c>
      <c r="M89" s="51">
        <f t="shared" si="13"/>
        <v>2.0915883662018904</v>
      </c>
      <c r="N89" s="94">
        <f t="shared" si="15"/>
        <v>18974643.939546648</v>
      </c>
      <c r="O89" s="56">
        <f t="shared" si="16"/>
        <v>125.61112431000036</v>
      </c>
      <c r="P89" s="57">
        <f t="shared" si="14"/>
        <v>123.47765304563529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7.261841434276918</v>
      </c>
      <c r="K90" s="51">
        <f t="shared" si="11"/>
        <v>2.1020509263272453</v>
      </c>
      <c r="L90" s="55">
        <f t="shared" si="12"/>
        <v>7.708193040420256E-3</v>
      </c>
      <c r="M90" s="51">
        <f t="shared" si="13"/>
        <v>2.0943427332868252</v>
      </c>
      <c r="N90" s="94">
        <f t="shared" si="15"/>
        <v>18274328.783499647</v>
      </c>
      <c r="O90" s="56">
        <f t="shared" si="16"/>
        <v>126.48846619358207</v>
      </c>
      <c r="P90" s="57">
        <f t="shared" si="14"/>
        <v>124.26325722671587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7.2448709588312141</v>
      </c>
      <c r="K91" s="51">
        <f t="shared" si="11"/>
        <v>2.1051918839830526</v>
      </c>
      <c r="L91" s="55">
        <f t="shared" si="12"/>
        <v>8.0107344786170282E-3</v>
      </c>
      <c r="M91" s="51">
        <f t="shared" si="13"/>
        <v>2.0971811495044355</v>
      </c>
      <c r="N91" s="94">
        <f t="shared" si="15"/>
        <v>17574013.62745266</v>
      </c>
      <c r="O91" s="56">
        <f t="shared" si="16"/>
        <v>127.4065876183336</v>
      </c>
      <c r="P91" s="57">
        <f t="shared" si="14"/>
        <v>125.0780637224764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7.2272102841113144</v>
      </c>
      <c r="K92" s="51">
        <f t="shared" si="11"/>
        <v>2.1084605862445582</v>
      </c>
      <c r="L92" s="55">
        <f t="shared" si="12"/>
        <v>8.3483304900340161E-3</v>
      </c>
      <c r="M92" s="51">
        <f t="shared" si="13"/>
        <v>2.1001122557545244</v>
      </c>
      <c r="N92" s="94">
        <f t="shared" si="15"/>
        <v>16873698.471405681</v>
      </c>
      <c r="O92" s="56">
        <f t="shared" si="16"/>
        <v>128.36912656776246</v>
      </c>
      <c r="P92" s="57">
        <f t="shared" si="14"/>
        <v>125.92508589129993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7.2088008796152847</v>
      </c>
      <c r="K93" s="51">
        <f t="shared" si="11"/>
        <v>2.111867866151103</v>
      </c>
      <c r="L93" s="55">
        <f t="shared" si="12"/>
        <v>8.7220640472578156E-3</v>
      </c>
      <c r="M93" s="51">
        <f t="shared" si="13"/>
        <v>2.1031458021038452</v>
      </c>
      <c r="N93" s="94">
        <f t="shared" si="15"/>
        <v>16173383.31535873</v>
      </c>
      <c r="O93" s="56">
        <f t="shared" si="16"/>
        <v>129.38021429962484</v>
      </c>
      <c r="P93" s="57">
        <f t="shared" si="14"/>
        <v>126.8077515607651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7.1895764386211871</v>
      </c>
      <c r="K94" s="51">
        <f t="shared" si="11"/>
        <v>2.1154259959932649</v>
      </c>
      <c r="L94" s="55">
        <f t="shared" si="12"/>
        <v>9.1331973287331857E-3</v>
      </c>
      <c r="M94" s="51">
        <f t="shared" si="13"/>
        <v>2.1062927986645317</v>
      </c>
      <c r="N94" s="94">
        <f t="shared" si="15"/>
        <v>15473068.159311732</v>
      </c>
      <c r="O94" s="56">
        <f t="shared" si="16"/>
        <v>130.44456714763646</v>
      </c>
      <c r="P94" s="57">
        <f t="shared" si="14"/>
        <v>127.72996661533878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7.1694614365925311</v>
      </c>
      <c r="K95" s="51">
        <f t="shared" si="11"/>
        <v>2.1191489541284474</v>
      </c>
      <c r="L95" s="55">
        <f t="shared" si="12"/>
        <v>9.5832422074917864E-3</v>
      </c>
      <c r="M95" s="51">
        <f t="shared" si="13"/>
        <v>2.1095657119209554</v>
      </c>
      <c r="N95" s="94">
        <f t="shared" si="15"/>
        <v>14772753.003264738</v>
      </c>
      <c r="O95" s="56">
        <f t="shared" si="16"/>
        <v>131.56760047878993</v>
      </c>
      <c r="P95" s="57">
        <f t="shared" si="14"/>
        <v>128.69619650254063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7.1483693392174787</v>
      </c>
      <c r="K96" s="51">
        <f t="shared" si="11"/>
        <v>2.1230527566435371</v>
      </c>
      <c r="L96" s="55">
        <f t="shared" si="12"/>
        <v>1.0074037090641369E-2</v>
      </c>
      <c r="M96" s="51">
        <f t="shared" si="13"/>
        <v>2.1129787195528955</v>
      </c>
      <c r="N96" s="94">
        <f t="shared" si="15"/>
        <v>14072437.847217765</v>
      </c>
      <c r="O96" s="56">
        <f t="shared" si="16"/>
        <v>132.75557149705458</v>
      </c>
      <c r="P96" s="57">
        <f t="shared" si="14"/>
        <v>129.71157107046753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7.1262003526538544</v>
      </c>
      <c r="K97" s="51">
        <f t="shared" si="11"/>
        <v>2.1271558737477863</v>
      </c>
      <c r="L97" s="55">
        <f t="shared" si="12"/>
        <v>1.0607833150113754E-2</v>
      </c>
      <c r="M97" s="51">
        <f t="shared" si="13"/>
        <v>2.1165480405976727</v>
      </c>
      <c r="N97" s="94">
        <f t="shared" si="15"/>
        <v>13372122.691170817</v>
      </c>
      <c r="O97" s="56">
        <f t="shared" si="16"/>
        <v>134.01576005238809</v>
      </c>
      <c r="P97" s="57">
        <f t="shared" si="14"/>
        <v>130.78201988037307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7.1028385680436763</v>
      </c>
      <c r="K98" s="51">
        <f t="shared" si="11"/>
        <v>2.1314797582765044</v>
      </c>
      <c r="L98" s="55">
        <f t="shared" si="12"/>
        <v>1.1187394641717478E-2</v>
      </c>
      <c r="M98" s="51">
        <f t="shared" si="13"/>
        <v>2.1202923636347868</v>
      </c>
      <c r="N98" s="94">
        <f t="shared" si="15"/>
        <v>12671807.53512379</v>
      </c>
      <c r="O98" s="56">
        <f t="shared" si="16"/>
        <v>135.35670017568293</v>
      </c>
      <c r="P98" s="57">
        <f t="shared" si="14"/>
        <v>131.9144477416678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7.0781482933970432</v>
      </c>
      <c r="K99" s="51">
        <f t="shared" si="11"/>
        <v>2.136049524599402</v>
      </c>
      <c r="L99" s="55">
        <f t="shared" si="12"/>
        <v>1.1816120068726654E-2</v>
      </c>
      <c r="M99" s="51">
        <f t="shared" si="13"/>
        <v>2.1242334045306754</v>
      </c>
      <c r="N99" s="94">
        <f t="shared" si="15"/>
        <v>11971492.379076807</v>
      </c>
      <c r="O99" s="56">
        <f t="shared" si="16"/>
        <v>136.78848029045295</v>
      </c>
      <c r="P99" s="57">
        <f t="shared" si="14"/>
        <v>133.11696413177015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7.0519692784920194</v>
      </c>
      <c r="K100" s="51">
        <f t="shared" si="11"/>
        <v>2.1408948324135828</v>
      </c>
      <c r="L100" s="55">
        <f t="shared" si="12"/>
        <v>1.2498193738868183E-2</v>
      </c>
      <c r="M100" s="51">
        <f t="shared" si="13"/>
        <v>2.1283966386747144</v>
      </c>
      <c r="N100" s="94">
        <f t="shared" si="15"/>
        <v>11271177.223029854</v>
      </c>
      <c r="O100" s="56">
        <f t="shared" si="16"/>
        <v>138.32313788129102</v>
      </c>
      <c r="P100" s="57">
        <f t="shared" si="14"/>
        <v>134.39918608977101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7.0241104060082069</v>
      </c>
      <c r="K101" s="51">
        <f t="shared" si="11"/>
        <v>2.1460510544116147</v>
      </c>
      <c r="L101" s="55">
        <f t="shared" si="12"/>
        <v>1.3238781326789333E-2</v>
      </c>
      <c r="M101" s="51">
        <f t="shared" si="13"/>
        <v>2.1328122730848253</v>
      </c>
      <c r="N101" s="94">
        <f t="shared" si="15"/>
        <v>10570862.066982884</v>
      </c>
      <c r="O101" s="56">
        <f t="shared" si="16"/>
        <v>139.975186370871</v>
      </c>
      <c r="P101" s="57">
        <f t="shared" si="14"/>
        <v>135.7726432704481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6.9943412168865686</v>
      </c>
      <c r="K102" s="51">
        <f t="shared" si="11"/>
        <v>2.1515608447989232</v>
      </c>
      <c r="L102" s="55">
        <f t="shared" si="12"/>
        <v>1.4044289269679371E-2</v>
      </c>
      <c r="M102" s="51">
        <f t="shared" si="13"/>
        <v>2.1375165555292437</v>
      </c>
      <c r="N102" s="94">
        <f>10^$J102</f>
        <v>9870546.9109359141</v>
      </c>
      <c r="O102" s="56">
        <f t="shared" si="16"/>
        <v>141.76233070196884</v>
      </c>
      <c r="P102" s="57">
        <f t="shared" si="14"/>
        <v>137.25132809232227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7.9025579899222214</v>
      </c>
      <c r="K104" s="51">
        <f t="shared" si="11"/>
        <v>1.9834647631348494</v>
      </c>
      <c r="L104" s="55">
        <f t="shared" si="12"/>
        <v>1.6587647871952535E-2</v>
      </c>
      <c r="M104" s="51">
        <f>+$I$14+$I$13*J104+L104</f>
        <v>2.0000524110068021</v>
      </c>
      <c r="N104" s="94">
        <f t="shared" ref="N104:N167" si="17">10^$J104</f>
        <v>79902062.515633941</v>
      </c>
      <c r="O104" s="56">
        <f t="shared" ref="O104:O167" si="18">10^K104</f>
        <v>96.264190500619236</v>
      </c>
      <c r="P104" s="57">
        <f t="shared" ref="P104:P167" si="19">10^M104</f>
        <v>100.01206880851927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7.8987347631583722</v>
      </c>
      <c r="K105" s="51">
        <f t="shared" si="11"/>
        <v>1.9841723799256825</v>
      </c>
      <c r="L105" s="55">
        <f t="shared" si="12"/>
        <v>1.6479643174704139E-2</v>
      </c>
      <c r="M105" s="51">
        <f t="shared" ref="M105:M168" si="21">+$I$14+$I$13*J105+L105</f>
        <v>2.0006520231003866</v>
      </c>
      <c r="N105" s="94">
        <f t="shared" si="17"/>
        <v>79201747.359586701</v>
      </c>
      <c r="O105" s="56">
        <f t="shared" si="18"/>
        <v>96.421166204052156</v>
      </c>
      <c r="P105" s="57">
        <f t="shared" si="19"/>
        <v>100.15024662443604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7.8948775802155744</v>
      </c>
      <c r="K106" s="51">
        <f t="shared" si="11"/>
        <v>1.9848862814502917</v>
      </c>
      <c r="L106" s="55">
        <f t="shared" si="12"/>
        <v>1.6370805900320886E-2</v>
      </c>
      <c r="M106" s="51">
        <f t="shared" si="21"/>
        <v>2.0012570873506124</v>
      </c>
      <c r="N106" s="94">
        <f t="shared" si="17"/>
        <v>78501432.203539819</v>
      </c>
      <c r="O106" s="56">
        <f t="shared" si="18"/>
        <v>96.579795493073803</v>
      </c>
      <c r="P106" s="57">
        <f t="shared" si="19"/>
        <v>100.28987438505708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7.8909858325177025</v>
      </c>
      <c r="K107" s="51">
        <f t="shared" si="11"/>
        <v>1.9856065803461718</v>
      </c>
      <c r="L107" s="55">
        <f t="shared" si="12"/>
        <v>1.6261124856536822E-2</v>
      </c>
      <c r="M107" s="51">
        <f t="shared" si="21"/>
        <v>2.0018677052027085</v>
      </c>
      <c r="N107" s="94">
        <f t="shared" si="17"/>
        <v>77801117.047493026</v>
      </c>
      <c r="O107" s="56">
        <f t="shared" si="18"/>
        <v>96.740110773278303</v>
      </c>
      <c r="P107" s="57">
        <f t="shared" si="19"/>
        <v>100.43098107942126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7.8870588949798668</v>
      </c>
      <c r="K108" s="51">
        <f t="shared" si="11"/>
        <v>1.9863333923063202</v>
      </c>
      <c r="L108" s="55">
        <f t="shared" si="12"/>
        <v>1.6150588707559546E-2</v>
      </c>
      <c r="M108" s="51">
        <f t="shared" si="21"/>
        <v>2.0024839810138797</v>
      </c>
      <c r="N108" s="94">
        <f t="shared" si="17"/>
        <v>77100801.891446009</v>
      </c>
      <c r="O108" s="56">
        <f t="shared" si="18"/>
        <v>96.902145384333181</v>
      </c>
      <c r="P108" s="57">
        <f t="shared" si="19"/>
        <v>100.57359656673835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7.8830961254058529</v>
      </c>
      <c r="K109" s="51">
        <f t="shared" si="11"/>
        <v>1.9870668361907609</v>
      </c>
      <c r="L109" s="55">
        <f t="shared" si="12"/>
        <v>1.6039185977771278E-2</v>
      </c>
      <c r="M109" s="51">
        <f t="shared" si="21"/>
        <v>2.0031060221685322</v>
      </c>
      <c r="N109" s="94">
        <f t="shared" si="17"/>
        <v>76400486.735398859</v>
      </c>
      <c r="O109" s="56">
        <f t="shared" si="18"/>
        <v>97.065933635680153</v>
      </c>
      <c r="P109" s="57">
        <f t="shared" si="19"/>
        <v>100.71775161182205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7.8790968638578169</v>
      </c>
      <c r="K110" s="51">
        <f t="shared" si="11"/>
        <v>1.987807034143203</v>
      </c>
      <c r="L110" s="55">
        <f t="shared" si="12"/>
        <v>1.5926905056211867E-2</v>
      </c>
      <c r="M110" s="51">
        <f t="shared" si="21"/>
        <v>2.0037339391994151</v>
      </c>
      <c r="N110" s="94">
        <f t="shared" si="17"/>
        <v>75700171.579351962</v>
      </c>
      <c r="O110" s="56">
        <f t="shared" si="18"/>
        <v>97.231510843941834</v>
      </c>
      <c r="P110" s="57">
        <f t="shared" si="19"/>
        <v>100.86347792237315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7.875060431996685</v>
      </c>
      <c r="K111" s="51">
        <f t="shared" si="11"/>
        <v>1.9885541117131234</v>
      </c>
      <c r="L111" s="55">
        <f t="shared" si="12"/>
        <v>1.5813734201936731E-2</v>
      </c>
      <c r="M111" s="51">
        <f t="shared" si="21"/>
        <v>2.00436784591506</v>
      </c>
      <c r="N111" s="94">
        <f t="shared" si="17"/>
        <v>74999856.423305079</v>
      </c>
      <c r="O111" s="56">
        <f t="shared" si="18"/>
        <v>97.398913372133123</v>
      </c>
      <c r="P111" s="57">
        <f t="shared" si="19"/>
        <v>101.01080818823417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7.870986132391617</v>
      </c>
      <c r="K112" s="51">
        <f t="shared" si="11"/>
        <v>1.9893081979835721</v>
      </c>
      <c r="L112" s="55">
        <f t="shared" si="12"/>
        <v>1.5699661550353364E-2</v>
      </c>
      <c r="M112" s="51">
        <f t="shared" si="21"/>
        <v>2.0050078595339254</v>
      </c>
      <c r="N112" s="94">
        <f t="shared" si="17"/>
        <v>74299541.267258078</v>
      </c>
      <c r="O112" s="56">
        <f t="shared" si="18"/>
        <v>97.568178670780824</v>
      </c>
      <c r="P112" s="57">
        <f t="shared" si="19"/>
        <v>101.15977612274335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7.8668732477967689</v>
      </c>
      <c r="K113" s="51">
        <f t="shared" si="11"/>
        <v>1.9900694257050329</v>
      </c>
      <c r="L113" s="55">
        <f t="shared" si="12"/>
        <v>1.5584675120651944E-2</v>
      </c>
      <c r="M113" s="51">
        <f t="shared" si="21"/>
        <v>2.005654100825685</v>
      </c>
      <c r="N113" s="94">
        <f t="shared" si="17"/>
        <v>73599226.111210912</v>
      </c>
      <c r="O113" s="56">
        <f t="shared" si="18"/>
        <v>97.739345321065002</v>
      </c>
      <c r="P113" s="57">
        <f t="shared" si="19"/>
        <v>101.31041650632694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7.8627210403934793</v>
      </c>
      <c r="K114" s="51">
        <f t="shared" si="11"/>
        <v>1.9908379314356821</v>
      </c>
      <c r="L114" s="55">
        <f t="shared" si="12"/>
        <v>1.5468762824458977E-2</v>
      </c>
      <c r="M114" s="51">
        <f t="shared" si="21"/>
        <v>2.0063066942601413</v>
      </c>
      <c r="N114" s="94">
        <f t="shared" si="17"/>
        <v>72898910.955164045</v>
      </c>
      <c r="O114" s="56">
        <f t="shared" si="18"/>
        <v>97.912453080101116</v>
      </c>
      <c r="P114" s="57">
        <f t="shared" si="19"/>
        <v>101.46276523248075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7.8585287509958803</v>
      </c>
      <c r="K115" s="51">
        <f t="shared" si="11"/>
        <v>1.9916138556884162</v>
      </c>
      <c r="L115" s="55">
        <f t="shared" si="12"/>
        <v>1.5351912475857992E-2</v>
      </c>
      <c r="M115" s="51">
        <f t="shared" si="21"/>
        <v>2.0069657681642741</v>
      </c>
      <c r="N115" s="94">
        <f t="shared" si="17"/>
        <v>72198595.799116895</v>
      </c>
      <c r="O115" s="56">
        <f t="shared" si="18"/>
        <v>98.087542928489327</v>
      </c>
      <c r="P115" s="57">
        <f t="shared" si="19"/>
        <v>101.61685935630389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7.8542955982177896</v>
      </c>
      <c r="K116" s="51">
        <f t="shared" si="11"/>
        <v>1.9923973430850472</v>
      </c>
      <c r="L116" s="55">
        <f t="shared" si="12"/>
        <v>1.5234111802938136E-2</v>
      </c>
      <c r="M116" s="51">
        <f t="shared" si="21"/>
        <v>2.0076314548879854</v>
      </c>
      <c r="N116" s="94">
        <f t="shared" si="17"/>
        <v>71498280.643070057</v>
      </c>
      <c r="O116" s="56">
        <f t="shared" si="18"/>
        <v>98.264657120271352</v>
      </c>
      <c r="P116" s="57">
        <f t="shared" si="19"/>
        <v>101.77273714575956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7.8500207775985995</v>
      </c>
      <c r="K117" s="51">
        <f t="shared" si="11"/>
        <v>1.9931885425180866</v>
      </c>
      <c r="L117" s="55">
        <f t="shared" si="12"/>
        <v>1.5115348461050551E-2</v>
      </c>
      <c r="M117" s="51">
        <f t="shared" si="21"/>
        <v>2.0083038909791373</v>
      </c>
      <c r="N117" s="94">
        <f t="shared" si="17"/>
        <v>70797965.48702313</v>
      </c>
      <c r="O117" s="56">
        <f t="shared" si="18"/>
        <v>98.443839235437594</v>
      </c>
      <c r="P117" s="57">
        <f t="shared" si="19"/>
        <v>101.93043813585267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7.8457034606857183</v>
      </c>
      <c r="K118" s="51">
        <f t="shared" si="11"/>
        <v>1.9939876073205696</v>
      </c>
      <c r="L118" s="55">
        <f t="shared" si="12"/>
        <v>1.499561004797373E-2</v>
      </c>
      <c r="M118" s="51">
        <f t="shared" si="21"/>
        <v>2.0089832173685434</v>
      </c>
      <c r="N118" s="94">
        <f t="shared" si="17"/>
        <v>70097650.330976024</v>
      </c>
      <c r="O118" s="56">
        <f t="shared" si="18"/>
        <v>98.625134235143761</v>
      </c>
      <c r="P118" s="57">
        <f t="shared" si="19"/>
        <v>102.09000318593301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7.8413427940709424</v>
      </c>
      <c r="K119" s="51">
        <f t="shared" si="11"/>
        <v>1.9947946954444071</v>
      </c>
      <c r="L119" s="55">
        <f t="shared" si="12"/>
        <v>1.4874884121212999E-2</v>
      </c>
      <c r="M119" s="51">
        <f t="shared" si="21"/>
        <v>2.0096695795656201</v>
      </c>
      <c r="N119" s="94">
        <f t="shared" si="17"/>
        <v>69397335.174929217</v>
      </c>
      <c r="O119" s="56">
        <f t="shared" si="18"/>
        <v>98.808588519805909</v>
      </c>
      <c r="P119" s="57">
        <f t="shared" si="19"/>
        <v>102.25147454034582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7.8369378983779585</v>
      </c>
      <c r="K120" s="51">
        <f t="shared" si="11"/>
        <v>1.9956099696477834</v>
      </c>
      <c r="L120" s="55">
        <f t="shared" si="12"/>
        <v>1.4753158217686496E-2</v>
      </c>
      <c r="M120" s="51">
        <f t="shared" si="21"/>
        <v>2.0103631278654697</v>
      </c>
      <c r="N120" s="94">
        <f t="shared" si="17"/>
        <v>68697020.01888226</v>
      </c>
      <c r="O120" s="56">
        <f t="shared" si="18"/>
        <v>98.994249990252342</v>
      </c>
      <c r="P120" s="57">
        <f t="shared" si="19"/>
        <v>102.41489589267516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7.8324878671979707</v>
      </c>
      <c r="K121" s="51">
        <f t="shared" si="11"/>
        <v>1.9964335976921528</v>
      </c>
      <c r="L121" s="55">
        <f t="shared" si="12"/>
        <v>1.4630419876080429E-2</v>
      </c>
      <c r="M121" s="51">
        <f t="shared" si="21"/>
        <v>2.0110640175682333</v>
      </c>
      <c r="N121" s="94">
        <f t="shared" si="17"/>
        <v>67996704.862835169</v>
      </c>
      <c r="O121" s="56">
        <f t="shared" si="18"/>
        <v>99.182168112128338</v>
      </c>
      <c r="P121" s="57">
        <f t="shared" si="19"/>
        <v>102.58031245384295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7.8279917659702303</v>
      </c>
      <c r="K122" s="51">
        <f t="shared" si="11"/>
        <v>1.9972657525494364</v>
      </c>
      <c r="L122" s="55">
        <f t="shared" si="12"/>
        <v>1.4506656662190982E-2</v>
      </c>
      <c r="M122" s="51">
        <f t="shared" si="21"/>
        <v>2.0117724092116274</v>
      </c>
      <c r="N122" s="94">
        <f t="shared" si="17"/>
        <v>67296389.706788123</v>
      </c>
      <c r="O122" s="56">
        <f t="shared" si="18"/>
        <v>99.372393983762052</v>
      </c>
      <c r="P122" s="57">
        <f t="shared" si="19"/>
        <v>102.74777102435429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7.8234486308040072</v>
      </c>
      <c r="K123" s="51">
        <f t="shared" si="11"/>
        <v>1.9981066126200557</v>
      </c>
      <c r="L123" s="55">
        <f t="shared" si="12"/>
        <v>1.4381856197609033E-2</v>
      </c>
      <c r="M123" s="51">
        <f t="shared" si="21"/>
        <v>2.012488468817665</v>
      </c>
      <c r="N123" s="94">
        <f t="shared" si="17"/>
        <v>66596074.550741144</v>
      </c>
      <c r="O123" s="56">
        <f t="shared" si="18"/>
        <v>99.56498040771379</v>
      </c>
      <c r="P123" s="57">
        <f t="shared" si="19"/>
        <v>102.91732007100295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7.8188574672382929</v>
      </c>
      <c r="K124" s="51">
        <f t="shared" si="11"/>
        <v>1.9989563619624906</v>
      </c>
      <c r="L124" s="55">
        <f t="shared" si="12"/>
        <v>1.4256006192148145E-2</v>
      </c>
      <c r="M124" s="51">
        <f t="shared" si="21"/>
        <v>2.0132123681546386</v>
      </c>
      <c r="N124" s="94">
        <f t="shared" si="17"/>
        <v>65895759.394694202</v>
      </c>
      <c r="O124" s="56">
        <f t="shared" si="18"/>
        <v>99.759981966252724</v>
      </c>
      <c r="P124" s="57">
        <f t="shared" si="19"/>
        <v>103.08900980838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7.8142172489352388</v>
      </c>
      <c r="K125" s="51">
        <f t="shared" si="11"/>
        <v>1.9998151905351036</v>
      </c>
      <c r="L125" s="55">
        <f t="shared" si="12"/>
        <v>1.4129094480465915E-2</v>
      </c>
      <c r="M125" s="51">
        <f t="shared" si="21"/>
        <v>2.0139442850155693</v>
      </c>
      <c r="N125" s="94">
        <f t="shared" si="17"/>
        <v>65195444.23864717</v>
      </c>
      <c r="O125" s="56">
        <f t="shared" si="18"/>
        <v>99.95745510101851</v>
      </c>
      <c r="P125" s="57">
        <f t="shared" si="19"/>
        <v>103.26289228556281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7.8095269163030423</v>
      </c>
      <c r="K126" s="51">
        <f t="shared" si="11"/>
        <v>2.0006832944510204</v>
      </c>
      <c r="L126" s="55">
        <f t="shared" si="12"/>
        <v>1.4001109063385669E-2</v>
      </c>
      <c r="M126" s="51">
        <f t="shared" si="21"/>
        <v>2.0146844035144063</v>
      </c>
      <c r="N126" s="94">
        <f t="shared" si="17"/>
        <v>64495129.082600236</v>
      </c>
      <c r="O126" s="56">
        <f t="shared" si="18"/>
        <v>100.15745819714817</v>
      </c>
      <c r="P126" s="57">
        <f t="shared" si="19"/>
        <v>103.439021478393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7.804785375043644</v>
      </c>
      <c r="K127" s="51">
        <f t="shared" si="11"/>
        <v>2.001560876246927</v>
      </c>
      <c r="L127" s="55">
        <f t="shared" si="12"/>
        <v>1.3872038154488916E-2</v>
      </c>
      <c r="M127" s="51">
        <f t="shared" si="21"/>
        <v>2.015432914401416</v>
      </c>
      <c r="N127" s="94">
        <f t="shared" si="17"/>
        <v>63794813.926553361</v>
      </c>
      <c r="O127" s="56">
        <f t="shared" si="18"/>
        <v>100.36005167217114</v>
      </c>
      <c r="P127" s="57">
        <f t="shared" si="19"/>
        <v>103.61745338779606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7.7999914946202775</v>
      </c>
      <c r="K128" s="51">
        <f t="shared" si="11"/>
        <v>2.0024481451667033</v>
      </c>
      <c r="L128" s="55">
        <f t="shared" si="12"/>
        <v>1.3741870232622898E-2</v>
      </c>
      <c r="M128" s="51">
        <f t="shared" si="21"/>
        <v>2.0161900153993262</v>
      </c>
      <c r="N128" s="94">
        <f t="shared" si="17"/>
        <v>63094498.770506233</v>
      </c>
      <c r="O128" s="56">
        <f t="shared" si="18"/>
        <v>100.56529806999743</v>
      </c>
      <c r="P128" s="57">
        <f t="shared" si="19"/>
        <v>103.79824614463732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7.7951441066394862</v>
      </c>
      <c r="K129" s="51">
        <f t="shared" si="11"/>
        <v>2.0033453174608828</v>
      </c>
      <c r="L129" s="55">
        <f t="shared" si="12"/>
        <v>1.3610594101049176E-2</v>
      </c>
      <c r="M129" s="51">
        <f t="shared" si="21"/>
        <v>2.016955911561932</v>
      </c>
      <c r="N129" s="94">
        <f t="shared" si="17"/>
        <v>62394183.614459403</v>
      </c>
      <c r="O129" s="56">
        <f t="shared" si="18"/>
        <v>100.77326216035063</v>
      </c>
      <c r="P129" s="57">
        <f t="shared" si="19"/>
        <v>103.98146012165481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7.7902420031418202</v>
      </c>
      <c r="K130" s="51">
        <f t="shared" ref="K130:K193" si="22">+$I$14+$I$13*J130</f>
        <v>2.0042526167030177</v>
      </c>
      <c r="L130" s="55">
        <f t="shared" ref="L130:L193" si="23">SQRT(2*$I$20*$I$17)*SQRT((1/$I$2)+((J130-$I$11)^2/$I$8))</f>
        <v>1.3478198954054091E-2</v>
      </c>
      <c r="M130" s="51">
        <f t="shared" si="21"/>
        <v>2.0177308156570719</v>
      </c>
      <c r="N130" s="94">
        <f t="shared" si="17"/>
        <v>61693868.458412372</v>
      </c>
      <c r="O130" s="56">
        <f t="shared" si="18"/>
        <v>100.98401104402662</v>
      </c>
      <c r="P130" s="57">
        <f t="shared" si="19"/>
        <v>104.16715805306994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7.7852839347949594</v>
      </c>
      <c r="K131" s="51">
        <f t="shared" si="22"/>
        <v>2.0051702741241026</v>
      </c>
      <c r="L131" s="55">
        <f t="shared" si="23"/>
        <v>1.3344674451948941E-2</v>
      </c>
      <c r="M131" s="51">
        <f t="shared" si="21"/>
        <v>2.0185149485760516</v>
      </c>
      <c r="N131" s="94">
        <f t="shared" si="17"/>
        <v>60993553.302365489</v>
      </c>
      <c r="O131" s="56">
        <f t="shared" si="18"/>
        <v>101.19761426439096</v>
      </c>
      <c r="P131" s="57">
        <f t="shared" si="19"/>
        <v>104.35540516253293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7.7802686089825013</v>
      </c>
      <c r="K132" s="51">
        <f t="shared" si="22"/>
        <v>2.0060985289663082</v>
      </c>
      <c r="L132" s="55">
        <f t="shared" si="23"/>
        <v>1.3210010805510005E-2</v>
      </c>
      <c r="M132" s="51">
        <f t="shared" si="21"/>
        <v>2.0193085397718185</v>
      </c>
      <c r="N132" s="94">
        <f t="shared" si="17"/>
        <v>60293238.146318391</v>
      </c>
      <c r="O132" s="56">
        <f t="shared" si="18"/>
        <v>101.4141439255587</v>
      </c>
      <c r="P132" s="57">
        <f t="shared" si="19"/>
        <v>104.54626930013157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7.775194687781096</v>
      </c>
      <c r="K133" s="51">
        <f t="shared" si="22"/>
        <v>2.0070376288573812</v>
      </c>
      <c r="L133" s="55">
        <f t="shared" si="23"/>
        <v>1.3074198871047832E-2</v>
      </c>
      <c r="M133" s="51">
        <f t="shared" si="21"/>
        <v>2.0201118277284289</v>
      </c>
      <c r="N133" s="94">
        <f t="shared" si="17"/>
        <v>59592922.990271345</v>
      </c>
      <c r="O133" s="56">
        <f t="shared" si="18"/>
        <v>101.63367481774242</v>
      </c>
      <c r="P133" s="57">
        <f t="shared" si="19"/>
        <v>104.73982108926492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7.7700607858180089</v>
      </c>
      <c r="K134" s="51">
        <f t="shared" si="22"/>
        <v>2.0079878302071736</v>
      </c>
      <c r="L134" s="55">
        <f t="shared" si="23"/>
        <v>1.2937230257454678E-2</v>
      </c>
      <c r="M134" s="51">
        <f t="shared" si="21"/>
        <v>2.0209250604646285</v>
      </c>
      <c r="N134" s="94">
        <f t="shared" si="17"/>
        <v>58892607.834224463</v>
      </c>
      <c r="O134" s="56">
        <f t="shared" si="18"/>
        <v>101.85628455029119</v>
      </c>
      <c r="P134" s="57">
        <f t="shared" si="19"/>
        <v>104.93613408427383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7.7648654680005347</v>
      </c>
      <c r="K135" s="51">
        <f t="shared" si="22"/>
        <v>2.008949398627891</v>
      </c>
      <c r="L135" s="55">
        <f t="shared" si="23"/>
        <v>1.2799097446761111E-2</v>
      </c>
      <c r="M135" s="51">
        <f t="shared" si="21"/>
        <v>2.0217484960746521</v>
      </c>
      <c r="N135" s="94">
        <f t="shared" si="17"/>
        <v>58192292.678177536</v>
      </c>
      <c r="O135" s="56">
        <f t="shared" si="18"/>
        <v>102.08205369299178</v>
      </c>
      <c r="P135" s="57">
        <f t="shared" si="19"/>
        <v>105.13528493981028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7.7596072471079438</v>
      </c>
      <c r="K136" s="51">
        <f t="shared" si="22"/>
        <v>2.0099226093797848</v>
      </c>
      <c r="L136" s="55">
        <f t="shared" si="23"/>
        <v>1.2659793929940787E-2</v>
      </c>
      <c r="M136" s="51">
        <f t="shared" si="21"/>
        <v>2.0225824033097255</v>
      </c>
      <c r="N136" s="94">
        <f t="shared" si="17"/>
        <v>57491977.522130504</v>
      </c>
      <c r="O136" s="56">
        <f t="shared" si="18"/>
        <v>102.311065926251</v>
      </c>
      <c r="P136" s="57">
        <f t="shared" si="19"/>
        <v>105.33735359304566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7.7542845812358543</v>
      </c>
      <c r="K137" s="51">
        <f t="shared" si="22"/>
        <v>2.0109077478441568</v>
      </c>
      <c r="L137" s="55">
        <f t="shared" si="23"/>
        <v>1.2519314359941136E-2</v>
      </c>
      <c r="M137" s="51">
        <f t="shared" si="21"/>
        <v>2.0234270622040977</v>
      </c>
      <c r="N137" s="94">
        <f t="shared" si="17"/>
        <v>56791662.366083555</v>
      </c>
      <c r="O137" s="56">
        <f t="shared" si="18"/>
        <v>102.5434082008326</v>
      </c>
      <c r="P137" s="57">
        <f t="shared" si="19"/>
        <v>105.54242345992847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7.7488958710820501</v>
      </c>
      <c r="K138" s="51">
        <f t="shared" si="22"/>
        <v>2.0119051100257099</v>
      </c>
      <c r="L138" s="55">
        <f t="shared" si="23"/>
        <v>1.2377654724191214E-2</v>
      </c>
      <c r="M138" s="51">
        <f t="shared" si="21"/>
        <v>2.0242827647499011</v>
      </c>
      <c r="N138" s="94">
        <f t="shared" si="17"/>
        <v>56091347.210036613</v>
      </c>
      <c r="O138" s="56">
        <f t="shared" si="18"/>
        <v>102.77917090788326</v>
      </c>
      <c r="P138" s="57">
        <f t="shared" si="19"/>
        <v>105.75058164685154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7.7434394570617764</v>
      </c>
      <c r="K139" s="51">
        <f t="shared" si="22"/>
        <v>2.0129150030864595</v>
      </c>
      <c r="L139" s="55">
        <f t="shared" si="23"/>
        <v>1.2234812539150635E-2</v>
      </c>
      <c r="M139" s="51">
        <f t="shared" si="21"/>
        <v>2.02514981562561</v>
      </c>
      <c r="N139" s="94">
        <f t="shared" si="17"/>
        <v>55391032.053989545</v>
      </c>
      <c r="O139" s="56">
        <f t="shared" si="18"/>
        <v>103.01844806004952</v>
      </c>
      <c r="P139" s="57">
        <f t="shared" si="19"/>
        <v>105.96191917923672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7.7379136162395117</v>
      </c>
      <c r="K140" s="51">
        <f t="shared" si="22"/>
        <v>2.0139377459136121</v>
      </c>
      <c r="L140" s="55">
        <f t="shared" si="23"/>
        <v>1.2090787069824164E-2</v>
      </c>
      <c r="M140" s="51">
        <f t="shared" si="21"/>
        <v>2.0260285329834362</v>
      </c>
      <c r="N140" s="94">
        <f t="shared" si="17"/>
        <v>54690716.897942618</v>
      </c>
      <c r="O140" s="56">
        <f t="shared" si="18"/>
        <v>103.26133748455645</v>
      </c>
      <c r="P140" s="57">
        <f t="shared" si="19"/>
        <v>106.17653124872737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7.7323165590630047</v>
      </c>
      <c r="K141" s="51">
        <f t="shared" si="22"/>
        <v>2.0149736697240437</v>
      </c>
      <c r="L141" s="55">
        <f t="shared" si="23"/>
        <v>1.1945579577578167E-2</v>
      </c>
      <c r="M141" s="51">
        <f t="shared" si="21"/>
        <v>2.0269192493016219</v>
      </c>
      <c r="N141" s="94">
        <f t="shared" si="17"/>
        <v>53990401.741895519</v>
      </c>
      <c r="O141" s="56">
        <f t="shared" si="18"/>
        <v>103.5079410292069</v>
      </c>
      <c r="P141" s="57">
        <f t="shared" si="19"/>
        <v>106.39451748087734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7.7266464258841028</v>
      </c>
      <c r="K142" s="51">
        <f t="shared" si="22"/>
        <v>2.016023118708234</v>
      </c>
      <c r="L142" s="55">
        <f t="shared" si="23"/>
        <v>1.1799193600070288E-2</v>
      </c>
      <c r="M142" s="51">
        <f t="shared" si="21"/>
        <v>2.0278223123083041</v>
      </c>
      <c r="N142" s="94">
        <f t="shared" si="17"/>
        <v>53290086.585848637</v>
      </c>
      <c r="O142" s="56">
        <f t="shared" si="18"/>
        <v>103.75836478234153</v>
      </c>
      <c r="P142" s="57">
        <f t="shared" si="19"/>
        <v>106.61598222545015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7.7209012832494404</v>
      </c>
      <c r="K143" s="51">
        <f t="shared" si="22"/>
        <v>2.0170864507168025</v>
      </c>
      <c r="L143" s="55">
        <f t="shared" si="23"/>
        <v>1.1651635267647655E-2</v>
      </c>
      <c r="M143" s="51">
        <f t="shared" si="21"/>
        <v>2.0287380859844499</v>
      </c>
      <c r="N143" s="94">
        <f t="shared" si="17"/>
        <v>52589771.429801509</v>
      </c>
      <c r="O143" s="56">
        <f t="shared" si="18"/>
        <v>104.0127193079071</v>
      </c>
      <c r="P143" s="57">
        <f t="shared" si="19"/>
        <v>106.84103487170816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7.7150791199424651</v>
      </c>
      <c r="K144" s="51">
        <f t="shared" si="22"/>
        <v>2.0181640379930643</v>
      </c>
      <c r="L144" s="55">
        <f t="shared" si="23"/>
        <v>1.1502913661194363E-2</v>
      </c>
      <c r="M144" s="51">
        <f t="shared" si="21"/>
        <v>2.0296669516542587</v>
      </c>
      <c r="N144" s="94">
        <f t="shared" si="17"/>
        <v>51889456.273754515</v>
      </c>
      <c r="O144" s="56">
        <f t="shared" si="18"/>
        <v>104.2711198968862</v>
      </c>
      <c r="P144" s="57">
        <f t="shared" si="19"/>
        <v>107.06979019135673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7.7091778427565458</v>
      </c>
      <c r="K145" s="51">
        <f t="shared" si="22"/>
        <v>2.0192562679553578</v>
      </c>
      <c r="L145" s="55">
        <f t="shared" si="23"/>
        <v>1.1353041217128374E-2</v>
      </c>
      <c r="M145" s="51">
        <f t="shared" si="21"/>
        <v>2.0306093091724864</v>
      </c>
      <c r="N145" s="94">
        <f t="shared" si="17"/>
        <v>51189141.117707603</v>
      </c>
      <c r="O145" s="56">
        <f t="shared" si="18"/>
        <v>104.53368683646352</v>
      </c>
      <c r="P145" s="57">
        <f t="shared" si="19"/>
        <v>107.30236871214979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7.7031952719769183</v>
      </c>
      <c r="K146" s="51">
        <f t="shared" si="22"/>
        <v>2.0203635440332617</v>
      </c>
      <c r="L146" s="55">
        <f t="shared" si="23"/>
        <v>1.1202034186071963E-2</v>
      </c>
      <c r="M146" s="51">
        <f t="shared" si="21"/>
        <v>2.0315655782193338</v>
      </c>
      <c r="N146" s="94">
        <f t="shared" si="17"/>
        <v>50488825.96166072</v>
      </c>
      <c r="O146" s="56">
        <f t="shared" si="18"/>
        <v>104.80054569844414</v>
      </c>
      <c r="P146" s="57">
        <f t="shared" si="19"/>
        <v>107.53889712554351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7.6971291365470673</v>
      </c>
      <c r="K147" s="51">
        <f t="shared" si="22"/>
        <v>2.021486286562221</v>
      </c>
      <c r="L147" s="55">
        <f t="shared" si="23"/>
        <v>1.104991315266674E-2</v>
      </c>
      <c r="M147" s="51">
        <f t="shared" si="21"/>
        <v>2.0325361997148876</v>
      </c>
      <c r="N147" s="94">
        <f t="shared" si="17"/>
        <v>49788510.805613793</v>
      </c>
      <c r="O147" s="56">
        <f t="shared" si="18"/>
        <v>105.07182764858999</v>
      </c>
      <c r="P147" s="57">
        <f t="shared" si="19"/>
        <v>107.77950873221849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7.6909770688927326</v>
      </c>
      <c r="K148" s="51">
        <f t="shared" si="22"/>
        <v>2.0226249337415387</v>
      </c>
      <c r="L148" s="55">
        <f t="shared" si="23"/>
        <v>1.0896703625089018E-2</v>
      </c>
      <c r="M148" s="51">
        <f t="shared" si="21"/>
        <v>2.0335216373666278</v>
      </c>
      <c r="N148" s="94">
        <f t="shared" si="17"/>
        <v>49088195.649566688</v>
      </c>
      <c r="O148" s="56">
        <f t="shared" si="18"/>
        <v>105.34766977870623</v>
      </c>
      <c r="P148" s="57">
        <f t="shared" si="19"/>
        <v>108.02434392978921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7.6847365993740029</v>
      </c>
      <c r="K149" s="51">
        <f t="shared" si="22"/>
        <v>2.0237799426612</v>
      </c>
      <c r="L149" s="55">
        <f t="shared" si="23"/>
        <v>1.0742436704061291E-2</v>
      </c>
      <c r="M149" s="51">
        <f t="shared" si="21"/>
        <v>2.0345223793652614</v>
      </c>
      <c r="N149" s="94">
        <f t="shared" si="17"/>
        <v>48387880.493519768</v>
      </c>
      <c r="O149" s="56">
        <f t="shared" si="18"/>
        <v>105.62821546350568</v>
      </c>
      <c r="P149" s="57">
        <f t="shared" si="19"/>
        <v>108.27355074758309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7.6784051503329671</v>
      </c>
      <c r="K150" s="51">
        <f t="shared" si="22"/>
        <v>2.0249517904035588</v>
      </c>
      <c r="L150" s="55">
        <f t="shared" si="23"/>
        <v>1.0587149842572439E-2</v>
      </c>
      <c r="M150" s="51">
        <f t="shared" si="21"/>
        <v>2.035538940246131</v>
      </c>
      <c r="N150" s="94">
        <f t="shared" si="17"/>
        <v>47687565.337472782</v>
      </c>
      <c r="O150" s="56">
        <f t="shared" si="18"/>
        <v>105.91361474448807</v>
      </c>
      <c r="P150" s="57">
        <f t="shared" si="19"/>
        <v>108.52728543402213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7.6719800297010288</v>
      </c>
      <c r="K151" s="51">
        <f t="shared" si="22"/>
        <v>2.0261409752265145</v>
      </c>
      <c r="L151" s="55">
        <f t="shared" si="23"/>
        <v>1.0430887709131127E-2</v>
      </c>
      <c r="M151" s="51">
        <f t="shared" si="21"/>
        <v>2.0365718629356455</v>
      </c>
      <c r="N151" s="94">
        <f t="shared" si="17"/>
        <v>46987250.18142584</v>
      </c>
      <c r="O151" s="56">
        <f t="shared" si="18"/>
        <v>106.20402474330726</v>
      </c>
      <c r="P151" s="57">
        <f t="shared" si="19"/>
        <v>108.78571310286844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7.665458424126192</v>
      </c>
      <c r="K152" s="51">
        <f t="shared" si="22"/>
        <v>2.0273480178355432</v>
      </c>
      <c r="L152" s="55">
        <f t="shared" si="23"/>
        <v>1.0273703169203598E-2</v>
      </c>
      <c r="M152" s="51">
        <f t="shared" si="21"/>
        <v>2.0376217210047467</v>
      </c>
      <c r="N152" s="94">
        <f t="shared" si="17"/>
        <v>46286935.025378756</v>
      </c>
      <c r="O152" s="56">
        <f t="shared" si="18"/>
        <v>106.49961010737343</v>
      </c>
      <c r="P152" s="57">
        <f t="shared" si="19"/>
        <v>109.04900844543822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7.6588373915764052</v>
      </c>
      <c r="K153" s="51">
        <f t="shared" si="22"/>
        <v>2.0285734627526959</v>
      </c>
      <c r="L153" s="55">
        <f t="shared" si="23"/>
        <v>1.0115658401547904E-2</v>
      </c>
      <c r="M153" s="51">
        <f t="shared" si="21"/>
        <v>2.0386891211542437</v>
      </c>
      <c r="N153" s="94">
        <f t="shared" si="17"/>
        <v>45586619.869331829</v>
      </c>
      <c r="O153" s="56">
        <f t="shared" si="18"/>
        <v>106.80054349073116</v>
      </c>
      <c r="P153" s="57">
        <f t="shared" si="19"/>
        <v>109.31735651683455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7.6521138533703006</v>
      </c>
      <c r="K154" s="51">
        <f t="shared" si="22"/>
        <v>2.0298178797915787</v>
      </c>
      <c r="L154" s="55">
        <f t="shared" si="23"/>
        <v>9.956826168465379E-3</v>
      </c>
      <c r="M154" s="51">
        <f t="shared" si="21"/>
        <v>2.0397747059600442</v>
      </c>
      <c r="N154" s="94">
        <f t="shared" si="17"/>
        <v>44886304.713284835</v>
      </c>
      <c r="O154" s="56">
        <f t="shared" si="18"/>
        <v>107.10700607359682</v>
      </c>
      <c r="P154" s="57">
        <f t="shared" si="19"/>
        <v>109.59095360532683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7.6452845855812894</v>
      </c>
      <c r="K155" s="51">
        <f t="shared" si="22"/>
        <v>2.0310818656483152</v>
      </c>
      <c r="L155" s="55">
        <f t="shared" si="23"/>
        <v>9.7972912615525102E-3</v>
      </c>
      <c r="M155" s="51">
        <f t="shared" si="21"/>
        <v>2.0408791569098677</v>
      </c>
      <c r="N155" s="94">
        <f t="shared" si="17"/>
        <v>44185989.557237901</v>
      </c>
      <c r="O155" s="56">
        <f t="shared" si="18"/>
        <v>107.41918812432289</v>
      </c>
      <c r="P155" s="57">
        <f t="shared" si="19"/>
        <v>109.87000819521764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7.6383462097549257</v>
      </c>
      <c r="K156" s="51">
        <f t="shared" si="22"/>
        <v>2.0323660456196073</v>
      </c>
      <c r="L156" s="55">
        <f t="shared" si="23"/>
        <v>9.6371521473486692E-3</v>
      </c>
      <c r="M156" s="51">
        <f t="shared" si="21"/>
        <v>2.0420031977669559</v>
      </c>
      <c r="N156" s="94">
        <f t="shared" si="17"/>
        <v>43485674.401190877</v>
      </c>
      <c r="O156" s="56">
        <f t="shared" si="18"/>
        <v>107.73728960798566</v>
      </c>
      <c r="P156" s="57">
        <f t="shared" si="19"/>
        <v>110.15474203489885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7.6312951828726678</v>
      </c>
      <c r="K157" s="51">
        <f t="shared" si="22"/>
        <v>2.0336710754602851</v>
      </c>
      <c r="L157" s="55">
        <f t="shared" si="23"/>
        <v>9.4765228403132385E-3</v>
      </c>
      <c r="M157" s="51">
        <f t="shared" si="21"/>
        <v>2.0431475983005982</v>
      </c>
      <c r="N157" s="94">
        <f t="shared" si="17"/>
        <v>42785359.245143883</v>
      </c>
      <c r="O157" s="56">
        <f t="shared" si="18"/>
        <v>108.06152084628874</v>
      </c>
      <c r="P157" s="57">
        <f t="shared" si="19"/>
        <v>110.44539132331566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7.6241277864873584</v>
      </c>
      <c r="K158" s="51">
        <f t="shared" si="22"/>
        <v>2.0349976433941466</v>
      </c>
      <c r="L158" s="55">
        <f t="shared" si="23"/>
        <v>9.3155350337718271E-3</v>
      </c>
      <c r="M158" s="51">
        <f t="shared" si="21"/>
        <v>2.0443131784279185</v>
      </c>
      <c r="N158" s="94">
        <f t="shared" si="17"/>
        <v>42085044.089096896</v>
      </c>
      <c r="O158" s="56">
        <f t="shared" si="18"/>
        <v>108.39210323402561</v>
      </c>
      <c r="P158" s="57">
        <f t="shared" si="19"/>
        <v>110.7422080297282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7.6168401149470641</v>
      </c>
      <c r="K159" s="51">
        <f t="shared" si="22"/>
        <v>2.0363464722935332</v>
      </c>
      <c r="L159" s="55">
        <f t="shared" si="23"/>
        <v>9.154340522754963E-3</v>
      </c>
      <c r="M159" s="51">
        <f t="shared" si="21"/>
        <v>2.0455008128162881</v>
      </c>
      <c r="N159" s="94">
        <f t="shared" si="17"/>
        <v>41384728.933049984</v>
      </c>
      <c r="O159" s="56">
        <f t="shared" si="18"/>
        <v>108.72927001798351</v>
      </c>
      <c r="P159" s="57">
        <f t="shared" si="19"/>
        <v>111.04546136348633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7.6094280626138735</v>
      </c>
      <c r="K160" s="51">
        <f t="shared" si="22"/>
        <v>2.0377183220449244</v>
      </c>
      <c r="L160" s="55">
        <f t="shared" si="23"/>
        <v>8.9931139558464129E-3</v>
      </c>
      <c r="M160" s="51">
        <f t="shared" si="21"/>
        <v>2.0467114360007708</v>
      </c>
      <c r="N160" s="94">
        <f t="shared" si="17"/>
        <v>40684413.77700296</v>
      </c>
      <c r="O160" s="56">
        <f t="shared" si="18"/>
        <v>109.07326714489116</v>
      </c>
      <c r="P160" s="57">
        <f t="shared" si="19"/>
        <v>111.35543941248514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7.6018873099729545</v>
      </c>
      <c r="K161" s="51">
        <f t="shared" si="22"/>
        <v>2.0391139921199217</v>
      </c>
      <c r="L161" s="55">
        <f t="shared" si="23"/>
        <v>8.8320559560206933E-3</v>
      </c>
      <c r="M161" s="51">
        <f t="shared" si="21"/>
        <v>2.0479460480759424</v>
      </c>
      <c r="N161" s="94">
        <f t="shared" si="17"/>
        <v>39984098.620955959</v>
      </c>
      <c r="O161" s="56">
        <f t="shared" si="18"/>
        <v>109.42435418583638</v>
      </c>
      <c r="P161" s="57">
        <f t="shared" si="19"/>
        <v>111.67245097100421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7.594213308514191</v>
      </c>
      <c r="K162" s="51">
        <f t="shared" si="22"/>
        <v>2.0405343243734109</v>
      </c>
      <c r="L162" s="55">
        <f t="shared" si="23"/>
        <v>8.671396652604399E-3</v>
      </c>
      <c r="M162" s="51">
        <f t="shared" si="21"/>
        <v>2.0492057210260151</v>
      </c>
      <c r="N162" s="94">
        <f t="shared" si="17"/>
        <v>39283783.46490898</v>
      </c>
      <c r="O162" s="56">
        <f t="shared" si="18"/>
        <v>109.78280534552702</v>
      </c>
      <c r="P162" s="57">
        <f t="shared" si="19"/>
        <v>111.99682757969319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7.5864012642539072</v>
      </c>
      <c r="K163" s="51">
        <f t="shared" si="22"/>
        <v>2.0419802060934225</v>
      </c>
      <c r="L163" s="55">
        <f t="shared" si="23"/>
        <v>8.5113996674079841E-3</v>
      </c>
      <c r="M163" s="51">
        <f t="shared" si="21"/>
        <v>2.0504916057608304</v>
      </c>
      <c r="N163" s="94">
        <f t="shared" si="17"/>
        <v>38583468.30886206</v>
      </c>
      <c r="O163" s="56">
        <f t="shared" si="18"/>
        <v>110.14891056585114</v>
      </c>
      <c r="P163" s="57">
        <f t="shared" si="19"/>
        <v>112.32892580242641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7.5784461197471975</v>
      </c>
      <c r="K164" s="51">
        <f t="shared" si="22"/>
        <v>2.0434525733303541</v>
      </c>
      <c r="L164" s="55">
        <f t="shared" si="23"/>
        <v>8.3523665969813445E-3</v>
      </c>
      <c r="M164" s="51">
        <f t="shared" si="21"/>
        <v>2.0518049399273353</v>
      </c>
      <c r="N164" s="94">
        <f t="shared" si="17"/>
        <v>37883153.152815126</v>
      </c>
      <c r="O164" s="56">
        <f t="shared" si="18"/>
        <v>110.52297673443907</v>
      </c>
      <c r="P164" s="57">
        <f t="shared" si="19"/>
        <v>112.66912976643724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7.5703425344218465</v>
      </c>
      <c r="K165" s="51">
        <f t="shared" si="22"/>
        <v>2.0449524145368416</v>
      </c>
      <c r="L165" s="55">
        <f t="shared" si="23"/>
        <v>8.1946420287971663E-3</v>
      </c>
      <c r="M165" s="51">
        <f t="shared" si="21"/>
        <v>2.0531470565656389</v>
      </c>
      <c r="N165" s="94">
        <f t="shared" si="17"/>
        <v>37182837.996768072</v>
      </c>
      <c r="O165" s="56">
        <f t="shared" si="18"/>
        <v>110.90532901036931</v>
      </c>
      <c r="P165" s="57">
        <f t="shared" si="19"/>
        <v>113.01785399333062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7.5620848630423323</v>
      </c>
      <c r="K166" s="51">
        <f t="shared" si="22"/>
        <v>2.0464807745537197</v>
      </c>
      <c r="L166" s="55">
        <f t="shared" si="23"/>
        <v>8.0386191205463267E-3</v>
      </c>
      <c r="M166" s="51">
        <f t="shared" si="21"/>
        <v>2.0545193936742661</v>
      </c>
      <c r="N166" s="94">
        <f t="shared" si="17"/>
        <v>36482522.840721101</v>
      </c>
      <c r="O166" s="56">
        <f t="shared" si="18"/>
        <v>111.29631228081895</v>
      </c>
      <c r="P166" s="57">
        <f t="shared" si="19"/>
        <v>113.37554654888619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7.5536671320864022</v>
      </c>
      <c r="K167" s="51">
        <f t="shared" si="22"/>
        <v>2.0480387589823321</v>
      </c>
      <c r="L167" s="55">
        <f t="shared" si="23"/>
        <v>7.8847457567839761E-3</v>
      </c>
      <c r="M167" s="51">
        <f t="shared" si="21"/>
        <v>2.0559235047391162</v>
      </c>
      <c r="N167" s="94">
        <f t="shared" si="17"/>
        <v>35782207.684674114</v>
      </c>
      <c r="O167" s="56">
        <f t="shared" si="18"/>
        <v>111.69629276438988</v>
      </c>
      <c r="P167" s="57">
        <f t="shared" si="19"/>
        <v>113.74269253857406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7.5450830137866385</v>
      </c>
      <c r="K168" s="51">
        <f t="shared" si="22"/>
        <v>2.0496275389890131</v>
      </c>
      <c r="L168" s="55">
        <f t="shared" si="23"/>
        <v>7.7335312735436618E-3</v>
      </c>
      <c r="M168" s="51">
        <f t="shared" si="21"/>
        <v>2.0573610702625569</v>
      </c>
      <c r="N168" s="94">
        <f t="shared" ref="N168:N204" si="24">10^$J168</f>
        <v>35081892.528627068</v>
      </c>
      <c r="O168" s="56">
        <f t="shared" ref="O168:O204" si="25">10^K168</f>
        <v>112.10565977907409</v>
      </c>
      <c r="P168" s="57">
        <f t="shared" ref="P168:P204" si="26">10^M168</f>
        <v>114.11981797275845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7.536325797554432</v>
      </c>
      <c r="K169" s="51">
        <f t="shared" si="22"/>
        <v>2.0512483565940425</v>
      </c>
      <c r="L169" s="55">
        <f t="shared" si="23"/>
        <v>7.5855537063762501E-3</v>
      </c>
      <c r="M169" s="51">
        <f t="shared" ref="M169:M204" si="28">+$I$14+$I$13*J169+L169</f>
        <v>2.0588339103004185</v>
      </c>
      <c r="N169" s="94">
        <f t="shared" si="24"/>
        <v>34381577.372580156</v>
      </c>
      <c r="O169" s="56">
        <f t="shared" si="25"/>
        <v>112.5248276954358</v>
      </c>
      <c r="P169" s="57">
        <f t="shared" si="26"/>
        <v>114.50749401994428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7.5273883584631127</v>
      </c>
      <c r="K170" s="51">
        <f t="shared" si="22"/>
        <v>2.0529025305049036</v>
      </c>
      <c r="L170" s="55">
        <f t="shared" si="23"/>
        <v>7.4414674672912823E-3</v>
      </c>
      <c r="M170" s="51">
        <f t="shared" si="28"/>
        <v>2.0603439979721947</v>
      </c>
      <c r="N170" s="94">
        <f t="shared" si="24"/>
        <v>33681262.21653311</v>
      </c>
      <c r="O170" s="56">
        <f t="shared" si="25"/>
        <v>112.95423809863458</v>
      </c>
      <c r="P170" s="57">
        <f t="shared" si="26"/>
        <v>114.90634165718836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7.5182631224194081</v>
      </c>
      <c r="K171" s="51">
        <f t="shared" si="22"/>
        <v>2.0545914625624775</v>
      </c>
      <c r="L171" s="55">
        <f t="shared" si="23"/>
        <v>7.3020112878355815E-3</v>
      </c>
      <c r="M171" s="51">
        <f t="shared" si="28"/>
        <v>2.0618934738503132</v>
      </c>
      <c r="N171" s="94">
        <f t="shared" si="24"/>
        <v>32980947.060486216</v>
      </c>
      <c r="O171" s="56">
        <f t="shared" si="25"/>
        <v>113.39436218648447</v>
      </c>
      <c r="P171" s="57">
        <f t="shared" si="26"/>
        <v>115.31703671299263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7.508942027596655</v>
      </c>
      <c r="K172" s="51">
        <f t="shared" si="22"/>
        <v>2.0563166448791255</v>
      </c>
      <c r="L172" s="55">
        <f t="shared" si="23"/>
        <v>7.1680161759867357E-3</v>
      </c>
      <c r="M172" s="51">
        <f t="shared" si="28"/>
        <v>2.0634846610551123</v>
      </c>
      <c r="N172" s="94">
        <f t="shared" si="24"/>
        <v>32280631.904439304</v>
      </c>
      <c r="O172" s="56">
        <f t="shared" si="25"/>
        <v>113.84570343495409</v>
      </c>
      <c r="P172" s="57">
        <f t="shared" si="26"/>
        <v>115.74031527869869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7.4994164816377289</v>
      </c>
      <c r="K173" s="51">
        <f t="shared" si="22"/>
        <v>2.0580796677597251</v>
      </c>
      <c r="L173" s="55">
        <f t="shared" si="23"/>
        <v>7.0404130219775939E-3</v>
      </c>
      <c r="M173" s="51">
        <f t="shared" si="28"/>
        <v>2.0651200807817025</v>
      </c>
      <c r="N173" s="94">
        <f t="shared" si="24"/>
        <v>31580316.748392321</v>
      </c>
      <c r="O173" s="56">
        <f t="shared" si="25"/>
        <v>114.30880056746557</v>
      </c>
      <c r="P173" s="57">
        <f t="shared" si="26"/>
        <v>116.17697943899162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7.4896773140583459</v>
      </c>
      <c r="K174" s="51">
        <f t="shared" si="22"/>
        <v>2.0598822285110447</v>
      </c>
      <c r="L174" s="55">
        <f t="shared" si="23"/>
        <v>6.9202393538034942E-3</v>
      </c>
      <c r="M174" s="51">
        <f t="shared" si="28"/>
        <v>2.0668024678648482</v>
      </c>
      <c r="N174" s="94">
        <f t="shared" si="24"/>
        <v>30880001.592345197</v>
      </c>
      <c r="O174" s="56">
        <f t="shared" si="25"/>
        <v>114.7842308702288</v>
      </c>
      <c r="P174" s="57">
        <f t="shared" si="26"/>
        <v>116.62790324073619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7.4797147231899741</v>
      </c>
      <c r="K175" s="51">
        <f t="shared" si="22"/>
        <v>2.0617261412617398</v>
      </c>
      <c r="L175" s="55">
        <f t="shared" si="23"/>
        <v>6.8086445932728388E-3</v>
      </c>
      <c r="M175" s="51">
        <f t="shared" si="28"/>
        <v>2.0685347858550127</v>
      </c>
      <c r="N175" s="94">
        <f t="shared" si="24"/>
        <v>30179686.436298314</v>
      </c>
      <c r="O175" s="56">
        <f t="shared" si="25"/>
        <v>115.27261390281861</v>
      </c>
      <c r="P175" s="57">
        <f t="shared" si="26"/>
        <v>117.09403878345202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7.4695182168929417</v>
      </c>
      <c r="K176" s="51">
        <f t="shared" si="22"/>
        <v>2.0636133479353904</v>
      </c>
      <c r="L176" s="55">
        <f t="shared" si="23"/>
        <v>6.7068930121046214E-3</v>
      </c>
      <c r="M176" s="51">
        <f t="shared" si="28"/>
        <v>2.070320240947495</v>
      </c>
      <c r="N176" s="94">
        <f t="shared" si="24"/>
        <v>29479371.280251335</v>
      </c>
      <c r="O176" s="56">
        <f t="shared" si="25"/>
        <v>115.77461566153107</v>
      </c>
      <c r="P176" s="57">
        <f t="shared" si="26"/>
        <v>117.57642227792054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7.4590765461408317</v>
      </c>
      <c r="K177" s="51">
        <f t="shared" si="22"/>
        <v>2.0655459305429424</v>
      </c>
      <c r="L177" s="55">
        <f t="shared" si="23"/>
        <v>6.6163634594191036E-3</v>
      </c>
      <c r="M177" s="51">
        <f t="shared" si="28"/>
        <v>2.0721622940023616</v>
      </c>
      <c r="N177" s="94">
        <f t="shared" si="24"/>
        <v>28779056.124204297</v>
      </c>
      <c r="O177" s="56">
        <f t="shared" si="25"/>
        <v>116.29095326300991</v>
      </c>
      <c r="P177" s="57">
        <f t="shared" si="26"/>
        <v>118.07617988828025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7.4483776304221374</v>
      </c>
      <c r="K178" s="51">
        <f t="shared" si="22"/>
        <v>2.0675261249896444</v>
      </c>
      <c r="L178" s="55">
        <f t="shared" si="23"/>
        <v>6.5385448641527184E-3</v>
      </c>
      <c r="M178" s="51">
        <f t="shared" si="28"/>
        <v>2.0740646698537972</v>
      </c>
      <c r="N178" s="94">
        <f t="shared" si="24"/>
        <v>28078740.968157399</v>
      </c>
      <c r="O178" s="56">
        <f t="shared" si="25"/>
        <v>116.82240022762217</v>
      </c>
      <c r="P178" s="57">
        <f t="shared" si="26"/>
        <v>118.59453315787549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7.4374084737187909</v>
      </c>
      <c r="K179" s="51">
        <f t="shared" si="22"/>
        <v>2.0695563366260457</v>
      </c>
      <c r="L179" s="55">
        <f t="shared" si="23"/>
        <v>6.4750265572898523E-3</v>
      </c>
      <c r="M179" s="51">
        <f t="shared" si="28"/>
        <v>2.0760313631833354</v>
      </c>
      <c r="N179" s="94">
        <f t="shared" si="24"/>
        <v>27378425.812110398</v>
      </c>
      <c r="O179" s="56">
        <f t="shared" si="25"/>
        <v>117.36979245651055</v>
      </c>
      <c r="P179" s="57">
        <f t="shared" si="26"/>
        <v>119.13280383412003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7.426155069596069</v>
      </c>
      <c r="K180" s="51">
        <f t="shared" si="22"/>
        <v>2.0716391578143059</v>
      </c>
      <c r="L180" s="55">
        <f t="shared" si="23"/>
        <v>6.4274826640949674E-3</v>
      </c>
      <c r="M180" s="51">
        <f t="shared" si="28"/>
        <v>2.0780666404784007</v>
      </c>
      <c r="N180" s="94">
        <f t="shared" si="24"/>
        <v>26678110.656063378</v>
      </c>
      <c r="O180" s="56">
        <f t="shared" si="25"/>
        <v>117.93403501379761</v>
      </c>
      <c r="P180" s="57">
        <f t="shared" si="26"/>
        <v>119.69241796930814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7.4146022936654106</v>
      </c>
      <c r="K181" s="51">
        <f t="shared" si="22"/>
        <v>2.0737773878315693</v>
      </c>
      <c r="L181" s="55">
        <f t="shared" si="23"/>
        <v>6.3976502335760035E-3</v>
      </c>
      <c r="M181" s="51">
        <f t="shared" si="28"/>
        <v>2.0801750380651454</v>
      </c>
      <c r="N181" s="94">
        <f t="shared" si="24"/>
        <v>25977795.500016358</v>
      </c>
      <c r="O181" s="56">
        <f t="shared" si="25"/>
        <v>118.51610984677133</v>
      </c>
      <c r="P181" s="57">
        <f t="shared" si="26"/>
        <v>120.27490929844461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7.4027337813489922</v>
      </c>
      <c r="K182" s="51">
        <f t="shared" si="22"/>
        <v>2.0759740554937434</v>
      </c>
      <c r="L182" s="55">
        <f t="shared" si="23"/>
        <v>6.3873014218241353E-3</v>
      </c>
      <c r="M182" s="51">
        <f t="shared" si="28"/>
        <v>2.0823613569155675</v>
      </c>
      <c r="N182" s="94">
        <f t="shared" si="24"/>
        <v>25277480.343969438</v>
      </c>
      <c r="O182" s="56">
        <f t="shared" si="25"/>
        <v>119.11708460304415</v>
      </c>
      <c r="P182" s="57">
        <f t="shared" si="26"/>
        <v>120.88192209143251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7.3905317884673645</v>
      </c>
      <c r="K183" s="51">
        <f t="shared" si="22"/>
        <v>2.0782324449584513</v>
      </c>
      <c r="L183" s="55">
        <f t="shared" si="23"/>
        <v>6.3982108968716903E-3</v>
      </c>
      <c r="M183" s="51">
        <f t="shared" si="28"/>
        <v>2.0846306558553231</v>
      </c>
      <c r="N183" s="94">
        <f t="shared" si="24"/>
        <v>24577165.187922493</v>
      </c>
      <c r="O183" s="56">
        <f t="shared" si="25"/>
        <v>119.73812273586839</v>
      </c>
      <c r="P183" s="57">
        <f t="shared" si="26"/>
        <v>121.5152139419645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7.3779770316696967</v>
      </c>
      <c r="K184" s="51">
        <f t="shared" si="22"/>
        <v>2.0805561252587825</v>
      </c>
      <c r="L184" s="55">
        <f t="shared" si="23"/>
        <v>6.4321205839929247E-3</v>
      </c>
      <c r="M184" s="51">
        <f t="shared" si="28"/>
        <v>2.0869882458427753</v>
      </c>
      <c r="N184" s="94">
        <f t="shared" si="24"/>
        <v>23876850.031875465</v>
      </c>
      <c r="O184" s="56">
        <f t="shared" si="25"/>
        <v>120.38049512861706</v>
      </c>
      <c r="P184" s="57">
        <f t="shared" si="26"/>
        <v>122.17665926690603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7.3650485051047623</v>
      </c>
      <c r="K185" s="51">
        <f t="shared" si="22"/>
        <v>2.0829489842344997</v>
      </c>
      <c r="L185" s="55">
        <f t="shared" si="23"/>
        <v>6.4907047492581173E-3</v>
      </c>
      <c r="M185" s="51">
        <f t="shared" si="28"/>
        <v>2.0894396889837576</v>
      </c>
      <c r="N185" s="94">
        <f t="shared" si="24"/>
        <v>23176534.875828456</v>
      </c>
      <c r="O185" s="56">
        <f t="shared" si="25"/>
        <v>121.04559351901085</v>
      </c>
      <c r="P185" s="57">
        <f t="shared" si="26"/>
        <v>122.86825460529819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7.3517232689568655</v>
      </c>
      <c r="K186" s="51">
        <f t="shared" si="22"/>
        <v>2.0854152676705819</v>
      </c>
      <c r="L186" s="55">
        <f t="shared" si="23"/>
        <v>6.5755390107383026E-3</v>
      </c>
      <c r="M186" s="51">
        <f t="shared" si="28"/>
        <v>2.0919908066813204</v>
      </c>
      <c r="N186" s="94">
        <f t="shared" si="24"/>
        <v>22476219.719781555</v>
      </c>
      <c r="O186" s="56">
        <f t="shared" si="25"/>
        <v>121.73494606572682</v>
      </c>
      <c r="P186" s="57">
        <f t="shared" si="26"/>
        <v>123.59212706935702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7.3379762045007775</v>
      </c>
      <c r="K187" s="51">
        <f t="shared" si="22"/>
        <v>2.0879596246325525</v>
      </c>
      <c r="L187" s="55">
        <f t="shared" si="23"/>
        <v>6.6880769743444786E-3</v>
      </c>
      <c r="M187" s="51">
        <f t="shared" si="28"/>
        <v>2.0946477016068967</v>
      </c>
      <c r="N187" s="94">
        <f t="shared" si="24"/>
        <v>21775904.563734557</v>
      </c>
      <c r="O187" s="56">
        <f t="shared" si="25"/>
        <v>122.45023547821104</v>
      </c>
      <c r="P187" s="57">
        <f t="shared" si="26"/>
        <v>124.35054745765937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7.323779729105885</v>
      </c>
      <c r="K188" s="51">
        <f t="shared" si="22"/>
        <v>2.0905871602145543</v>
      </c>
      <c r="L188" s="55">
        <f t="shared" si="23"/>
        <v>6.8296377113452435E-3</v>
      </c>
      <c r="M188" s="51">
        <f t="shared" si="28"/>
        <v>2.0974167979258995</v>
      </c>
      <c r="N188" s="94">
        <f t="shared" si="24"/>
        <v>21075589.407687578</v>
      </c>
      <c r="O188" s="56">
        <f t="shared" si="25"/>
        <v>123.1933202297049</v>
      </c>
      <c r="P188" s="57">
        <f t="shared" si="26"/>
        <v>125.14594956348242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7.3091034630646545</v>
      </c>
      <c r="K189" s="51">
        <f t="shared" si="22"/>
        <v>2.0933034972039541</v>
      </c>
      <c r="L189" s="55">
        <f t="shared" si="23"/>
        <v>7.0014062739775125E-3</v>
      </c>
      <c r="M189" s="51">
        <f t="shared" si="28"/>
        <v>2.1003049034779315</v>
      </c>
      <c r="N189" s="94">
        <f t="shared" si="24"/>
        <v>20375274.251640595</v>
      </c>
      <c r="O189" s="56">
        <f t="shared" si="25"/>
        <v>123.96625950020874</v>
      </c>
      <c r="P189" s="57">
        <f t="shared" si="26"/>
        <v>125.98095711108662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7.2939138381301385</v>
      </c>
      <c r="K190" s="51">
        <f t="shared" si="22"/>
        <v>2.0961148485346559</v>
      </c>
      <c r="L190" s="55">
        <f t="shared" si="23"/>
        <v>7.2044480882300756E-3</v>
      </c>
      <c r="M190" s="51">
        <f t="shared" si="28"/>
        <v>2.1033192966228862</v>
      </c>
      <c r="N190" s="94">
        <f t="shared" si="24"/>
        <v>19674959.095593594</v>
      </c>
      <c r="O190" s="56">
        <f t="shared" si="25"/>
        <v>124.77134265924558</v>
      </c>
      <c r="P190" s="57">
        <f t="shared" si="26"/>
        <v>126.85841958857694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7.2781736350791917</v>
      </c>
      <c r="K191" s="51">
        <f t="shared" si="22"/>
        <v>2.0990281028765869</v>
      </c>
      <c r="L191" s="55">
        <f t="shared" si="23"/>
        <v>7.4397366746965067E-3</v>
      </c>
      <c r="M191" s="51">
        <f t="shared" si="28"/>
        <v>2.1064678395512835</v>
      </c>
      <c r="N191" s="94">
        <f t="shared" si="24"/>
        <v>18974643.939546648</v>
      </c>
      <c r="O191" s="56">
        <f t="shared" si="25"/>
        <v>125.61112431000036</v>
      </c>
      <c r="P191" s="57">
        <f t="shared" si="26"/>
        <v>127.78145811202782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7.261841434276918</v>
      </c>
      <c r="K192" s="51">
        <f t="shared" si="22"/>
        <v>2.1020509263272453</v>
      </c>
      <c r="L192" s="55">
        <f t="shared" si="23"/>
        <v>7.708193040420256E-3</v>
      </c>
      <c r="M192" s="51">
        <f t="shared" si="28"/>
        <v>2.1097591193676655</v>
      </c>
      <c r="N192" s="94">
        <f t="shared" si="24"/>
        <v>18274328.783499647</v>
      </c>
      <c r="O192" s="56">
        <f t="shared" si="25"/>
        <v>126.48846619358207</v>
      </c>
      <c r="P192" s="57">
        <f t="shared" si="26"/>
        <v>128.75352245768423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7.2448709588312141</v>
      </c>
      <c r="K193" s="51">
        <f t="shared" si="22"/>
        <v>2.1051918839830526</v>
      </c>
      <c r="L193" s="55">
        <f t="shared" si="23"/>
        <v>8.0107344786170282E-3</v>
      </c>
      <c r="M193" s="51">
        <f t="shared" si="28"/>
        <v>2.1132026184616697</v>
      </c>
      <c r="N193" s="94">
        <f t="shared" si="24"/>
        <v>17574013.62745266</v>
      </c>
      <c r="O193" s="56">
        <f t="shared" si="25"/>
        <v>127.4065876183336</v>
      </c>
      <c r="P193" s="57">
        <f t="shared" si="26"/>
        <v>129.77846063051234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7.2272102841113144</v>
      </c>
      <c r="K194" s="51">
        <f t="shared" ref="K194:K204" si="29">+$I$14+$I$13*J194</f>
        <v>2.1084605862445582</v>
      </c>
      <c r="L194" s="55">
        <f t="shared" ref="L194:L204" si="30">SQRT(2*$I$20*$I$17)*SQRT((1/$I$2)+((J194-$I$11)^2/$I$8))</f>
        <v>8.3483304900340161E-3</v>
      </c>
      <c r="M194" s="51">
        <f t="shared" si="28"/>
        <v>2.116808916734592</v>
      </c>
      <c r="N194" s="94">
        <f t="shared" si="24"/>
        <v>16873698.471405681</v>
      </c>
      <c r="O194" s="56">
        <f t="shared" si="25"/>
        <v>128.36912656776246</v>
      </c>
      <c r="P194" s="57">
        <f t="shared" si="26"/>
        <v>130.86060286665025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7.2088008796152847</v>
      </c>
      <c r="K195" s="51">
        <f t="shared" si="29"/>
        <v>2.111867866151103</v>
      </c>
      <c r="L195" s="55">
        <f t="shared" si="30"/>
        <v>8.7220640472578156E-3</v>
      </c>
      <c r="M195" s="51">
        <f t="shared" si="28"/>
        <v>2.1205899301983608</v>
      </c>
      <c r="N195" s="94">
        <f t="shared" si="24"/>
        <v>16173383.31535873</v>
      </c>
      <c r="O195" s="56">
        <f t="shared" si="25"/>
        <v>129.38021429962484</v>
      </c>
      <c r="P195" s="57">
        <f t="shared" si="26"/>
        <v>132.00486284306976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7.1895764386211871</v>
      </c>
      <c r="K196" s="51">
        <f t="shared" si="29"/>
        <v>2.1154259959932649</v>
      </c>
      <c r="L196" s="55">
        <f t="shared" si="30"/>
        <v>9.1331973287331857E-3</v>
      </c>
      <c r="M196" s="51">
        <f t="shared" si="28"/>
        <v>2.1245591933219981</v>
      </c>
      <c r="N196" s="94">
        <f t="shared" si="24"/>
        <v>15473068.159311732</v>
      </c>
      <c r="O196" s="56">
        <f t="shared" si="25"/>
        <v>130.44456714763646</v>
      </c>
      <c r="P196" s="57">
        <f t="shared" si="26"/>
        <v>133.21686014040552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7.1694614365925311</v>
      </c>
      <c r="K197" s="51">
        <f t="shared" si="29"/>
        <v>2.1191489541284474</v>
      </c>
      <c r="L197" s="55">
        <f t="shared" si="30"/>
        <v>9.5832422074917864E-3</v>
      </c>
      <c r="M197" s="51">
        <f t="shared" si="28"/>
        <v>2.1287321963359394</v>
      </c>
      <c r="N197" s="94">
        <f t="shared" si="24"/>
        <v>14772753.003264738</v>
      </c>
      <c r="O197" s="56">
        <f t="shared" si="25"/>
        <v>131.56760047878993</v>
      </c>
      <c r="P197" s="57">
        <f t="shared" si="26"/>
        <v>134.50306975781336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7.1483693392174787</v>
      </c>
      <c r="K198" s="51">
        <f t="shared" si="29"/>
        <v>2.1230527566435371</v>
      </c>
      <c r="L198" s="55">
        <f t="shared" si="30"/>
        <v>1.0074037090641369E-2</v>
      </c>
      <c r="M198" s="51">
        <f t="shared" si="28"/>
        <v>2.1331267937341787</v>
      </c>
      <c r="N198" s="94">
        <f t="shared" si="24"/>
        <v>14072437.847217765</v>
      </c>
      <c r="O198" s="56">
        <f t="shared" si="25"/>
        <v>132.75557149705458</v>
      </c>
      <c r="P198" s="57">
        <f t="shared" si="26"/>
        <v>135.87100686595707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7.1262003526538544</v>
      </c>
      <c r="K199" s="51">
        <f t="shared" si="29"/>
        <v>2.1271558737477863</v>
      </c>
      <c r="L199" s="55">
        <f t="shared" si="30"/>
        <v>1.0607833150113754E-2</v>
      </c>
      <c r="M199" s="51">
        <f t="shared" si="28"/>
        <v>2.1377637068978999</v>
      </c>
      <c r="N199" s="94">
        <f t="shared" si="24"/>
        <v>13372122.691170817</v>
      </c>
      <c r="O199" s="56">
        <f t="shared" si="25"/>
        <v>134.01576005238809</v>
      </c>
      <c r="P199" s="57">
        <f t="shared" si="26"/>
        <v>137.32945827605005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7.1028385680436763</v>
      </c>
      <c r="K200" s="51">
        <f t="shared" si="29"/>
        <v>2.1314797582765044</v>
      </c>
      <c r="L200" s="55">
        <f t="shared" si="30"/>
        <v>1.1187394641717478E-2</v>
      </c>
      <c r="M200" s="51">
        <f t="shared" si="28"/>
        <v>2.142667152918222</v>
      </c>
      <c r="N200" s="94">
        <f t="shared" si="24"/>
        <v>12671807.53512379</v>
      </c>
      <c r="O200" s="56">
        <f t="shared" si="25"/>
        <v>135.35670017568293</v>
      </c>
      <c r="P200" s="57">
        <f t="shared" si="26"/>
        <v>138.88877674967924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7.0781482933970432</v>
      </c>
      <c r="K201" s="51">
        <f t="shared" si="29"/>
        <v>2.136049524599402</v>
      </c>
      <c r="L201" s="55">
        <f t="shared" si="30"/>
        <v>1.1816120068726654E-2</v>
      </c>
      <c r="M201" s="51">
        <f t="shared" si="28"/>
        <v>2.1478656446681286</v>
      </c>
      <c r="N201" s="94">
        <f t="shared" si="24"/>
        <v>11971492.379076807</v>
      </c>
      <c r="O201" s="56">
        <f t="shared" si="25"/>
        <v>136.78848029045295</v>
      </c>
      <c r="P201" s="57">
        <f t="shared" si="26"/>
        <v>140.56126100990298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7.0519692784920194</v>
      </c>
      <c r="K202" s="51">
        <f t="shared" si="29"/>
        <v>2.1408948324135828</v>
      </c>
      <c r="L202" s="55">
        <f t="shared" si="30"/>
        <v>1.2498193738868183E-2</v>
      </c>
      <c r="M202" s="51">
        <f t="shared" si="28"/>
        <v>2.1533930261524512</v>
      </c>
      <c r="N202" s="94">
        <f t="shared" si="24"/>
        <v>11271177.223029854</v>
      </c>
      <c r="O202" s="56">
        <f t="shared" si="25"/>
        <v>138.32313788129102</v>
      </c>
      <c r="P202" s="57">
        <f t="shared" si="26"/>
        <v>142.3616543373017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7.0241104060082069</v>
      </c>
      <c r="K203" s="51">
        <f t="shared" si="29"/>
        <v>2.1460510544116147</v>
      </c>
      <c r="L203" s="55">
        <f t="shared" si="30"/>
        <v>1.3238781326789333E-2</v>
      </c>
      <c r="M203" s="51">
        <f t="shared" si="28"/>
        <v>2.1592898357384041</v>
      </c>
      <c r="N203" s="94">
        <f t="shared" si="24"/>
        <v>10570862.066982884</v>
      </c>
      <c r="O203" s="56">
        <f t="shared" si="25"/>
        <v>139.975186370871</v>
      </c>
      <c r="P203" s="57">
        <f t="shared" si="26"/>
        <v>144.30780993585208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6.9943412168865686</v>
      </c>
      <c r="K204" s="51">
        <f t="shared" si="29"/>
        <v>2.1515608447989232</v>
      </c>
      <c r="L204" s="55">
        <f t="shared" si="30"/>
        <v>1.4044289269679371E-2</v>
      </c>
      <c r="M204" s="51">
        <f t="shared" si="28"/>
        <v>2.1656051340686027</v>
      </c>
      <c r="N204" s="97">
        <f t="shared" si="24"/>
        <v>9870546.9109359141</v>
      </c>
      <c r="O204" s="91">
        <f t="shared" si="25"/>
        <v>141.76233070196884</v>
      </c>
      <c r="P204" s="92">
        <f t="shared" si="26"/>
        <v>146.42159522519458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1:Y343"/>
  <sheetViews>
    <sheetView topLeftCell="I1" zoomScale="85" zoomScaleNormal="85" workbookViewId="0">
      <selection activeCell="AA3" sqref="AA3"/>
    </sheetView>
  </sheetViews>
  <sheetFormatPr defaultColWidth="9.1796875" defaultRowHeight="14.5" x14ac:dyDescent="0.35"/>
  <cols>
    <col min="4" max="4" width="25.54296875" bestFit="1" customWidth="1"/>
    <col min="5" max="5" width="9.1796875" style="1"/>
    <col min="10" max="10" width="11" customWidth="1"/>
    <col min="11" max="11" width="9.54296875" bestFit="1" customWidth="1"/>
    <col min="12" max="12" width="9.54296875" customWidth="1"/>
    <col min="13" max="13" width="12.81640625" bestFit="1" customWidth="1"/>
    <col min="14" max="14" width="12" bestFit="1" customWidth="1"/>
    <col min="15" max="15" width="18.453125" bestFit="1" customWidth="1"/>
    <col min="16" max="16" width="14" customWidth="1"/>
    <col min="17" max="17" width="13.1796875" bestFit="1" customWidth="1"/>
    <col min="18" max="18" width="22.1796875" customWidth="1"/>
    <col min="19" max="20" width="12.54296875" customWidth="1"/>
    <col min="21" max="21" width="10" bestFit="1" customWidth="1"/>
    <col min="22" max="22" width="12.81640625" bestFit="1" customWidth="1"/>
    <col min="24" max="24" width="13.6328125" customWidth="1"/>
    <col min="25" max="25" width="14.08984375" customWidth="1"/>
    <col min="26" max="26" width="16.1796875" customWidth="1"/>
    <col min="27" max="29" width="17.54296875" customWidth="1"/>
    <col min="30" max="30" width="38.81640625" bestFit="1" customWidth="1"/>
    <col min="31" max="32" width="38.81640625" customWidth="1"/>
  </cols>
  <sheetData>
    <row r="1" spans="4:25" x14ac:dyDescent="0.35">
      <c r="D1" t="s">
        <v>0</v>
      </c>
      <c r="E1" s="1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3" t="s">
        <v>10</v>
      </c>
      <c r="O1" s="3"/>
      <c r="P1" s="3" t="s">
        <v>11</v>
      </c>
      <c r="Q1" s="3" t="s">
        <v>12</v>
      </c>
      <c r="R1" s="3" t="s">
        <v>13</v>
      </c>
      <c r="S1" s="3" t="s">
        <v>14</v>
      </c>
    </row>
    <row r="2" spans="4:25" x14ac:dyDescent="0.35">
      <c r="D2">
        <v>1.1919999999999999</v>
      </c>
      <c r="E2" s="4">
        <v>0.80600000000000005</v>
      </c>
      <c r="F2" s="3"/>
      <c r="G2" s="3"/>
      <c r="H2" s="3">
        <v>1.2290000000000001</v>
      </c>
      <c r="I2" s="3" t="s">
        <v>90</v>
      </c>
      <c r="J2">
        <v>7.5900000000000002E-4</v>
      </c>
      <c r="K2" s="3">
        <v>0.4</v>
      </c>
      <c r="L2" s="3">
        <f>'Drop size and fallvelocity'!H8</f>
        <v>2.351</v>
      </c>
      <c r="M2" s="3">
        <v>29</v>
      </c>
      <c r="N2" s="6">
        <v>105</v>
      </c>
      <c r="O2" s="7"/>
      <c r="P2">
        <f>1000*4/3*PI()*POWER((J2/2),3)</f>
        <v>2.2894119744029168E-7</v>
      </c>
      <c r="Q2" s="8">
        <v>0.38940000000000002</v>
      </c>
      <c r="R2">
        <f>(N2/1000)/3600</f>
        <v>2.9166666666666666E-5</v>
      </c>
      <c r="S2" s="9">
        <f>((2*PI())/360)*305</f>
        <v>5.3232542185827052</v>
      </c>
    </row>
    <row r="3" spans="4:25" s="12" customFormat="1" ht="58" x14ac:dyDescent="0.35">
      <c r="D3" s="10" t="s">
        <v>16</v>
      </c>
      <c r="E3" s="11" t="s">
        <v>17</v>
      </c>
      <c r="F3" s="10"/>
      <c r="G3" s="10" t="s">
        <v>18</v>
      </c>
      <c r="H3" s="10" t="s">
        <v>19</v>
      </c>
      <c r="I3" s="10" t="s">
        <v>20</v>
      </c>
      <c r="J3" s="10" t="s">
        <v>21</v>
      </c>
      <c r="K3" s="10" t="s">
        <v>22</v>
      </c>
      <c r="L3" s="10" t="s">
        <v>23</v>
      </c>
      <c r="M3" s="10" t="s">
        <v>24</v>
      </c>
      <c r="N3" s="10" t="s">
        <v>25</v>
      </c>
      <c r="O3" s="10" t="s">
        <v>89</v>
      </c>
      <c r="P3" s="10" t="s">
        <v>26</v>
      </c>
      <c r="Q3" s="10" t="s">
        <v>27</v>
      </c>
      <c r="R3" s="10" t="s">
        <v>28</v>
      </c>
      <c r="S3" s="10" t="s">
        <v>29</v>
      </c>
      <c r="T3" s="10" t="s">
        <v>30</v>
      </c>
      <c r="U3" s="10" t="s">
        <v>31</v>
      </c>
      <c r="V3" s="10" t="s">
        <v>32</v>
      </c>
      <c r="Y3" s="12" t="s">
        <v>123</v>
      </c>
    </row>
    <row r="4" spans="4:25" x14ac:dyDescent="0.35">
      <c r="D4" s="13"/>
      <c r="E4" s="14"/>
      <c r="F4" s="13" t="s">
        <v>33</v>
      </c>
      <c r="G4" s="13" t="s">
        <v>34</v>
      </c>
      <c r="H4" s="13" t="s">
        <v>35</v>
      </c>
      <c r="I4" s="13" t="s">
        <v>36</v>
      </c>
      <c r="J4" s="13" t="s">
        <v>35</v>
      </c>
      <c r="K4" s="13" t="s">
        <v>35</v>
      </c>
      <c r="L4" s="13" t="s">
        <v>36</v>
      </c>
      <c r="M4" s="10" t="s">
        <v>37</v>
      </c>
      <c r="N4" s="10" t="s">
        <v>38</v>
      </c>
      <c r="O4" s="10" t="s">
        <v>158</v>
      </c>
      <c r="P4" s="10" t="s">
        <v>39</v>
      </c>
      <c r="Q4" s="13" t="s">
        <v>40</v>
      </c>
      <c r="R4" s="10" t="s">
        <v>35</v>
      </c>
      <c r="S4" s="13" t="s">
        <v>35</v>
      </c>
      <c r="T4" s="13" t="s">
        <v>36</v>
      </c>
      <c r="U4" s="13" t="s">
        <v>41</v>
      </c>
      <c r="V4" s="13" t="s">
        <v>42</v>
      </c>
      <c r="W4" s="108" t="s">
        <v>154</v>
      </c>
      <c r="X4" s="108" t="s">
        <v>125</v>
      </c>
      <c r="Y4" s="108" t="s">
        <v>124</v>
      </c>
    </row>
    <row r="5" spans="4:25" x14ac:dyDescent="0.35">
      <c r="D5" s="15"/>
      <c r="E5" s="16"/>
      <c r="F5" s="15"/>
      <c r="G5" s="15"/>
      <c r="H5" s="15"/>
      <c r="I5" s="15"/>
      <c r="J5" s="15"/>
      <c r="K5" s="15"/>
      <c r="L5" s="15"/>
      <c r="M5" s="17"/>
      <c r="N5" s="17"/>
      <c r="O5" s="17"/>
      <c r="P5" s="17"/>
      <c r="Q5" s="15"/>
      <c r="R5" s="17"/>
      <c r="S5" s="15"/>
      <c r="T5" s="15"/>
      <c r="U5" s="15"/>
      <c r="V5" s="15"/>
      <c r="W5" t="s">
        <v>157</v>
      </c>
      <c r="X5" t="s">
        <v>155</v>
      </c>
    </row>
    <row r="6" spans="4:25" ht="15" thickBot="1" x14ac:dyDescent="0.4">
      <c r="D6" s="15"/>
      <c r="E6" s="16"/>
      <c r="F6" s="15"/>
      <c r="G6" s="15"/>
      <c r="H6" s="15"/>
      <c r="I6" s="15"/>
      <c r="J6" s="15"/>
      <c r="K6" s="15"/>
      <c r="L6" s="15"/>
      <c r="M6" s="17"/>
      <c r="N6" s="17"/>
      <c r="O6" s="17"/>
      <c r="P6" s="17"/>
      <c r="Q6" s="18"/>
      <c r="R6" s="18"/>
      <c r="S6" s="15">
        <f>H2</f>
        <v>1.2290000000000001</v>
      </c>
      <c r="T6" s="15"/>
      <c r="U6" s="15"/>
      <c r="V6" s="15"/>
    </row>
    <row r="7" spans="4:25" ht="15" thickBot="1" x14ac:dyDescent="0.4">
      <c r="D7" s="19" t="s">
        <v>97</v>
      </c>
      <c r="E7" s="20">
        <v>1</v>
      </c>
      <c r="F7" s="21">
        <v>800</v>
      </c>
      <c r="G7" s="22">
        <f t="shared" ref="G7" si="0">F7/60*2*PI()</f>
        <v>83.775804095727821</v>
      </c>
      <c r="H7" s="21">
        <f t="shared" ref="H7:H57" si="1">$H$2</f>
        <v>1.2290000000000001</v>
      </c>
      <c r="I7" s="22">
        <f t="shared" ref="I7" si="2">G7*H7</f>
        <v>102.96046323364951</v>
      </c>
      <c r="J7" s="23">
        <f t="shared" ref="J7:J57" si="3">$J$2</f>
        <v>7.5900000000000002E-4</v>
      </c>
      <c r="K7" s="21">
        <f t="shared" ref="K7:K57" si="4">$K$2</f>
        <v>0.4</v>
      </c>
      <c r="L7" s="24">
        <f t="shared" ref="L7:L57" si="5">$L$2</f>
        <v>2.351</v>
      </c>
      <c r="M7" s="25">
        <f>($R$2*G7)/($S$2*($D$2-$E$2)*$L$2)</f>
        <v>5.0581099151129948E-4</v>
      </c>
      <c r="N7" s="26">
        <f t="shared" ref="N7" si="6">3/(2*$J$2)*M7</f>
        <v>0.99962646543735068</v>
      </c>
      <c r="O7" s="135">
        <f>P7/((((J7)/(2))^2)*PI())</f>
        <v>134770285239.88643</v>
      </c>
      <c r="P7" s="22">
        <f>(3/(2*$J$2))*R7</f>
        <v>60977.214391678397</v>
      </c>
      <c r="Q7" s="21">
        <f>U7*60</f>
        <v>72000</v>
      </c>
      <c r="R7" s="27">
        <f>($R$2*$G7*$Q7)/(2*PI()*($D$2-$E$2)*$L$2)</f>
        <v>30.854470482189271</v>
      </c>
      <c r="S7" s="28">
        <f>$S$6-V7/1000</f>
        <v>1.1506745544126886</v>
      </c>
      <c r="T7" s="22">
        <f>G7*S7</f>
        <v>96.398686048416309</v>
      </c>
      <c r="U7">
        <v>1200</v>
      </c>
      <c r="V7">
        <v>78.325445587311549</v>
      </c>
      <c r="W7">
        <f>O7*X7</f>
        <v>143360771.8532913</v>
      </c>
      <c r="X7">
        <f>0.5*$P$2*T7*T7</f>
        <v>1.0637416964586377E-3</v>
      </c>
      <c r="Y7" s="27">
        <f>($R$2*$G7*$Q7)/(2*PI()*($D$2-$E$2))</f>
        <v>72.538860103626973</v>
      </c>
    </row>
    <row r="8" spans="4:25" ht="15" thickBot="1" x14ac:dyDescent="0.4">
      <c r="D8" s="19" t="s">
        <v>98</v>
      </c>
      <c r="E8" s="20">
        <v>1</v>
      </c>
      <c r="F8" s="21">
        <v>800</v>
      </c>
      <c r="G8" s="22">
        <f t="shared" ref="G8" si="7">F8/60*2*PI()</f>
        <v>83.775804095727821</v>
      </c>
      <c r="H8" s="21">
        <f t="shared" si="1"/>
        <v>1.2290000000000001</v>
      </c>
      <c r="I8" s="22">
        <f t="shared" ref="I8" si="8">G8*H8</f>
        <v>102.96046323364951</v>
      </c>
      <c r="J8" s="23">
        <f t="shared" si="3"/>
        <v>7.5900000000000002E-4</v>
      </c>
      <c r="K8" s="21">
        <f t="shared" si="4"/>
        <v>0.4</v>
      </c>
      <c r="L8" s="24">
        <f t="shared" si="5"/>
        <v>2.351</v>
      </c>
      <c r="M8" s="25">
        <f>($R$2*G8)/($S$2*($D$2-$E$2)*$L$2)</f>
        <v>5.0581099151129948E-4</v>
      </c>
      <c r="N8" s="26">
        <f t="shared" ref="N8" si="9">3/(2*$J$2)*M8</f>
        <v>0.99962646543735068</v>
      </c>
      <c r="O8" s="135">
        <f t="shared" ref="O8:O57" si="10">P8/((((J8)/(2))^2)*PI())</f>
        <v>148247313763.87506</v>
      </c>
      <c r="P8" s="22">
        <f>(3/(2*$J$2))*R8</f>
        <v>67074.935830846225</v>
      </c>
      <c r="Q8" s="21">
        <f>U8*60</f>
        <v>79200</v>
      </c>
      <c r="R8" s="27">
        <f>($R$2*$G8*$Q8)/(2*PI()*($D$2-$E$2)*$L$2)</f>
        <v>33.939917530408195</v>
      </c>
      <c r="S8" s="28">
        <f>$S$6-V8/1000</f>
        <v>1.1146126923680906</v>
      </c>
      <c r="T8" s="22">
        <f>G8*S8</f>
        <v>93.377574558440898</v>
      </c>
      <c r="U8">
        <v>1320</v>
      </c>
      <c r="V8">
        <v>114.38730763190956</v>
      </c>
      <c r="W8">
        <f t="shared" ref="W8:W57" si="11">O8*X8</f>
        <v>147967373.63267833</v>
      </c>
      <c r="X8">
        <f t="shared" ref="X8:X57" si="12">0.5*$P$2*T8*T8</f>
        <v>9.9811166810319005E-4</v>
      </c>
    </row>
    <row r="9" spans="4:25" ht="15" thickBot="1" x14ac:dyDescent="0.4">
      <c r="D9" s="19" t="s">
        <v>98</v>
      </c>
      <c r="E9" s="20">
        <v>2</v>
      </c>
      <c r="F9" s="21">
        <v>800</v>
      </c>
      <c r="G9" s="22">
        <f t="shared" ref="G9" si="13">F9/60*2*PI()</f>
        <v>83.775804095727821</v>
      </c>
      <c r="H9" s="21">
        <f t="shared" si="1"/>
        <v>1.2290000000000001</v>
      </c>
      <c r="I9" s="22">
        <f t="shared" ref="I9" si="14">G9*H9</f>
        <v>102.96046323364951</v>
      </c>
      <c r="J9" s="23">
        <f t="shared" si="3"/>
        <v>7.5900000000000002E-4</v>
      </c>
      <c r="K9" s="21">
        <f t="shared" si="4"/>
        <v>0.4</v>
      </c>
      <c r="L9" s="24">
        <f t="shared" si="5"/>
        <v>2.351</v>
      </c>
      <c r="M9" s="25">
        <f>($R$2*G9)/($S$2*($D$2-$E$2)*$L$2)</f>
        <v>5.0581099151129948E-4</v>
      </c>
      <c r="N9" s="26">
        <f t="shared" ref="N9" si="15">3/(2*$J$2)*M9</f>
        <v>0.99962646543735068</v>
      </c>
      <c r="O9" s="135">
        <f t="shared" si="10"/>
        <v>148247313763.87506</v>
      </c>
      <c r="P9" s="22">
        <f>(3/(2*$J$2))*R9</f>
        <v>67074.935830846225</v>
      </c>
      <c r="Q9" s="21">
        <f>U9*60</f>
        <v>79200</v>
      </c>
      <c r="R9" s="27">
        <f>($R$2*$G9*$Q9)/(2*PI()*($D$2-$E$2)*$L$2)</f>
        <v>33.939917530408195</v>
      </c>
      <c r="S9" s="28">
        <f>$S$6-V9/1000</f>
        <v>1.1722062755449592</v>
      </c>
      <c r="T9" s="22">
        <f>G9*S9</f>
        <v>98.202523299837239</v>
      </c>
      <c r="U9">
        <v>1320</v>
      </c>
      <c r="V9">
        <v>56.793724455040874</v>
      </c>
      <c r="W9">
        <f t="shared" si="11"/>
        <v>163653795.17679414</v>
      </c>
      <c r="X9">
        <f t="shared" si="12"/>
        <v>1.1039241860224069E-3</v>
      </c>
    </row>
    <row r="10" spans="4:25" ht="15" thickBot="1" x14ac:dyDescent="0.4">
      <c r="D10" s="19" t="s">
        <v>98</v>
      </c>
      <c r="E10" s="20">
        <v>2</v>
      </c>
      <c r="F10" s="21">
        <v>800</v>
      </c>
      <c r="G10" s="22">
        <f t="shared" ref="G10:G11" si="16">F10/60*2*PI()</f>
        <v>83.775804095727821</v>
      </c>
      <c r="H10" s="21">
        <f t="shared" si="1"/>
        <v>1.2290000000000001</v>
      </c>
      <c r="I10" s="22">
        <f t="shared" ref="I10:I11" si="17">G10*H10</f>
        <v>102.96046323364951</v>
      </c>
      <c r="J10" s="23">
        <f t="shared" si="3"/>
        <v>7.5900000000000002E-4</v>
      </c>
      <c r="K10" s="21">
        <f t="shared" si="4"/>
        <v>0.4</v>
      </c>
      <c r="L10" s="24">
        <f t="shared" si="5"/>
        <v>2.351</v>
      </c>
      <c r="M10" s="25">
        <f t="shared" ref="M10:M11" si="18">($R$2*G10)/($S$2*($D$2-$E$2)*$L$2)</f>
        <v>5.0581099151129948E-4</v>
      </c>
      <c r="N10" s="26">
        <f t="shared" ref="N10:N11" si="19">3/(2*$J$2)*M10</f>
        <v>0.99962646543735068</v>
      </c>
      <c r="O10" s="135">
        <f t="shared" si="10"/>
        <v>168462856549.85803</v>
      </c>
      <c r="P10" s="22">
        <f t="shared" ref="P10:P11" si="20">(3/(2*$J$2))*R10</f>
        <v>76221.517989597996</v>
      </c>
      <c r="Q10" s="21">
        <f t="shared" ref="Q10:Q11" si="21">U10*60</f>
        <v>90000</v>
      </c>
      <c r="R10" s="27">
        <f t="shared" ref="R10:R57" si="22">($R$2*$G10*$Q10)/(2*PI()*($D$2-$E$2)*$L$2)</f>
        <v>38.568088102736588</v>
      </c>
      <c r="S10" s="28">
        <f t="shared" ref="S10:S11" si="23">$S$6-V10/1000</f>
        <v>1.15657075626179</v>
      </c>
      <c r="T10" s="22">
        <f t="shared" ref="T10:T11" si="24">G10*S10</f>
        <v>96.892645099435484</v>
      </c>
      <c r="U10">
        <v>1500</v>
      </c>
      <c r="V10">
        <v>72.429243738210033</v>
      </c>
      <c r="W10">
        <f t="shared" si="11"/>
        <v>181042166.8228384</v>
      </c>
      <c r="X10">
        <f t="shared" si="12"/>
        <v>1.0746711205698771E-3</v>
      </c>
    </row>
    <row r="11" spans="4:25" ht="15" thickBot="1" x14ac:dyDescent="0.4">
      <c r="D11" s="19" t="s">
        <v>98</v>
      </c>
      <c r="E11" s="20">
        <v>2</v>
      </c>
      <c r="F11" s="21">
        <v>800</v>
      </c>
      <c r="G11" s="22">
        <f t="shared" si="16"/>
        <v>83.775804095727821</v>
      </c>
      <c r="H11" s="21">
        <f t="shared" si="1"/>
        <v>1.2290000000000001</v>
      </c>
      <c r="I11" s="22">
        <f t="shared" si="17"/>
        <v>102.96046323364951</v>
      </c>
      <c r="J11" s="23">
        <f t="shared" si="3"/>
        <v>7.5900000000000002E-4</v>
      </c>
      <c r="K11" s="21">
        <f t="shared" si="4"/>
        <v>0.4</v>
      </c>
      <c r="L11" s="24">
        <f t="shared" si="5"/>
        <v>2.351</v>
      </c>
      <c r="M11" s="25">
        <f t="shared" si="18"/>
        <v>5.0581099151129948E-4</v>
      </c>
      <c r="N11" s="26">
        <f t="shared" si="19"/>
        <v>0.99962646543735068</v>
      </c>
      <c r="O11" s="135">
        <f t="shared" si="10"/>
        <v>175201370811.85236</v>
      </c>
      <c r="P11" s="22">
        <f t="shared" si="20"/>
        <v>79270.37870918191</v>
      </c>
      <c r="Q11" s="21">
        <f t="shared" si="21"/>
        <v>93600</v>
      </c>
      <c r="R11" s="27">
        <f>($R$2*$G11*$Q11)/(2*PI()*($D$2-$E$2)*$L$2)</f>
        <v>40.110811626846051</v>
      </c>
      <c r="S11" s="28">
        <f t="shared" si="23"/>
        <v>1.0871306559159506</v>
      </c>
      <c r="T11" s="22">
        <f t="shared" si="24"/>
        <v>91.075244856474768</v>
      </c>
      <c r="U11">
        <v>1560</v>
      </c>
      <c r="V11">
        <v>141.86934408404946</v>
      </c>
      <c r="W11">
        <f t="shared" si="11"/>
        <v>166353579.1264399</v>
      </c>
      <c r="X11">
        <f t="shared" si="12"/>
        <v>9.4949930103621139E-4</v>
      </c>
    </row>
    <row r="12" spans="4:25" ht="15" thickBot="1" x14ac:dyDescent="0.4">
      <c r="D12" s="19" t="s">
        <v>98</v>
      </c>
      <c r="E12" s="20">
        <v>3</v>
      </c>
      <c r="F12" s="21">
        <v>800</v>
      </c>
      <c r="G12" s="22">
        <f t="shared" ref="G12" si="25">F12/60*2*PI()</f>
        <v>83.775804095727821</v>
      </c>
      <c r="H12" s="21">
        <f t="shared" si="1"/>
        <v>1.2290000000000001</v>
      </c>
      <c r="I12" s="22">
        <f t="shared" ref="I12" si="26">G12*H12</f>
        <v>102.96046323364951</v>
      </c>
      <c r="J12" s="23">
        <f t="shared" si="3"/>
        <v>7.5900000000000002E-4</v>
      </c>
      <c r="K12" s="21">
        <f t="shared" si="4"/>
        <v>0.4</v>
      </c>
      <c r="L12" s="24">
        <f t="shared" si="5"/>
        <v>2.351</v>
      </c>
      <c r="M12" s="25">
        <f t="shared" ref="M12" si="27">($R$2*G12)/($S$2*($D$2-$E$2)*$L$2)</f>
        <v>5.0581099151129948E-4</v>
      </c>
      <c r="N12" s="26">
        <f t="shared" ref="N12" si="28">3/(2*$J$2)*M12</f>
        <v>0.99962646543735068</v>
      </c>
      <c r="O12" s="135">
        <f t="shared" si="10"/>
        <v>121293256715.89778</v>
      </c>
      <c r="P12" s="22">
        <f t="shared" ref="P12" si="29">(3/(2*$J$2))*R12</f>
        <v>54879.492952510554</v>
      </c>
      <c r="Q12" s="21">
        <f t="shared" ref="Q12" si="30">U12*60</f>
        <v>64800</v>
      </c>
      <c r="R12" s="27">
        <f t="shared" si="22"/>
        <v>27.769023433970343</v>
      </c>
      <c r="S12" s="28">
        <f t="shared" ref="S12" si="31">$S$6-V12/1000</f>
        <v>1.1724954263505025</v>
      </c>
      <c r="T12" s="22">
        <f t="shared" ref="T12" si="32">G12*S12</f>
        <v>98.226747141076572</v>
      </c>
      <c r="U12">
        <v>1080</v>
      </c>
      <c r="V12">
        <v>56.504573649497495</v>
      </c>
      <c r="W12">
        <f t="shared" si="11"/>
        <v>133964625.96596989</v>
      </c>
      <c r="X12">
        <f t="shared" si="12"/>
        <v>1.1044688682055256E-3</v>
      </c>
    </row>
    <row r="13" spans="4:25" ht="15" thickBot="1" x14ac:dyDescent="0.4">
      <c r="D13" s="19" t="s">
        <v>98</v>
      </c>
      <c r="E13" s="20">
        <v>3</v>
      </c>
      <c r="F13" s="21">
        <v>800</v>
      </c>
      <c r="G13" s="22">
        <f t="shared" ref="G13:G14" si="33">F13/60*2*PI()</f>
        <v>83.775804095727821</v>
      </c>
      <c r="H13" s="21">
        <f t="shared" si="1"/>
        <v>1.2290000000000001</v>
      </c>
      <c r="I13" s="22">
        <f t="shared" ref="I13:I14" si="34">G13*H13</f>
        <v>102.96046323364951</v>
      </c>
      <c r="J13" s="23">
        <f t="shared" si="3"/>
        <v>7.5900000000000002E-4</v>
      </c>
      <c r="K13" s="21">
        <f t="shared" si="4"/>
        <v>0.4</v>
      </c>
      <c r="L13" s="24">
        <f t="shared" si="5"/>
        <v>2.351</v>
      </c>
      <c r="M13" s="25">
        <f t="shared" ref="M13:M14" si="35">($R$2*G13)/($S$2*($D$2-$E$2)*$L$2)</f>
        <v>5.0581099151129948E-4</v>
      </c>
      <c r="N13" s="26">
        <f t="shared" ref="N13:N14" si="36">3/(2*$J$2)*M13</f>
        <v>0.99962646543735068</v>
      </c>
      <c r="O13" s="135">
        <f t="shared" si="10"/>
        <v>128031770977.89211</v>
      </c>
      <c r="P13" s="22">
        <f t="shared" ref="P13:P14" si="37">(3/(2*$J$2))*R13</f>
        <v>57928.353672094476</v>
      </c>
      <c r="Q13" s="21">
        <f t="shared" ref="Q13:Q14" si="38">U13*60</f>
        <v>68400</v>
      </c>
      <c r="R13" s="27">
        <f t="shared" si="22"/>
        <v>29.311746958079805</v>
      </c>
      <c r="S13" s="28">
        <f t="shared" ref="S13:S14" si="39">$S$6-V13/1000</f>
        <v>1.1474588469692213</v>
      </c>
      <c r="T13" s="22">
        <f t="shared" ref="T13:T14" si="40">G13*S13</f>
        <v>96.129287571603214</v>
      </c>
      <c r="U13">
        <v>1140</v>
      </c>
      <c r="V13">
        <v>81.541153030778887</v>
      </c>
      <c r="W13">
        <f t="shared" si="11"/>
        <v>135432580.83983564</v>
      </c>
      <c r="X13">
        <f t="shared" si="12"/>
        <v>1.0578044793524059E-3</v>
      </c>
      <c r="Y13">
        <f>V13-V12</f>
        <v>25.036579381281392</v>
      </c>
    </row>
    <row r="14" spans="4:25" ht="15" thickBot="1" x14ac:dyDescent="0.4">
      <c r="D14" s="19" t="s">
        <v>98</v>
      </c>
      <c r="E14" s="20">
        <v>3</v>
      </c>
      <c r="F14" s="21">
        <v>800</v>
      </c>
      <c r="G14" s="22">
        <f t="shared" si="33"/>
        <v>83.775804095727821</v>
      </c>
      <c r="H14" s="21">
        <f t="shared" si="1"/>
        <v>1.2290000000000001</v>
      </c>
      <c r="I14" s="22">
        <f t="shared" si="34"/>
        <v>102.96046323364951</v>
      </c>
      <c r="J14" s="23">
        <f t="shared" si="3"/>
        <v>7.5900000000000002E-4</v>
      </c>
      <c r="K14" s="21">
        <f t="shared" si="4"/>
        <v>0.4</v>
      </c>
      <c r="L14" s="24">
        <f t="shared" si="5"/>
        <v>2.351</v>
      </c>
      <c r="M14" s="25">
        <f t="shared" si="35"/>
        <v>5.0581099151129948E-4</v>
      </c>
      <c r="N14" s="26">
        <f t="shared" si="36"/>
        <v>0.99962646543735068</v>
      </c>
      <c r="O14" s="135">
        <f t="shared" si="10"/>
        <v>168462856549.85803</v>
      </c>
      <c r="P14" s="22">
        <f t="shared" si="37"/>
        <v>76221.517989597996</v>
      </c>
      <c r="Q14" s="21">
        <f t="shared" si="38"/>
        <v>90000</v>
      </c>
      <c r="R14" s="27">
        <f t="shared" si="22"/>
        <v>38.568088102736588</v>
      </c>
      <c r="S14" s="28">
        <f t="shared" si="39"/>
        <v>1.1352850973618092</v>
      </c>
      <c r="T14" s="22">
        <f t="shared" si="40"/>
        <v>95.109421909382206</v>
      </c>
      <c r="U14">
        <v>1500</v>
      </c>
      <c r="V14">
        <v>93.714902638190964</v>
      </c>
      <c r="W14">
        <f t="shared" si="11"/>
        <v>174439646.86936802</v>
      </c>
      <c r="X14">
        <f t="shared" si="12"/>
        <v>1.0354783864046679E-3</v>
      </c>
      <c r="Y14">
        <f>V14-V12</f>
        <v>37.210328988693469</v>
      </c>
    </row>
    <row r="15" spans="4:25" ht="15" thickBot="1" x14ac:dyDescent="0.4">
      <c r="D15" s="19" t="s">
        <v>99</v>
      </c>
      <c r="E15" s="20">
        <v>1</v>
      </c>
      <c r="F15" s="21">
        <v>996</v>
      </c>
      <c r="G15" s="22">
        <f t="shared" ref="G15:G37" si="41">F15/60*2*PI()</f>
        <v>104.30087609918114</v>
      </c>
      <c r="H15" s="21">
        <f t="shared" si="1"/>
        <v>1.2290000000000001</v>
      </c>
      <c r="I15" s="22">
        <f t="shared" ref="I15:I37" si="42">G15*H15</f>
        <v>128.18577672589362</v>
      </c>
      <c r="J15" s="23">
        <f t="shared" si="3"/>
        <v>7.5900000000000002E-4</v>
      </c>
      <c r="K15" s="21">
        <f t="shared" si="4"/>
        <v>0.4</v>
      </c>
      <c r="L15" s="24">
        <f t="shared" si="5"/>
        <v>2.351</v>
      </c>
      <c r="M15" s="25">
        <f t="shared" ref="M15:M37" si="43">($R$2*G15)/($S$2*($D$2-$E$2)*$L$2)</f>
        <v>6.297346844315678E-4</v>
      </c>
      <c r="N15" s="26">
        <f t="shared" ref="N15:N37" si="44">3/(2*$J$2)*M15</f>
        <v>1.2445349494695015</v>
      </c>
      <c r="O15" s="135">
        <f t="shared" si="10"/>
        <v>16778900512.365856</v>
      </c>
      <c r="P15" s="22">
        <f t="shared" ref="P15:P37" si="45">(3/(2*$J$2))*R15</f>
        <v>7591.6631917639588</v>
      </c>
      <c r="Q15" s="21">
        <f t="shared" ref="Q15:Q37" si="46">U15*60</f>
        <v>7200</v>
      </c>
      <c r="R15" s="27">
        <f t="shared" si="22"/>
        <v>3.8413815750325635</v>
      </c>
      <c r="S15" s="28">
        <f t="shared" ref="S15:S37" si="47">$S$6-V15/1000</f>
        <v>1.1422304025423728</v>
      </c>
      <c r="T15" s="22">
        <f t="shared" ref="T15:T37" si="48">G15*S15</f>
        <v>119.13563169228982</v>
      </c>
      <c r="U15">
        <v>120</v>
      </c>
      <c r="V15">
        <v>86.769597457627128</v>
      </c>
      <c r="W15">
        <f t="shared" si="11"/>
        <v>27260938.131927747</v>
      </c>
      <c r="X15">
        <f t="shared" si="12"/>
        <v>1.6247154044352757E-3</v>
      </c>
      <c r="Y15">
        <v>7.5900000000000002E-4</v>
      </c>
    </row>
    <row r="16" spans="4:25" ht="15" thickBot="1" x14ac:dyDescent="0.4">
      <c r="D16" s="19" t="s">
        <v>99</v>
      </c>
      <c r="E16" s="20">
        <v>1</v>
      </c>
      <c r="F16" s="21">
        <v>996</v>
      </c>
      <c r="G16" s="22">
        <f t="shared" si="41"/>
        <v>104.30087609918114</v>
      </c>
      <c r="H16" s="21">
        <f t="shared" si="1"/>
        <v>1.2290000000000001</v>
      </c>
      <c r="I16" s="22">
        <f t="shared" si="42"/>
        <v>128.18577672589362</v>
      </c>
      <c r="J16" s="23">
        <f t="shared" si="3"/>
        <v>7.5900000000000002E-4</v>
      </c>
      <c r="K16" s="21">
        <f t="shared" si="4"/>
        <v>0.4</v>
      </c>
      <c r="L16" s="24">
        <f t="shared" si="5"/>
        <v>2.351</v>
      </c>
      <c r="M16" s="25">
        <f t="shared" si="43"/>
        <v>6.297346844315678E-4</v>
      </c>
      <c r="N16" s="26">
        <f t="shared" si="44"/>
        <v>1.2445349494695015</v>
      </c>
      <c r="O16" s="135">
        <f t="shared" si="10"/>
        <v>20973625640.457321</v>
      </c>
      <c r="P16" s="22">
        <f t="shared" si="45"/>
        <v>9489.578989704949</v>
      </c>
      <c r="Q16" s="21">
        <f t="shared" si="46"/>
        <v>9000</v>
      </c>
      <c r="R16" s="27">
        <f t="shared" si="22"/>
        <v>4.8017269687907049</v>
      </c>
      <c r="S16" s="28">
        <f t="shared" si="47"/>
        <v>1.1025183910075331</v>
      </c>
      <c r="T16" s="22">
        <f t="shared" si="48"/>
        <v>114.99363409754525</v>
      </c>
      <c r="U16">
        <v>150</v>
      </c>
      <c r="V16">
        <v>126.48160899246706</v>
      </c>
      <c r="W16">
        <f t="shared" si="11"/>
        <v>31747904.435990606</v>
      </c>
      <c r="X16">
        <f t="shared" si="12"/>
        <v>1.5137060697197776E-3</v>
      </c>
    </row>
    <row r="17" spans="4:24" ht="15" thickBot="1" x14ac:dyDescent="0.4">
      <c r="D17" s="19" t="s">
        <v>99</v>
      </c>
      <c r="E17" s="20">
        <v>1</v>
      </c>
      <c r="F17" s="21">
        <v>996</v>
      </c>
      <c r="G17" s="22">
        <f t="shared" si="41"/>
        <v>104.30087609918114</v>
      </c>
      <c r="H17" s="21">
        <f t="shared" si="1"/>
        <v>1.2290000000000001</v>
      </c>
      <c r="I17" s="22">
        <f t="shared" si="42"/>
        <v>128.18577672589362</v>
      </c>
      <c r="J17" s="23">
        <f t="shared" si="3"/>
        <v>7.5900000000000002E-4</v>
      </c>
      <c r="K17" s="21">
        <f t="shared" si="4"/>
        <v>0.4</v>
      </c>
      <c r="L17" s="24">
        <f t="shared" si="5"/>
        <v>2.351</v>
      </c>
      <c r="M17" s="25">
        <f t="shared" si="43"/>
        <v>6.297346844315678E-4</v>
      </c>
      <c r="N17" s="26">
        <f t="shared" si="44"/>
        <v>1.2445349494695015</v>
      </c>
      <c r="O17" s="135">
        <f t="shared" si="10"/>
        <v>29363075896.640247</v>
      </c>
      <c r="P17" s="22">
        <f>(3/(2*$J$2))*R17</f>
        <v>13285.410585586927</v>
      </c>
      <c r="Q17" s="21">
        <f t="shared" si="46"/>
        <v>12600</v>
      </c>
      <c r="R17" s="27">
        <f t="shared" si="22"/>
        <v>6.722417756306986</v>
      </c>
      <c r="S17" s="28">
        <f t="shared" si="47"/>
        <v>1.0928773246233523</v>
      </c>
      <c r="T17" s="22">
        <f t="shared" si="48"/>
        <v>113.98806242714483</v>
      </c>
      <c r="U17">
        <v>210</v>
      </c>
      <c r="V17">
        <v>136.12267537664781</v>
      </c>
      <c r="W17">
        <f t="shared" si="11"/>
        <v>43673122.633376941</v>
      </c>
      <c r="X17">
        <f t="shared" si="12"/>
        <v>1.4873483550261867E-3</v>
      </c>
    </row>
    <row r="18" spans="4:24" ht="15" thickBot="1" x14ac:dyDescent="0.4">
      <c r="D18" s="19" t="s">
        <v>99</v>
      </c>
      <c r="E18" s="20">
        <v>1</v>
      </c>
      <c r="F18" s="21">
        <v>996</v>
      </c>
      <c r="G18" s="22">
        <f t="shared" si="41"/>
        <v>104.30087609918114</v>
      </c>
      <c r="H18" s="21">
        <f t="shared" si="1"/>
        <v>1.2290000000000001</v>
      </c>
      <c r="I18" s="22">
        <f t="shared" si="42"/>
        <v>128.18577672589362</v>
      </c>
      <c r="J18" s="23">
        <f t="shared" si="3"/>
        <v>7.5900000000000002E-4</v>
      </c>
      <c r="K18" s="21">
        <f t="shared" si="4"/>
        <v>0.4</v>
      </c>
      <c r="L18" s="24">
        <f t="shared" si="5"/>
        <v>2.351</v>
      </c>
      <c r="M18" s="25">
        <f t="shared" si="43"/>
        <v>6.297346844315678E-4</v>
      </c>
      <c r="N18" s="26">
        <f t="shared" si="44"/>
        <v>1.2445349494695015</v>
      </c>
      <c r="O18" s="135">
        <f t="shared" si="10"/>
        <v>41947251280.914642</v>
      </c>
      <c r="P18" s="22">
        <f t="shared" si="45"/>
        <v>18979.157979409898</v>
      </c>
      <c r="Q18" s="21">
        <f t="shared" si="46"/>
        <v>18000</v>
      </c>
      <c r="R18" s="27">
        <f t="shared" si="22"/>
        <v>9.6034539375814099</v>
      </c>
      <c r="S18" s="28">
        <f t="shared" si="47"/>
        <v>1.0692337570621469</v>
      </c>
      <c r="T18" s="22">
        <f t="shared" si="48"/>
        <v>111.52201761640093</v>
      </c>
      <c r="U18">
        <v>300</v>
      </c>
      <c r="V18">
        <v>159.76624293785312</v>
      </c>
      <c r="W18">
        <f t="shared" si="11"/>
        <v>59719848.571396261</v>
      </c>
      <c r="X18">
        <f t="shared" si="12"/>
        <v>1.4236891988812597E-3</v>
      </c>
    </row>
    <row r="19" spans="4:24" ht="15" thickBot="1" x14ac:dyDescent="0.4">
      <c r="D19" s="19" t="s">
        <v>99</v>
      </c>
      <c r="E19" s="20">
        <v>1</v>
      </c>
      <c r="F19" s="21">
        <v>996</v>
      </c>
      <c r="G19" s="22">
        <f t="shared" si="41"/>
        <v>104.30087609918114</v>
      </c>
      <c r="H19" s="21">
        <f t="shared" si="1"/>
        <v>1.2290000000000001</v>
      </c>
      <c r="I19" s="22">
        <f t="shared" si="42"/>
        <v>128.18577672589362</v>
      </c>
      <c r="J19" s="23">
        <f t="shared" si="3"/>
        <v>7.5900000000000002E-4</v>
      </c>
      <c r="K19" s="21">
        <f t="shared" si="4"/>
        <v>0.4</v>
      </c>
      <c r="L19" s="24">
        <f t="shared" si="5"/>
        <v>2.351</v>
      </c>
      <c r="M19" s="25">
        <f t="shared" si="43"/>
        <v>6.297346844315678E-4</v>
      </c>
      <c r="N19" s="26">
        <f t="shared" si="44"/>
        <v>1.2445349494695015</v>
      </c>
      <c r="O19" s="135">
        <f t="shared" si="10"/>
        <v>46141976409.006104</v>
      </c>
      <c r="P19" s="22">
        <f t="shared" si="45"/>
        <v>20877.073777350884</v>
      </c>
      <c r="Q19" s="21">
        <f t="shared" si="46"/>
        <v>19800</v>
      </c>
      <c r="R19" s="27">
        <f t="shared" si="22"/>
        <v>10.563799331339549</v>
      </c>
      <c r="S19" s="28">
        <f t="shared" si="47"/>
        <v>1.0540835098870058</v>
      </c>
      <c r="T19" s="22">
        <f t="shared" si="48"/>
        <v>109.94183356291457</v>
      </c>
      <c r="U19">
        <v>330</v>
      </c>
      <c r="V19">
        <v>174.91649011299435</v>
      </c>
      <c r="W19">
        <f t="shared" si="11"/>
        <v>63843413.382426269</v>
      </c>
      <c r="X19">
        <f t="shared" si="12"/>
        <v>1.3836297954927903E-3</v>
      </c>
    </row>
    <row r="20" spans="4:24" ht="15" thickBot="1" x14ac:dyDescent="0.4">
      <c r="D20" s="19" t="s">
        <v>99</v>
      </c>
      <c r="E20" s="20">
        <v>1</v>
      </c>
      <c r="F20" s="21">
        <v>996</v>
      </c>
      <c r="G20" s="22">
        <f t="shared" si="41"/>
        <v>104.30087609918114</v>
      </c>
      <c r="H20" s="21">
        <f t="shared" si="1"/>
        <v>1.2290000000000001</v>
      </c>
      <c r="I20" s="22">
        <f t="shared" si="42"/>
        <v>128.18577672589362</v>
      </c>
      <c r="J20" s="23">
        <f t="shared" si="3"/>
        <v>7.5900000000000002E-4</v>
      </c>
      <c r="K20" s="21">
        <f t="shared" si="4"/>
        <v>0.4</v>
      </c>
      <c r="L20" s="24">
        <f t="shared" si="5"/>
        <v>2.351</v>
      </c>
      <c r="M20" s="25">
        <f t="shared" si="43"/>
        <v>6.297346844315678E-4</v>
      </c>
      <c r="N20" s="26">
        <f t="shared" si="44"/>
        <v>1.2445349494695015</v>
      </c>
      <c r="O20" s="135">
        <f t="shared" si="10"/>
        <v>67115602049.463425</v>
      </c>
      <c r="P20" s="22">
        <f t="shared" si="45"/>
        <v>30366.652767055835</v>
      </c>
      <c r="Q20" s="21">
        <f t="shared" si="46"/>
        <v>28800</v>
      </c>
      <c r="R20" s="27">
        <f t="shared" si="22"/>
        <v>15.365526300130254</v>
      </c>
      <c r="S20" s="28">
        <f t="shared" si="47"/>
        <v>1.0451310911016951</v>
      </c>
      <c r="T20" s="22">
        <f t="shared" si="48"/>
        <v>109.0080884403999</v>
      </c>
      <c r="U20">
        <v>480</v>
      </c>
      <c r="V20">
        <v>183.86890889830508</v>
      </c>
      <c r="W20">
        <f t="shared" si="11"/>
        <v>91292456.351214558</v>
      </c>
      <c r="X20">
        <f t="shared" si="12"/>
        <v>1.3602270346011807E-3</v>
      </c>
    </row>
    <row r="21" spans="4:24" ht="15" thickBot="1" x14ac:dyDescent="0.4">
      <c r="D21" s="19" t="s">
        <v>99</v>
      </c>
      <c r="E21" s="20">
        <v>1</v>
      </c>
      <c r="F21" s="21">
        <v>996</v>
      </c>
      <c r="G21" s="22">
        <f t="shared" si="41"/>
        <v>104.30087609918114</v>
      </c>
      <c r="H21" s="21">
        <f t="shared" si="1"/>
        <v>1.2290000000000001</v>
      </c>
      <c r="I21" s="22">
        <f t="shared" si="42"/>
        <v>128.18577672589362</v>
      </c>
      <c r="J21" s="23">
        <f t="shared" si="3"/>
        <v>7.5900000000000002E-4</v>
      </c>
      <c r="K21" s="21">
        <f t="shared" si="4"/>
        <v>0.4</v>
      </c>
      <c r="L21" s="24">
        <f t="shared" si="5"/>
        <v>2.351</v>
      </c>
      <c r="M21" s="25">
        <f t="shared" si="43"/>
        <v>6.297346844315678E-4</v>
      </c>
      <c r="N21" s="26">
        <f t="shared" si="44"/>
        <v>1.2445349494695015</v>
      </c>
      <c r="O21" s="135">
        <f t="shared" si="10"/>
        <v>75505052305.646362</v>
      </c>
      <c r="P21" s="22">
        <f t="shared" si="45"/>
        <v>34162.484362937816</v>
      </c>
      <c r="Q21" s="21">
        <f t="shared" si="46"/>
        <v>32400</v>
      </c>
      <c r="R21" s="27">
        <f t="shared" si="22"/>
        <v>17.286217087646538</v>
      </c>
      <c r="S21" s="28">
        <f t="shared" si="47"/>
        <v>1.0361786723163842</v>
      </c>
      <c r="T21" s="22">
        <f t="shared" si="48"/>
        <v>108.07434331788519</v>
      </c>
      <c r="U21">
        <v>540</v>
      </c>
      <c r="V21">
        <v>192.82132768361583</v>
      </c>
      <c r="W21">
        <f t="shared" si="11"/>
        <v>100952058.21605489</v>
      </c>
      <c r="X21">
        <f t="shared" si="12"/>
        <v>1.3370238829502217E-3</v>
      </c>
    </row>
    <row r="22" spans="4:24" ht="15" thickBot="1" x14ac:dyDescent="0.4">
      <c r="D22" s="19" t="s">
        <v>99</v>
      </c>
      <c r="E22" s="20">
        <v>1</v>
      </c>
      <c r="F22" s="21">
        <v>996</v>
      </c>
      <c r="G22" s="22">
        <f t="shared" si="41"/>
        <v>104.30087609918114</v>
      </c>
      <c r="H22" s="21">
        <f t="shared" si="1"/>
        <v>1.2290000000000001</v>
      </c>
      <c r="I22" s="22">
        <f t="shared" si="42"/>
        <v>128.18577672589362</v>
      </c>
      <c r="J22" s="23">
        <f t="shared" si="3"/>
        <v>7.5900000000000002E-4</v>
      </c>
      <c r="K22" s="21">
        <f t="shared" si="4"/>
        <v>0.4</v>
      </c>
      <c r="L22" s="24">
        <f t="shared" si="5"/>
        <v>2.351</v>
      </c>
      <c r="M22" s="25">
        <f t="shared" si="43"/>
        <v>6.297346844315678E-4</v>
      </c>
      <c r="N22" s="26">
        <f t="shared" si="44"/>
        <v>1.2445349494695015</v>
      </c>
      <c r="O22" s="135">
        <f t="shared" si="10"/>
        <v>79699777433.737823</v>
      </c>
      <c r="P22" s="22">
        <f t="shared" si="45"/>
        <v>36060.400160878802</v>
      </c>
      <c r="Q22" s="21">
        <f t="shared" si="46"/>
        <v>34200</v>
      </c>
      <c r="R22" s="27">
        <f t="shared" si="22"/>
        <v>18.246562481404677</v>
      </c>
      <c r="S22" s="28">
        <f t="shared" si="47"/>
        <v>1.0139123999529192</v>
      </c>
      <c r="T22" s="22">
        <f t="shared" si="48"/>
        <v>105.75195160291281</v>
      </c>
      <c r="U22">
        <v>570</v>
      </c>
      <c r="V22">
        <v>215.08760004708103</v>
      </c>
      <c r="W22">
        <f t="shared" si="11"/>
        <v>102029990.11680466</v>
      </c>
      <c r="X22">
        <f t="shared" si="12"/>
        <v>1.2801791096798496E-3</v>
      </c>
    </row>
    <row r="23" spans="4:24" ht="15" thickBot="1" x14ac:dyDescent="0.4">
      <c r="D23" s="19" t="s">
        <v>99</v>
      </c>
      <c r="E23" s="20">
        <v>1</v>
      </c>
      <c r="F23" s="21">
        <v>996</v>
      </c>
      <c r="G23" s="22">
        <f t="shared" si="41"/>
        <v>104.30087609918114</v>
      </c>
      <c r="H23" s="21">
        <f t="shared" si="1"/>
        <v>1.2290000000000001</v>
      </c>
      <c r="I23" s="22">
        <f t="shared" si="42"/>
        <v>128.18577672589362</v>
      </c>
      <c r="J23" s="23">
        <f t="shared" si="3"/>
        <v>7.5900000000000002E-4</v>
      </c>
      <c r="K23" s="21">
        <f t="shared" si="4"/>
        <v>0.4</v>
      </c>
      <c r="L23" s="24">
        <f t="shared" si="5"/>
        <v>2.351</v>
      </c>
      <c r="M23" s="25">
        <f t="shared" si="43"/>
        <v>6.297346844315678E-4</v>
      </c>
      <c r="N23" s="26">
        <f t="shared" si="44"/>
        <v>1.2445349494695015</v>
      </c>
      <c r="O23" s="135">
        <f t="shared" si="10"/>
        <v>83894502561.829285</v>
      </c>
      <c r="P23" s="22">
        <f t="shared" si="45"/>
        <v>37958.315958819796</v>
      </c>
      <c r="Q23" s="21">
        <f t="shared" si="46"/>
        <v>36000</v>
      </c>
      <c r="R23" s="27">
        <f t="shared" si="22"/>
        <v>19.20690787516282</v>
      </c>
      <c r="S23" s="28">
        <f t="shared" si="47"/>
        <v>1.0120760063559322</v>
      </c>
      <c r="T23" s="22">
        <f t="shared" si="48"/>
        <v>105.56041414188415</v>
      </c>
      <c r="U23">
        <v>600</v>
      </c>
      <c r="V23">
        <v>216.92399364406782</v>
      </c>
      <c r="W23">
        <f t="shared" si="11"/>
        <v>107011297.15457885</v>
      </c>
      <c r="X23">
        <f t="shared" si="12"/>
        <v>1.2755459998789879E-3</v>
      </c>
    </row>
    <row r="24" spans="4:24" ht="15" thickBot="1" x14ac:dyDescent="0.4">
      <c r="D24" s="19" t="s">
        <v>99</v>
      </c>
      <c r="E24" s="20">
        <v>2</v>
      </c>
      <c r="F24" s="21">
        <v>996</v>
      </c>
      <c r="G24" s="22">
        <f t="shared" si="41"/>
        <v>104.30087609918114</v>
      </c>
      <c r="H24" s="21">
        <f t="shared" si="1"/>
        <v>1.2290000000000001</v>
      </c>
      <c r="I24" s="22">
        <f t="shared" si="42"/>
        <v>128.18577672589362</v>
      </c>
      <c r="J24" s="23">
        <f t="shared" si="3"/>
        <v>7.5900000000000002E-4</v>
      </c>
      <c r="K24" s="21">
        <f t="shared" si="4"/>
        <v>0.4</v>
      </c>
      <c r="L24" s="24">
        <f t="shared" si="5"/>
        <v>2.351</v>
      </c>
      <c r="M24" s="25">
        <f t="shared" si="43"/>
        <v>6.297346844315678E-4</v>
      </c>
      <c r="N24" s="26">
        <f t="shared" si="44"/>
        <v>1.2445349494695015</v>
      </c>
      <c r="O24" s="135">
        <f t="shared" si="10"/>
        <v>12584175384.274391</v>
      </c>
      <c r="P24" s="22">
        <f t="shared" si="45"/>
        <v>5693.7473938229687</v>
      </c>
      <c r="Q24" s="21">
        <f t="shared" si="46"/>
        <v>5400</v>
      </c>
      <c r="R24" s="27">
        <f t="shared" si="22"/>
        <v>2.8810361812744225</v>
      </c>
      <c r="S24" s="28">
        <f t="shared" si="47"/>
        <v>1.2096976722900001</v>
      </c>
      <c r="T24" s="22">
        <f t="shared" si="48"/>
        <v>126.17252703498713</v>
      </c>
      <c r="U24">
        <v>90</v>
      </c>
      <c r="V24">
        <v>19.30232771</v>
      </c>
      <c r="W24">
        <f t="shared" si="11"/>
        <v>22932337.220195446</v>
      </c>
      <c r="X24">
        <f t="shared" si="12"/>
        <v>1.8223154493581253E-3</v>
      </c>
    </row>
    <row r="25" spans="4:24" ht="15" thickBot="1" x14ac:dyDescent="0.4">
      <c r="D25" s="19" t="s">
        <v>99</v>
      </c>
      <c r="E25" s="20">
        <v>2</v>
      </c>
      <c r="F25" s="21">
        <v>996</v>
      </c>
      <c r="G25" s="22">
        <f t="shared" si="41"/>
        <v>104.30087609918114</v>
      </c>
      <c r="H25" s="21">
        <f t="shared" si="1"/>
        <v>1.2290000000000001</v>
      </c>
      <c r="I25" s="22">
        <f t="shared" si="42"/>
        <v>128.18577672589362</v>
      </c>
      <c r="J25" s="23">
        <f t="shared" si="3"/>
        <v>7.5900000000000002E-4</v>
      </c>
      <c r="K25" s="21">
        <f t="shared" si="4"/>
        <v>0.4</v>
      </c>
      <c r="L25" s="24">
        <f t="shared" si="5"/>
        <v>2.351</v>
      </c>
      <c r="M25" s="25">
        <f t="shared" si="43"/>
        <v>6.297346844315678E-4</v>
      </c>
      <c r="N25" s="26">
        <f t="shared" si="44"/>
        <v>1.2445349494695015</v>
      </c>
      <c r="O25" s="135">
        <f t="shared" si="10"/>
        <v>16778900512.365856</v>
      </c>
      <c r="P25" s="22">
        <f t="shared" si="45"/>
        <v>7591.6631917639588</v>
      </c>
      <c r="Q25" s="21">
        <f t="shared" si="46"/>
        <v>7200</v>
      </c>
      <c r="R25" s="27">
        <f t="shared" si="22"/>
        <v>3.8413815750325635</v>
      </c>
      <c r="S25" s="28">
        <f t="shared" si="47"/>
        <v>1.17339091302</v>
      </c>
      <c r="T25" s="22">
        <f t="shared" si="48"/>
        <v>122.38570023480405</v>
      </c>
      <c r="U25">
        <v>120</v>
      </c>
      <c r="V25">
        <v>55.609086980000001</v>
      </c>
      <c r="W25">
        <f t="shared" si="11"/>
        <v>28768605.268932037</v>
      </c>
      <c r="X25">
        <f t="shared" si="12"/>
        <v>1.714570346711926E-3</v>
      </c>
    </row>
    <row r="26" spans="4:24" ht="15" thickBot="1" x14ac:dyDescent="0.4">
      <c r="D26" s="19" t="s">
        <v>99</v>
      </c>
      <c r="E26" s="20">
        <v>2</v>
      </c>
      <c r="F26" s="21">
        <v>996</v>
      </c>
      <c r="G26" s="22">
        <f t="shared" si="41"/>
        <v>104.30087609918114</v>
      </c>
      <c r="H26" s="21">
        <f t="shared" si="1"/>
        <v>1.2290000000000001</v>
      </c>
      <c r="I26" s="22">
        <f t="shared" si="42"/>
        <v>128.18577672589362</v>
      </c>
      <c r="J26" s="23">
        <f t="shared" si="3"/>
        <v>7.5900000000000002E-4</v>
      </c>
      <c r="K26" s="21">
        <f t="shared" si="4"/>
        <v>0.4</v>
      </c>
      <c r="L26" s="24">
        <f t="shared" si="5"/>
        <v>2.351</v>
      </c>
      <c r="M26" s="25">
        <f t="shared" si="43"/>
        <v>6.297346844315678E-4</v>
      </c>
      <c r="N26" s="26">
        <f t="shared" si="44"/>
        <v>1.2445349494695015</v>
      </c>
      <c r="O26" s="135">
        <f t="shared" si="10"/>
        <v>20973625640.457321</v>
      </c>
      <c r="P26" s="22">
        <f t="shared" si="45"/>
        <v>9489.578989704949</v>
      </c>
      <c r="Q26" s="21">
        <f t="shared" si="46"/>
        <v>9000</v>
      </c>
      <c r="R26" s="27">
        <f t="shared" si="22"/>
        <v>4.8017269687907049</v>
      </c>
      <c r="S26" s="28">
        <f t="shared" si="47"/>
        <v>1.1173222468000001</v>
      </c>
      <c r="T26" s="22">
        <f t="shared" si="48"/>
        <v>116.53768922634551</v>
      </c>
      <c r="U26">
        <v>150</v>
      </c>
      <c r="V26">
        <v>111.6777532</v>
      </c>
      <c r="W26">
        <f t="shared" si="11"/>
        <v>32606206.234596163</v>
      </c>
      <c r="X26">
        <f t="shared" si="12"/>
        <v>1.5546289799175227E-3</v>
      </c>
    </row>
    <row r="27" spans="4:24" ht="15" thickBot="1" x14ac:dyDescent="0.4">
      <c r="D27" s="19" t="s">
        <v>99</v>
      </c>
      <c r="E27" s="20">
        <v>2</v>
      </c>
      <c r="F27" s="21">
        <v>996</v>
      </c>
      <c r="G27" s="22">
        <f t="shared" si="41"/>
        <v>104.30087609918114</v>
      </c>
      <c r="H27" s="21">
        <f t="shared" si="1"/>
        <v>1.2290000000000001</v>
      </c>
      <c r="I27" s="22">
        <f t="shared" si="42"/>
        <v>128.18577672589362</v>
      </c>
      <c r="J27" s="23">
        <f t="shared" si="3"/>
        <v>7.5900000000000002E-4</v>
      </c>
      <c r="K27" s="21">
        <f t="shared" si="4"/>
        <v>0.4</v>
      </c>
      <c r="L27" s="24">
        <f t="shared" si="5"/>
        <v>2.351</v>
      </c>
      <c r="M27" s="25">
        <f t="shared" si="43"/>
        <v>6.297346844315678E-4</v>
      </c>
      <c r="N27" s="26">
        <f t="shared" si="44"/>
        <v>1.2445349494695015</v>
      </c>
      <c r="O27" s="135">
        <f t="shared" si="10"/>
        <v>41947251280.914642</v>
      </c>
      <c r="P27" s="22">
        <f t="shared" si="45"/>
        <v>18979.157979409898</v>
      </c>
      <c r="Q27" s="21">
        <f t="shared" si="46"/>
        <v>18000</v>
      </c>
      <c r="R27" s="27">
        <f t="shared" si="22"/>
        <v>9.6034539375814099</v>
      </c>
      <c r="S27" s="28">
        <f t="shared" si="47"/>
        <v>1.0957220229</v>
      </c>
      <c r="T27" s="22">
        <f t="shared" si="48"/>
        <v>114.28476694963702</v>
      </c>
      <c r="U27">
        <v>300</v>
      </c>
      <c r="V27">
        <v>133.27797709999999</v>
      </c>
      <c r="W27">
        <f t="shared" si="11"/>
        <v>62715394.145434067</v>
      </c>
      <c r="X27">
        <f t="shared" si="12"/>
        <v>1.4951014006957975E-3</v>
      </c>
    </row>
    <row r="28" spans="4:24" ht="15" thickBot="1" x14ac:dyDescent="0.4">
      <c r="D28" s="19" t="s">
        <v>99</v>
      </c>
      <c r="E28" s="20">
        <v>2</v>
      </c>
      <c r="F28" s="21">
        <v>996</v>
      </c>
      <c r="G28" s="22">
        <f t="shared" si="41"/>
        <v>104.30087609918114</v>
      </c>
      <c r="H28" s="21">
        <f t="shared" si="1"/>
        <v>1.2290000000000001</v>
      </c>
      <c r="I28" s="22">
        <f t="shared" si="42"/>
        <v>128.18577672589362</v>
      </c>
      <c r="J28" s="23">
        <f t="shared" si="3"/>
        <v>7.5900000000000002E-4</v>
      </c>
      <c r="K28" s="21">
        <f t="shared" si="4"/>
        <v>0.4</v>
      </c>
      <c r="L28" s="24">
        <f t="shared" si="5"/>
        <v>2.351</v>
      </c>
      <c r="M28" s="25">
        <f t="shared" si="43"/>
        <v>6.297346844315678E-4</v>
      </c>
      <c r="N28" s="26">
        <f t="shared" si="44"/>
        <v>1.2445349494695015</v>
      </c>
      <c r="O28" s="135">
        <f t="shared" si="10"/>
        <v>46141976409.006104</v>
      </c>
      <c r="P28" s="22">
        <f t="shared" si="45"/>
        <v>20877.073777350884</v>
      </c>
      <c r="Q28" s="21">
        <f t="shared" si="46"/>
        <v>19800</v>
      </c>
      <c r="R28" s="27">
        <f t="shared" si="22"/>
        <v>10.563799331339549</v>
      </c>
      <c r="S28" s="28">
        <f t="shared" si="47"/>
        <v>1.0704451652</v>
      </c>
      <c r="T28" s="22">
        <f t="shared" si="48"/>
        <v>111.64836854649269</v>
      </c>
      <c r="U28">
        <v>330</v>
      </c>
      <c r="V28">
        <v>158.55483480000001</v>
      </c>
      <c r="W28">
        <f t="shared" si="11"/>
        <v>65840771.30424571</v>
      </c>
      <c r="X28">
        <f t="shared" si="12"/>
        <v>1.4269170163113071E-3</v>
      </c>
    </row>
    <row r="29" spans="4:24" ht="15" thickBot="1" x14ac:dyDescent="0.4">
      <c r="D29" s="19" t="s">
        <v>99</v>
      </c>
      <c r="E29" s="20">
        <v>2</v>
      </c>
      <c r="F29" s="21">
        <v>996</v>
      </c>
      <c r="G29" s="22">
        <f t="shared" si="41"/>
        <v>104.30087609918114</v>
      </c>
      <c r="H29" s="21">
        <f t="shared" si="1"/>
        <v>1.2290000000000001</v>
      </c>
      <c r="I29" s="22">
        <f t="shared" si="42"/>
        <v>128.18577672589362</v>
      </c>
      <c r="J29" s="23">
        <f t="shared" si="3"/>
        <v>7.5900000000000002E-4</v>
      </c>
      <c r="K29" s="21">
        <f t="shared" si="4"/>
        <v>0.4</v>
      </c>
      <c r="L29" s="24">
        <f t="shared" si="5"/>
        <v>2.351</v>
      </c>
      <c r="M29" s="25">
        <f t="shared" si="43"/>
        <v>6.297346844315678E-4</v>
      </c>
      <c r="N29" s="26">
        <f t="shared" si="44"/>
        <v>1.2445349494695015</v>
      </c>
      <c r="O29" s="135">
        <f t="shared" si="10"/>
        <v>50336701537.097565</v>
      </c>
      <c r="P29" s="22">
        <f t="shared" si="45"/>
        <v>22774.989575291875</v>
      </c>
      <c r="Q29" s="21">
        <f t="shared" si="46"/>
        <v>21600</v>
      </c>
      <c r="R29" s="27">
        <f t="shared" si="22"/>
        <v>11.52414472509769</v>
      </c>
      <c r="S29" s="28">
        <f t="shared" si="47"/>
        <v>1.0428704113</v>
      </c>
      <c r="T29" s="22">
        <f t="shared" si="48"/>
        <v>108.77229755650337</v>
      </c>
      <c r="U29">
        <v>360</v>
      </c>
      <c r="V29">
        <v>186.1295887</v>
      </c>
      <c r="W29">
        <f t="shared" si="11"/>
        <v>68173456.219162107</v>
      </c>
      <c r="X29">
        <f t="shared" si="12"/>
        <v>1.3543488972736733E-3</v>
      </c>
    </row>
    <row r="30" spans="4:24" ht="15" thickBot="1" x14ac:dyDescent="0.4">
      <c r="D30" s="19" t="s">
        <v>99</v>
      </c>
      <c r="E30" s="20">
        <v>2</v>
      </c>
      <c r="F30" s="21">
        <v>996</v>
      </c>
      <c r="G30" s="22">
        <f t="shared" si="41"/>
        <v>104.30087609918114</v>
      </c>
      <c r="H30" s="21">
        <f t="shared" si="1"/>
        <v>1.2290000000000001</v>
      </c>
      <c r="I30" s="22">
        <f t="shared" si="42"/>
        <v>128.18577672589362</v>
      </c>
      <c r="J30" s="23">
        <f t="shared" si="3"/>
        <v>7.5900000000000002E-4</v>
      </c>
      <c r="K30" s="21">
        <f t="shared" si="4"/>
        <v>0.4</v>
      </c>
      <c r="L30" s="24">
        <f t="shared" si="5"/>
        <v>2.351</v>
      </c>
      <c r="M30" s="25">
        <f t="shared" si="43"/>
        <v>6.297346844315678E-4</v>
      </c>
      <c r="N30" s="26">
        <f t="shared" si="44"/>
        <v>1.2445349494695015</v>
      </c>
      <c r="O30" s="135">
        <f t="shared" si="10"/>
        <v>62920876921.371964</v>
      </c>
      <c r="P30" s="22">
        <f t="shared" si="45"/>
        <v>28468.736969114845</v>
      </c>
      <c r="Q30" s="21">
        <f t="shared" si="46"/>
        <v>27000</v>
      </c>
      <c r="R30" s="27">
        <f t="shared" si="22"/>
        <v>14.405180906372113</v>
      </c>
      <c r="S30" s="28">
        <f t="shared" si="47"/>
        <v>1.0265553486000001</v>
      </c>
      <c r="T30" s="22">
        <f t="shared" si="48"/>
        <v>107.07062222328031</v>
      </c>
      <c r="U30" s="22">
        <v>450</v>
      </c>
      <c r="V30" s="29">
        <v>202.4446514</v>
      </c>
      <c r="W30">
        <f t="shared" si="11"/>
        <v>82571347.892988503</v>
      </c>
      <c r="X30">
        <f t="shared" si="12"/>
        <v>1.3123044676597948E-3</v>
      </c>
    </row>
    <row r="31" spans="4:24" ht="15" thickBot="1" x14ac:dyDescent="0.4">
      <c r="D31" s="19" t="s">
        <v>99</v>
      </c>
      <c r="E31" s="20">
        <v>2</v>
      </c>
      <c r="F31" s="21">
        <v>996</v>
      </c>
      <c r="G31" s="22">
        <f t="shared" si="41"/>
        <v>104.30087609918114</v>
      </c>
      <c r="H31" s="21">
        <f t="shared" si="1"/>
        <v>1.2290000000000001</v>
      </c>
      <c r="I31" s="22">
        <f t="shared" si="42"/>
        <v>128.18577672589362</v>
      </c>
      <c r="J31" s="23">
        <f t="shared" si="3"/>
        <v>7.5900000000000002E-4</v>
      </c>
      <c r="K31" s="21">
        <f t="shared" si="4"/>
        <v>0.4</v>
      </c>
      <c r="L31" s="24">
        <f t="shared" si="5"/>
        <v>2.351</v>
      </c>
      <c r="M31" s="25">
        <f t="shared" si="43"/>
        <v>6.297346844315678E-4</v>
      </c>
      <c r="N31" s="26">
        <f t="shared" si="44"/>
        <v>1.2445349494695015</v>
      </c>
      <c r="O31" s="135">
        <f t="shared" si="10"/>
        <v>83894502561.829285</v>
      </c>
      <c r="P31" s="22">
        <f t="shared" si="45"/>
        <v>37958.315958819796</v>
      </c>
      <c r="Q31" s="21">
        <f t="shared" si="46"/>
        <v>36000</v>
      </c>
      <c r="R31" s="27">
        <f t="shared" si="22"/>
        <v>19.20690787516282</v>
      </c>
      <c r="S31" s="28">
        <f t="shared" si="47"/>
        <v>1.0166743952000001</v>
      </c>
      <c r="T31" s="22">
        <f t="shared" si="48"/>
        <v>106.04003012696514</v>
      </c>
      <c r="U31" s="34">
        <v>600</v>
      </c>
      <c r="V31" s="29">
        <v>212.32560480000001</v>
      </c>
      <c r="W31">
        <f t="shared" si="11"/>
        <v>107985922.45719568</v>
      </c>
      <c r="X31">
        <f t="shared" si="12"/>
        <v>1.2871632724398277E-3</v>
      </c>
    </row>
    <row r="32" spans="4:24" ht="15" thickBot="1" x14ac:dyDescent="0.4">
      <c r="D32" s="19" t="s">
        <v>99</v>
      </c>
      <c r="E32" s="20">
        <v>3</v>
      </c>
      <c r="F32" s="21">
        <v>996</v>
      </c>
      <c r="G32" s="22">
        <f t="shared" si="41"/>
        <v>104.30087609918114</v>
      </c>
      <c r="H32" s="21">
        <f t="shared" si="1"/>
        <v>1.2290000000000001</v>
      </c>
      <c r="I32" s="22">
        <f t="shared" si="42"/>
        <v>128.18577672589362</v>
      </c>
      <c r="J32" s="23">
        <f t="shared" si="3"/>
        <v>7.5900000000000002E-4</v>
      </c>
      <c r="K32" s="21">
        <f t="shared" si="4"/>
        <v>0.4</v>
      </c>
      <c r="L32" s="24">
        <f t="shared" si="5"/>
        <v>2.351</v>
      </c>
      <c r="M32" s="25">
        <f t="shared" si="43"/>
        <v>6.297346844315678E-4</v>
      </c>
      <c r="N32" s="26">
        <f t="shared" si="44"/>
        <v>1.2445349494695015</v>
      </c>
      <c r="O32" s="135">
        <f t="shared" si="10"/>
        <v>16778900512.365856</v>
      </c>
      <c r="P32" s="22">
        <f t="shared" si="45"/>
        <v>7591.6631917639588</v>
      </c>
      <c r="Q32" s="21">
        <f t="shared" si="46"/>
        <v>7200</v>
      </c>
      <c r="R32" s="27">
        <f t="shared" si="22"/>
        <v>3.8413815750325635</v>
      </c>
      <c r="S32" s="28">
        <f t="shared" si="47"/>
        <v>1.1721312970317728</v>
      </c>
      <c r="T32" s="22">
        <f t="shared" si="48"/>
        <v>122.25432118368342</v>
      </c>
      <c r="U32">
        <v>120</v>
      </c>
      <c r="V32">
        <v>56.868702968227424</v>
      </c>
      <c r="W32">
        <f t="shared" si="11"/>
        <v>28706873.164775059</v>
      </c>
      <c r="X32">
        <f t="shared" si="12"/>
        <v>1.7108911959766628E-3</v>
      </c>
    </row>
    <row r="33" spans="4:24" ht="15" thickBot="1" x14ac:dyDescent="0.4">
      <c r="D33" s="19" t="s">
        <v>99</v>
      </c>
      <c r="E33" s="20">
        <v>3</v>
      </c>
      <c r="F33" s="21">
        <v>996</v>
      </c>
      <c r="G33" s="22">
        <f t="shared" si="41"/>
        <v>104.30087609918114</v>
      </c>
      <c r="H33" s="21">
        <f t="shared" si="1"/>
        <v>1.2290000000000001</v>
      </c>
      <c r="I33" s="22">
        <f t="shared" si="42"/>
        <v>128.18577672589362</v>
      </c>
      <c r="J33" s="23">
        <f t="shared" si="3"/>
        <v>7.5900000000000002E-4</v>
      </c>
      <c r="K33" s="21">
        <f t="shared" si="4"/>
        <v>0.4</v>
      </c>
      <c r="L33" s="24">
        <f t="shared" si="5"/>
        <v>2.351</v>
      </c>
      <c r="M33" s="25">
        <f t="shared" si="43"/>
        <v>6.297346844315678E-4</v>
      </c>
      <c r="N33" s="26">
        <f t="shared" si="44"/>
        <v>1.2445349494695015</v>
      </c>
      <c r="O33" s="135">
        <f t="shared" si="10"/>
        <v>25168350768.548782</v>
      </c>
      <c r="P33" s="22">
        <f t="shared" si="45"/>
        <v>11387.494787645937</v>
      </c>
      <c r="Q33" s="21">
        <f t="shared" si="46"/>
        <v>10800</v>
      </c>
      <c r="R33" s="27">
        <f t="shared" si="22"/>
        <v>5.762072362548845</v>
      </c>
      <c r="S33" s="28">
        <f t="shared" si="47"/>
        <v>1.1533279355664716</v>
      </c>
      <c r="T33" s="22">
        <f t="shared" si="48"/>
        <v>120.29311410924292</v>
      </c>
      <c r="U33">
        <v>180</v>
      </c>
      <c r="V33">
        <v>75.672064433528419</v>
      </c>
      <c r="W33">
        <f t="shared" si="11"/>
        <v>41689841.902066499</v>
      </c>
      <c r="X33">
        <f t="shared" si="12"/>
        <v>1.6564391638312483E-3</v>
      </c>
    </row>
    <row r="34" spans="4:24" ht="15" thickBot="1" x14ac:dyDescent="0.4">
      <c r="D34" s="19" t="s">
        <v>99</v>
      </c>
      <c r="E34" s="20">
        <v>3</v>
      </c>
      <c r="F34" s="21">
        <v>996</v>
      </c>
      <c r="G34" s="22">
        <f t="shared" si="41"/>
        <v>104.30087609918114</v>
      </c>
      <c r="H34" s="21">
        <f t="shared" si="1"/>
        <v>1.2290000000000001</v>
      </c>
      <c r="I34" s="22">
        <f t="shared" si="42"/>
        <v>128.18577672589362</v>
      </c>
      <c r="J34" s="23">
        <f t="shared" si="3"/>
        <v>7.5900000000000002E-4</v>
      </c>
      <c r="K34" s="21">
        <f t="shared" si="4"/>
        <v>0.4</v>
      </c>
      <c r="L34" s="24">
        <f t="shared" si="5"/>
        <v>2.351</v>
      </c>
      <c r="M34" s="25">
        <f t="shared" si="43"/>
        <v>6.297346844315678E-4</v>
      </c>
      <c r="N34" s="26">
        <f t="shared" si="44"/>
        <v>1.2445349494695015</v>
      </c>
      <c r="O34" s="135">
        <f t="shared" si="10"/>
        <v>29363075896.640247</v>
      </c>
      <c r="P34" s="22">
        <f t="shared" si="45"/>
        <v>13285.410585586927</v>
      </c>
      <c r="Q34" s="21">
        <f t="shared" si="46"/>
        <v>12600</v>
      </c>
      <c r="R34" s="27">
        <f t="shared" si="22"/>
        <v>6.722417756306986</v>
      </c>
      <c r="S34" s="28">
        <f t="shared" si="47"/>
        <v>1.1207660169314382</v>
      </c>
      <c r="T34" s="22">
        <f t="shared" si="48"/>
        <v>116.89687746813868</v>
      </c>
      <c r="U34">
        <v>210</v>
      </c>
      <c r="V34">
        <v>108.23398306856187</v>
      </c>
      <c r="W34">
        <f t="shared" si="11"/>
        <v>45930515.84650737</v>
      </c>
      <c r="X34">
        <f t="shared" si="12"/>
        <v>1.5642269906662874E-3</v>
      </c>
    </row>
    <row r="35" spans="4:24" ht="15" thickBot="1" x14ac:dyDescent="0.4">
      <c r="D35" s="19" t="s">
        <v>99</v>
      </c>
      <c r="E35" s="20">
        <v>3</v>
      </c>
      <c r="F35" s="21">
        <v>996</v>
      </c>
      <c r="G35" s="22">
        <f t="shared" si="41"/>
        <v>104.30087609918114</v>
      </c>
      <c r="H35" s="21">
        <f t="shared" si="1"/>
        <v>1.2290000000000001</v>
      </c>
      <c r="I35" s="22">
        <f t="shared" si="42"/>
        <v>128.18577672589362</v>
      </c>
      <c r="J35" s="23">
        <f t="shared" si="3"/>
        <v>7.5900000000000002E-4</v>
      </c>
      <c r="K35" s="21">
        <f t="shared" si="4"/>
        <v>0.4</v>
      </c>
      <c r="L35" s="24">
        <f t="shared" si="5"/>
        <v>2.351</v>
      </c>
      <c r="M35" s="25">
        <f t="shared" si="43"/>
        <v>6.297346844315678E-4</v>
      </c>
      <c r="N35" s="26">
        <f t="shared" si="44"/>
        <v>1.2445349494695015</v>
      </c>
      <c r="O35" s="135">
        <f t="shared" si="10"/>
        <v>41947251280.914642</v>
      </c>
      <c r="P35" s="22">
        <f t="shared" si="45"/>
        <v>18979.157979409898</v>
      </c>
      <c r="Q35" s="21">
        <f t="shared" si="46"/>
        <v>18000</v>
      </c>
      <c r="R35" s="27">
        <f t="shared" si="22"/>
        <v>9.6034539375814099</v>
      </c>
      <c r="S35" s="28">
        <f t="shared" si="47"/>
        <v>1.0721524482650504</v>
      </c>
      <c r="T35" s="22">
        <f t="shared" si="48"/>
        <v>111.82643966592674</v>
      </c>
      <c r="U35">
        <v>300</v>
      </c>
      <c r="V35">
        <v>156.8475517349498</v>
      </c>
      <c r="W35">
        <f t="shared" si="11"/>
        <v>60046328.528391957</v>
      </c>
      <c r="X35">
        <f t="shared" si="12"/>
        <v>1.4314723061654368E-3</v>
      </c>
    </row>
    <row r="36" spans="4:24" ht="15" thickBot="1" x14ac:dyDescent="0.4">
      <c r="D36" s="19" t="s">
        <v>99</v>
      </c>
      <c r="E36" s="20">
        <v>3</v>
      </c>
      <c r="F36" s="21">
        <v>996</v>
      </c>
      <c r="G36" s="22">
        <f t="shared" si="41"/>
        <v>104.30087609918114</v>
      </c>
      <c r="H36" s="21">
        <f t="shared" si="1"/>
        <v>1.2290000000000001</v>
      </c>
      <c r="I36" s="22">
        <f t="shared" si="42"/>
        <v>128.18577672589362</v>
      </c>
      <c r="J36" s="23">
        <f t="shared" si="3"/>
        <v>7.5900000000000002E-4</v>
      </c>
      <c r="K36" s="21">
        <f t="shared" si="4"/>
        <v>0.4</v>
      </c>
      <c r="L36" s="24">
        <f t="shared" si="5"/>
        <v>2.351</v>
      </c>
      <c r="M36" s="25">
        <f t="shared" si="43"/>
        <v>6.297346844315678E-4</v>
      </c>
      <c r="N36" s="26">
        <f t="shared" si="44"/>
        <v>1.2445349494695015</v>
      </c>
      <c r="O36" s="135">
        <f t="shared" si="10"/>
        <v>62920876921.371964</v>
      </c>
      <c r="P36" s="22">
        <f t="shared" si="45"/>
        <v>28468.736969114845</v>
      </c>
      <c r="Q36" s="21">
        <f t="shared" si="46"/>
        <v>27000</v>
      </c>
      <c r="R36" s="27">
        <f t="shared" si="22"/>
        <v>14.405180906372113</v>
      </c>
      <c r="S36" s="28">
        <f t="shared" si="47"/>
        <v>1.0682541904002927</v>
      </c>
      <c r="T36" s="22">
        <f t="shared" si="48"/>
        <v>111.41984795537198</v>
      </c>
      <c r="U36">
        <v>450</v>
      </c>
      <c r="V36">
        <v>160.74580959970734</v>
      </c>
      <c r="W36">
        <f t="shared" si="11"/>
        <v>89415713.009214789</v>
      </c>
      <c r="X36">
        <f t="shared" si="12"/>
        <v>1.4210817996219548E-3</v>
      </c>
    </row>
    <row r="37" spans="4:24" ht="15" thickBot="1" x14ac:dyDescent="0.4">
      <c r="D37" s="19" t="s">
        <v>99</v>
      </c>
      <c r="E37" s="20">
        <v>3</v>
      </c>
      <c r="F37" s="21">
        <v>996</v>
      </c>
      <c r="G37" s="22">
        <f t="shared" si="41"/>
        <v>104.30087609918114</v>
      </c>
      <c r="H37" s="21">
        <f t="shared" si="1"/>
        <v>1.2290000000000001</v>
      </c>
      <c r="I37" s="22">
        <f t="shared" si="42"/>
        <v>128.18577672589362</v>
      </c>
      <c r="J37" s="23">
        <f t="shared" si="3"/>
        <v>7.5900000000000002E-4</v>
      </c>
      <c r="K37" s="21">
        <f t="shared" si="4"/>
        <v>0.4</v>
      </c>
      <c r="L37" s="24">
        <f t="shared" si="5"/>
        <v>2.351</v>
      </c>
      <c r="M37" s="25">
        <f t="shared" si="43"/>
        <v>6.297346844315678E-4</v>
      </c>
      <c r="N37" s="26">
        <f t="shared" si="44"/>
        <v>1.2445349494695015</v>
      </c>
      <c r="O37" s="135">
        <f t="shared" si="10"/>
        <v>79699777433.737823</v>
      </c>
      <c r="P37" s="22">
        <f t="shared" si="45"/>
        <v>36060.400160878802</v>
      </c>
      <c r="Q37" s="21">
        <f t="shared" si="46"/>
        <v>34200</v>
      </c>
      <c r="R37" s="27">
        <f t="shared" si="22"/>
        <v>18.246562481404677</v>
      </c>
      <c r="S37" s="28">
        <f t="shared" si="47"/>
        <v>1.0547249425167224</v>
      </c>
      <c r="T37" s="22">
        <f t="shared" si="48"/>
        <v>110.00873554815261</v>
      </c>
      <c r="U37">
        <v>570</v>
      </c>
      <c r="V37">
        <v>174.27505748327758</v>
      </c>
      <c r="W37">
        <f t="shared" si="11"/>
        <v>110409237.01846342</v>
      </c>
      <c r="X37">
        <f t="shared" si="12"/>
        <v>1.3853142452029726E-3</v>
      </c>
    </row>
    <row r="38" spans="4:24" ht="15" thickBot="1" x14ac:dyDescent="0.4">
      <c r="D38" s="19" t="s">
        <v>100</v>
      </c>
      <c r="E38" s="20">
        <v>1</v>
      </c>
      <c r="F38" s="21">
        <v>1193</v>
      </c>
      <c r="G38" s="22">
        <f t="shared" ref="G38:G57" si="49">F38/60*2*PI()</f>
        <v>124.9306678577541</v>
      </c>
      <c r="H38" s="21">
        <f t="shared" si="1"/>
        <v>1.2290000000000001</v>
      </c>
      <c r="I38" s="22">
        <f t="shared" ref="I38:I57" si="50">G38*H38</f>
        <v>153.53979079717979</v>
      </c>
      <c r="J38" s="23">
        <f t="shared" si="3"/>
        <v>7.5900000000000002E-4</v>
      </c>
      <c r="K38" s="21">
        <f t="shared" si="4"/>
        <v>0.4</v>
      </c>
      <c r="L38" s="24">
        <f t="shared" si="5"/>
        <v>2.351</v>
      </c>
      <c r="M38" s="25">
        <f t="shared" ref="M38:M57" si="51">($R$2*G38)/($S$2*($D$2-$E$2)*$L$2)</f>
        <v>7.5429064109122526E-4</v>
      </c>
      <c r="N38" s="26">
        <f t="shared" ref="N38:N57" si="52">3/(2*$J$2)*M38</f>
        <v>1.490692966583449</v>
      </c>
      <c r="O38" s="135">
        <f t="shared" si="10"/>
        <v>2512202348.299758</v>
      </c>
      <c r="P38" s="22">
        <f t="shared" ref="P38:P57" si="53">(3/(2*$J$2))*R38</f>
        <v>1136.65338701988</v>
      </c>
      <c r="Q38" s="21">
        <f t="shared" ref="Q38:Q57" si="54">U38*60</f>
        <v>900</v>
      </c>
      <c r="R38" s="27">
        <f t="shared" si="22"/>
        <v>0.57514661383205934</v>
      </c>
      <c r="S38" s="28">
        <f t="shared" ref="S38:S57" si="55">$S$6-V38/1000</f>
        <v>1.1213864613836018</v>
      </c>
      <c r="T38" s="22">
        <f t="shared" ref="T38:T57" si="56">G38*S38</f>
        <v>140.09555954729694</v>
      </c>
      <c r="U38">
        <v>15</v>
      </c>
      <c r="V38">
        <v>107.61353861639826</v>
      </c>
      <c r="W38">
        <f t="shared" si="11"/>
        <v>5644133.9465729799</v>
      </c>
      <c r="X38">
        <f t="shared" si="12"/>
        <v>2.2466876326235792E-3</v>
      </c>
    </row>
    <row r="39" spans="4:24" ht="15" thickBot="1" x14ac:dyDescent="0.4">
      <c r="D39" s="19" t="s">
        <v>100</v>
      </c>
      <c r="E39" s="20">
        <v>1</v>
      </c>
      <c r="F39" s="21">
        <v>1193</v>
      </c>
      <c r="G39" s="22">
        <f t="shared" si="49"/>
        <v>124.9306678577541</v>
      </c>
      <c r="H39" s="21">
        <f t="shared" si="1"/>
        <v>1.2290000000000001</v>
      </c>
      <c r="I39" s="22">
        <f t="shared" si="50"/>
        <v>153.53979079717979</v>
      </c>
      <c r="J39" s="23">
        <f t="shared" si="3"/>
        <v>7.5900000000000002E-4</v>
      </c>
      <c r="K39" s="21">
        <f t="shared" si="4"/>
        <v>0.4</v>
      </c>
      <c r="L39" s="24">
        <f t="shared" si="5"/>
        <v>2.351</v>
      </c>
      <c r="M39" s="25">
        <f t="shared" si="51"/>
        <v>7.5429064109122526E-4</v>
      </c>
      <c r="N39" s="26">
        <f t="shared" si="52"/>
        <v>1.490692966583449</v>
      </c>
      <c r="O39" s="135">
        <f t="shared" si="10"/>
        <v>5024404696.5995159</v>
      </c>
      <c r="P39" s="22">
        <f t="shared" si="53"/>
        <v>2273.3067740397601</v>
      </c>
      <c r="Q39" s="21">
        <f t="shared" si="54"/>
        <v>1800</v>
      </c>
      <c r="R39" s="27">
        <f t="shared" si="22"/>
        <v>1.1502932276641187</v>
      </c>
      <c r="S39" s="28">
        <f t="shared" si="55"/>
        <v>1.0062009680244719</v>
      </c>
      <c r="T39" s="22">
        <f t="shared" si="56"/>
        <v>125.70535893441595</v>
      </c>
      <c r="U39">
        <v>30</v>
      </c>
      <c r="V39">
        <v>222.79903197552815</v>
      </c>
      <c r="W39">
        <f t="shared" si="11"/>
        <v>9088373.1951924246</v>
      </c>
      <c r="X39">
        <f t="shared" si="12"/>
        <v>1.8088457725834418E-3</v>
      </c>
    </row>
    <row r="40" spans="4:24" ht="15" thickBot="1" x14ac:dyDescent="0.4">
      <c r="D40" s="19" t="s">
        <v>100</v>
      </c>
      <c r="E40" s="20">
        <v>1</v>
      </c>
      <c r="F40" s="21">
        <v>1193</v>
      </c>
      <c r="G40" s="22">
        <f t="shared" si="49"/>
        <v>124.9306678577541</v>
      </c>
      <c r="H40" s="21">
        <f t="shared" si="1"/>
        <v>1.2290000000000001</v>
      </c>
      <c r="I40" s="22">
        <f t="shared" si="50"/>
        <v>153.53979079717979</v>
      </c>
      <c r="J40" s="23">
        <f t="shared" si="3"/>
        <v>7.5900000000000002E-4</v>
      </c>
      <c r="K40" s="21">
        <f t="shared" si="4"/>
        <v>0.4</v>
      </c>
      <c r="L40" s="24">
        <f t="shared" si="5"/>
        <v>2.351</v>
      </c>
      <c r="M40" s="25">
        <f t="shared" si="51"/>
        <v>7.5429064109122526E-4</v>
      </c>
      <c r="N40" s="26">
        <f t="shared" si="52"/>
        <v>1.490692966583449</v>
      </c>
      <c r="O40" s="135">
        <f t="shared" si="10"/>
        <v>7536607044.8992739</v>
      </c>
      <c r="P40" s="22">
        <f t="shared" si="53"/>
        <v>3409.9601610596401</v>
      </c>
      <c r="Q40" s="21">
        <f t="shared" si="54"/>
        <v>2700</v>
      </c>
      <c r="R40" s="27">
        <f t="shared" si="22"/>
        <v>1.725439841496178</v>
      </c>
      <c r="S40" s="28">
        <f t="shared" si="55"/>
        <v>0.98669744823258743</v>
      </c>
      <c r="T40" s="22">
        <f t="shared" si="56"/>
        <v>123.2687711812389</v>
      </c>
      <c r="U40">
        <v>45</v>
      </c>
      <c r="V40">
        <v>242.30255176741272</v>
      </c>
      <c r="W40">
        <f t="shared" si="11"/>
        <v>13109193.068150232</v>
      </c>
      <c r="X40">
        <f t="shared" si="12"/>
        <v>1.7394024910748727E-3</v>
      </c>
    </row>
    <row r="41" spans="4:24" ht="15" thickBot="1" x14ac:dyDescent="0.4">
      <c r="D41" s="19" t="s">
        <v>100</v>
      </c>
      <c r="E41" s="20">
        <v>1</v>
      </c>
      <c r="F41" s="21">
        <v>1193</v>
      </c>
      <c r="G41" s="22">
        <f t="shared" si="49"/>
        <v>124.9306678577541</v>
      </c>
      <c r="H41" s="21">
        <f t="shared" si="1"/>
        <v>1.2290000000000001</v>
      </c>
      <c r="I41" s="22">
        <f t="shared" si="50"/>
        <v>153.53979079717979</v>
      </c>
      <c r="J41" s="23">
        <f t="shared" si="3"/>
        <v>7.5900000000000002E-4</v>
      </c>
      <c r="K41" s="21">
        <f t="shared" si="4"/>
        <v>0.4</v>
      </c>
      <c r="L41" s="24">
        <f t="shared" si="5"/>
        <v>2.351</v>
      </c>
      <c r="M41" s="25">
        <f t="shared" si="51"/>
        <v>7.5429064109122526E-4</v>
      </c>
      <c r="N41" s="26">
        <f t="shared" si="52"/>
        <v>1.490692966583449</v>
      </c>
      <c r="O41" s="135">
        <f t="shared" si="10"/>
        <v>10048809393.199032</v>
      </c>
      <c r="P41" s="22">
        <f t="shared" si="53"/>
        <v>4546.6135480795201</v>
      </c>
      <c r="Q41" s="21">
        <f t="shared" si="54"/>
        <v>3600</v>
      </c>
      <c r="R41" s="27">
        <f t="shared" si="22"/>
        <v>2.3005864553282374</v>
      </c>
      <c r="S41" s="28">
        <f t="shared" si="55"/>
        <v>0.96902955383288025</v>
      </c>
      <c r="T41" s="22">
        <f t="shared" si="56"/>
        <v>121.06150933424321</v>
      </c>
      <c r="U41">
        <v>60</v>
      </c>
      <c r="V41">
        <v>259.97044616711986</v>
      </c>
      <c r="W41">
        <f t="shared" si="11"/>
        <v>16858569.910737265</v>
      </c>
      <c r="X41">
        <f t="shared" si="12"/>
        <v>1.6776683934463953E-3</v>
      </c>
    </row>
    <row r="42" spans="4:24" ht="15" thickBot="1" x14ac:dyDescent="0.4">
      <c r="D42" s="19" t="s">
        <v>100</v>
      </c>
      <c r="E42" s="20">
        <v>1</v>
      </c>
      <c r="F42" s="21">
        <v>1193</v>
      </c>
      <c r="G42" s="22">
        <f t="shared" si="49"/>
        <v>124.9306678577541</v>
      </c>
      <c r="H42" s="21">
        <f t="shared" si="1"/>
        <v>1.2290000000000001</v>
      </c>
      <c r="I42" s="22">
        <f t="shared" si="50"/>
        <v>153.53979079717979</v>
      </c>
      <c r="J42" s="23">
        <f t="shared" si="3"/>
        <v>7.5900000000000002E-4</v>
      </c>
      <c r="K42" s="21">
        <f t="shared" si="4"/>
        <v>0.4</v>
      </c>
      <c r="L42" s="24">
        <f t="shared" si="5"/>
        <v>2.351</v>
      </c>
      <c r="M42" s="25">
        <f t="shared" si="51"/>
        <v>7.5429064109122526E-4</v>
      </c>
      <c r="N42" s="26">
        <f t="shared" si="52"/>
        <v>1.490692966583449</v>
      </c>
      <c r="O42" s="135">
        <f t="shared" si="10"/>
        <v>12561011741.498789</v>
      </c>
      <c r="P42" s="22">
        <f t="shared" si="53"/>
        <v>5683.2669350994001</v>
      </c>
      <c r="Q42" s="21">
        <f t="shared" si="54"/>
        <v>4500</v>
      </c>
      <c r="R42" s="27">
        <f t="shared" si="22"/>
        <v>2.8757330691602965</v>
      </c>
      <c r="S42" s="28">
        <f t="shared" si="55"/>
        <v>0.96558775622254767</v>
      </c>
      <c r="T42" s="22">
        <f t="shared" si="56"/>
        <v>120.63152326015314</v>
      </c>
      <c r="U42">
        <v>75</v>
      </c>
      <c r="V42">
        <v>263.41224377745243</v>
      </c>
      <c r="W42">
        <f t="shared" si="11"/>
        <v>20923782.629006423</v>
      </c>
      <c r="X42">
        <f t="shared" si="12"/>
        <v>1.6657720778875558E-3</v>
      </c>
    </row>
    <row r="43" spans="4:24" ht="15" thickBot="1" x14ac:dyDescent="0.4">
      <c r="D43" s="19" t="s">
        <v>100</v>
      </c>
      <c r="E43" s="20">
        <v>1</v>
      </c>
      <c r="F43" s="21">
        <v>1193</v>
      </c>
      <c r="G43" s="22">
        <f t="shared" si="49"/>
        <v>124.9306678577541</v>
      </c>
      <c r="H43" s="21">
        <f t="shared" si="1"/>
        <v>1.2290000000000001</v>
      </c>
      <c r="I43" s="22">
        <f t="shared" si="50"/>
        <v>153.53979079717979</v>
      </c>
      <c r="J43" s="23">
        <f t="shared" si="3"/>
        <v>7.5900000000000002E-4</v>
      </c>
      <c r="K43" s="21">
        <f t="shared" si="4"/>
        <v>0.4</v>
      </c>
      <c r="L43" s="24">
        <f t="shared" si="5"/>
        <v>2.351</v>
      </c>
      <c r="M43" s="25">
        <f t="shared" si="51"/>
        <v>7.5429064109122526E-4</v>
      </c>
      <c r="N43" s="26">
        <f t="shared" si="52"/>
        <v>1.490692966583449</v>
      </c>
      <c r="O43" s="135">
        <f t="shared" si="10"/>
        <v>15073214089.798548</v>
      </c>
      <c r="P43" s="22">
        <f t="shared" si="53"/>
        <v>6819.9203221192802</v>
      </c>
      <c r="Q43" s="21">
        <f t="shared" si="54"/>
        <v>5400</v>
      </c>
      <c r="R43" s="27">
        <f t="shared" si="22"/>
        <v>3.450879682992356</v>
      </c>
      <c r="S43" s="28">
        <f t="shared" si="55"/>
        <v>0.96099869274210425</v>
      </c>
      <c r="T43" s="22">
        <f t="shared" si="56"/>
        <v>120.05820849469971</v>
      </c>
      <c r="U43">
        <v>90</v>
      </c>
      <c r="V43">
        <v>268.00130725789586</v>
      </c>
      <c r="W43">
        <f t="shared" si="11"/>
        <v>24870444.025138438</v>
      </c>
      <c r="X43">
        <f t="shared" si="12"/>
        <v>1.6499761681200158E-3</v>
      </c>
    </row>
    <row r="44" spans="4:24" ht="15" thickBot="1" x14ac:dyDescent="0.4">
      <c r="D44" s="19" t="s">
        <v>100</v>
      </c>
      <c r="E44" s="20">
        <v>1</v>
      </c>
      <c r="F44" s="21">
        <v>1193</v>
      </c>
      <c r="G44" s="22">
        <f t="shared" si="49"/>
        <v>124.9306678577541</v>
      </c>
      <c r="H44" s="21">
        <f t="shared" si="1"/>
        <v>1.2290000000000001</v>
      </c>
      <c r="I44" s="22">
        <f t="shared" si="50"/>
        <v>153.53979079717979</v>
      </c>
      <c r="J44" s="23">
        <f t="shared" si="3"/>
        <v>7.5900000000000002E-4</v>
      </c>
      <c r="K44" s="21">
        <f t="shared" si="4"/>
        <v>0.4</v>
      </c>
      <c r="L44" s="24">
        <f t="shared" si="5"/>
        <v>2.351</v>
      </c>
      <c r="M44" s="25">
        <f t="shared" si="51"/>
        <v>7.5429064109122526E-4</v>
      </c>
      <c r="N44" s="26">
        <f t="shared" si="52"/>
        <v>1.490692966583449</v>
      </c>
      <c r="O44" s="135">
        <f t="shared" si="10"/>
        <v>17585416438.098301</v>
      </c>
      <c r="P44" s="22">
        <f t="shared" si="53"/>
        <v>7956.5737091391593</v>
      </c>
      <c r="Q44" s="21">
        <f t="shared" si="54"/>
        <v>6300</v>
      </c>
      <c r="R44" s="27">
        <f t="shared" si="22"/>
        <v>4.0260262968244147</v>
      </c>
      <c r="S44" s="28">
        <f t="shared" si="55"/>
        <v>0.94562533008261873</v>
      </c>
      <c r="T44" s="22">
        <f t="shared" si="56"/>
        <v>118.13760403043072</v>
      </c>
      <c r="U44">
        <v>105</v>
      </c>
      <c r="V44">
        <v>283.37466991738137</v>
      </c>
      <c r="W44">
        <f t="shared" si="11"/>
        <v>28094604.893149663</v>
      </c>
      <c r="X44">
        <f t="shared" si="12"/>
        <v>1.5976081653820552E-3</v>
      </c>
    </row>
    <row r="45" spans="4:24" ht="15" thickBot="1" x14ac:dyDescent="0.4">
      <c r="D45" s="19" t="s">
        <v>100</v>
      </c>
      <c r="E45" s="20">
        <v>1</v>
      </c>
      <c r="F45" s="21">
        <v>1193</v>
      </c>
      <c r="G45" s="22">
        <f t="shared" si="49"/>
        <v>124.9306678577541</v>
      </c>
      <c r="H45" s="21">
        <f t="shared" si="1"/>
        <v>1.2290000000000001</v>
      </c>
      <c r="I45" s="22">
        <f t="shared" si="50"/>
        <v>153.53979079717979</v>
      </c>
      <c r="J45" s="23">
        <f t="shared" si="3"/>
        <v>7.5900000000000002E-4</v>
      </c>
      <c r="K45" s="21">
        <f t="shared" si="4"/>
        <v>0.4</v>
      </c>
      <c r="L45" s="24">
        <f t="shared" si="5"/>
        <v>2.351</v>
      </c>
      <c r="M45" s="25">
        <f t="shared" si="51"/>
        <v>7.5429064109122526E-4</v>
      </c>
      <c r="N45" s="26">
        <f t="shared" si="52"/>
        <v>1.490692966583449</v>
      </c>
      <c r="O45" s="135">
        <f t="shared" si="10"/>
        <v>22609821134.697815</v>
      </c>
      <c r="P45" s="22">
        <f t="shared" si="53"/>
        <v>10229.880483178918</v>
      </c>
      <c r="Q45" s="21">
        <f t="shared" si="54"/>
        <v>8100</v>
      </c>
      <c r="R45" s="27">
        <f t="shared" si="22"/>
        <v>5.1763195244885329</v>
      </c>
      <c r="S45" s="28">
        <f t="shared" si="55"/>
        <v>0.93575884359966532</v>
      </c>
      <c r="T45" s="22">
        <f t="shared" si="56"/>
        <v>116.90497728470585</v>
      </c>
      <c r="U45">
        <v>135</v>
      </c>
      <c r="V45">
        <v>293.24115640033472</v>
      </c>
      <c r="W45">
        <f t="shared" si="11"/>
        <v>35371793.806110904</v>
      </c>
      <c r="X45">
        <f t="shared" si="12"/>
        <v>1.5644437696071872E-3</v>
      </c>
    </row>
    <row r="46" spans="4:24" ht="15" thickBot="1" x14ac:dyDescent="0.4">
      <c r="D46" s="19" t="s">
        <v>100</v>
      </c>
      <c r="E46" s="20">
        <v>2</v>
      </c>
      <c r="F46" s="21">
        <v>1193</v>
      </c>
      <c r="G46" s="22">
        <f t="shared" si="49"/>
        <v>124.9306678577541</v>
      </c>
      <c r="H46" s="21">
        <f t="shared" si="1"/>
        <v>1.2290000000000001</v>
      </c>
      <c r="I46" s="22">
        <f t="shared" si="50"/>
        <v>153.53979079717979</v>
      </c>
      <c r="J46" s="23">
        <f t="shared" si="3"/>
        <v>7.5900000000000002E-4</v>
      </c>
      <c r="K46" s="21">
        <f t="shared" si="4"/>
        <v>0.4</v>
      </c>
      <c r="L46" s="24">
        <f t="shared" si="5"/>
        <v>2.351</v>
      </c>
      <c r="M46" s="25">
        <f t="shared" si="51"/>
        <v>7.5429064109122526E-4</v>
      </c>
      <c r="N46" s="26">
        <f t="shared" si="52"/>
        <v>1.490692966583449</v>
      </c>
      <c r="O46" s="135">
        <f t="shared" si="10"/>
        <v>2512202348.299758</v>
      </c>
      <c r="P46" s="22">
        <f t="shared" si="53"/>
        <v>1136.65338701988</v>
      </c>
      <c r="Q46" s="21">
        <f t="shared" si="54"/>
        <v>900</v>
      </c>
      <c r="R46" s="27">
        <f t="shared" si="22"/>
        <v>0.57514661383205934</v>
      </c>
      <c r="S46" s="28">
        <f t="shared" si="55"/>
        <v>1.2101454032200001</v>
      </c>
      <c r="T46" s="22">
        <f t="shared" si="56"/>
        <v>151.18427342926574</v>
      </c>
      <c r="U46" s="34">
        <v>15</v>
      </c>
      <c r="V46" s="35">
        <v>18.854596780000001</v>
      </c>
      <c r="W46">
        <f t="shared" si="11"/>
        <v>6572972.3561000377</v>
      </c>
      <c r="X46">
        <f t="shared" si="12"/>
        <v>2.616418363173883E-3</v>
      </c>
    </row>
    <row r="47" spans="4:24" ht="15" thickBot="1" x14ac:dyDescent="0.4">
      <c r="D47" s="19" t="s">
        <v>100</v>
      </c>
      <c r="E47" s="20">
        <v>2</v>
      </c>
      <c r="F47" s="21">
        <v>1193</v>
      </c>
      <c r="G47" s="22">
        <f t="shared" si="49"/>
        <v>124.9306678577541</v>
      </c>
      <c r="H47" s="21">
        <f t="shared" si="1"/>
        <v>1.2290000000000001</v>
      </c>
      <c r="I47" s="22">
        <f t="shared" si="50"/>
        <v>153.53979079717979</v>
      </c>
      <c r="J47" s="23">
        <f t="shared" si="3"/>
        <v>7.5900000000000002E-4</v>
      </c>
      <c r="K47" s="21">
        <f t="shared" si="4"/>
        <v>0.4</v>
      </c>
      <c r="L47" s="24">
        <f t="shared" si="5"/>
        <v>2.351</v>
      </c>
      <c r="M47" s="25">
        <f t="shared" si="51"/>
        <v>7.5429064109122526E-4</v>
      </c>
      <c r="N47" s="26">
        <f t="shared" si="52"/>
        <v>1.490692966583449</v>
      </c>
      <c r="O47" s="135">
        <f t="shared" si="10"/>
        <v>5024404696.5995159</v>
      </c>
      <c r="P47" s="22">
        <f t="shared" si="53"/>
        <v>2273.3067740397601</v>
      </c>
      <c r="Q47" s="21">
        <f t="shared" si="54"/>
        <v>1800</v>
      </c>
      <c r="R47" s="27">
        <f t="shared" si="22"/>
        <v>1.1502932276641187</v>
      </c>
      <c r="S47" s="28">
        <f t="shared" si="55"/>
        <v>1.1243799813000002</v>
      </c>
      <c r="T47" s="22">
        <f t="shared" si="56"/>
        <v>140.46954198969809</v>
      </c>
      <c r="U47" s="22">
        <v>30</v>
      </c>
      <c r="V47" s="29">
        <v>104.6200187</v>
      </c>
      <c r="W47">
        <f t="shared" si="11"/>
        <v>11348615.969417831</v>
      </c>
      <c r="X47">
        <f t="shared" si="12"/>
        <v>2.2586986229629351E-3</v>
      </c>
    </row>
    <row r="48" spans="4:24" ht="15" thickBot="1" x14ac:dyDescent="0.4">
      <c r="D48" s="19" t="s">
        <v>100</v>
      </c>
      <c r="E48" s="20">
        <v>2</v>
      </c>
      <c r="F48" s="21">
        <v>1193</v>
      </c>
      <c r="G48" s="22">
        <f t="shared" si="49"/>
        <v>124.9306678577541</v>
      </c>
      <c r="H48" s="21">
        <f t="shared" si="1"/>
        <v>1.2290000000000001</v>
      </c>
      <c r="I48" s="22">
        <f t="shared" si="50"/>
        <v>153.53979079717979</v>
      </c>
      <c r="J48" s="23">
        <f t="shared" si="3"/>
        <v>7.5900000000000002E-4</v>
      </c>
      <c r="K48" s="21">
        <f t="shared" si="4"/>
        <v>0.4</v>
      </c>
      <c r="L48" s="24">
        <f t="shared" si="5"/>
        <v>2.351</v>
      </c>
      <c r="M48" s="25">
        <f t="shared" si="51"/>
        <v>7.5429064109122526E-4</v>
      </c>
      <c r="N48" s="26">
        <f t="shared" si="52"/>
        <v>1.490692966583449</v>
      </c>
      <c r="O48" s="135">
        <f t="shared" si="10"/>
        <v>7536607044.8992739</v>
      </c>
      <c r="P48" s="22">
        <f t="shared" si="53"/>
        <v>3409.9601610596401</v>
      </c>
      <c r="Q48" s="21">
        <f t="shared" si="54"/>
        <v>2700</v>
      </c>
      <c r="R48" s="27">
        <f t="shared" si="22"/>
        <v>1.725439841496178</v>
      </c>
      <c r="S48" s="28">
        <f t="shared" si="55"/>
        <v>1.0714951366000001</v>
      </c>
      <c r="T48" s="22">
        <f t="shared" si="56"/>
        <v>133.86260302177348</v>
      </c>
      <c r="U48" s="22">
        <v>45</v>
      </c>
      <c r="V48" s="29">
        <v>157.5048634</v>
      </c>
      <c r="W48">
        <f t="shared" si="11"/>
        <v>15459247.773793986</v>
      </c>
      <c r="X48">
        <f t="shared" si="12"/>
        <v>2.0512211505383849E-3</v>
      </c>
    </row>
    <row r="49" spans="4:24" ht="15" thickBot="1" x14ac:dyDescent="0.4">
      <c r="D49" s="19" t="s">
        <v>100</v>
      </c>
      <c r="E49" s="20">
        <v>2</v>
      </c>
      <c r="F49" s="21">
        <v>1193</v>
      </c>
      <c r="G49" s="22">
        <f t="shared" si="49"/>
        <v>124.9306678577541</v>
      </c>
      <c r="H49" s="21">
        <f t="shared" si="1"/>
        <v>1.2290000000000001</v>
      </c>
      <c r="I49" s="22">
        <f t="shared" si="50"/>
        <v>153.53979079717979</v>
      </c>
      <c r="J49" s="23">
        <f t="shared" si="3"/>
        <v>7.5900000000000002E-4</v>
      </c>
      <c r="K49" s="21">
        <f t="shared" si="4"/>
        <v>0.4</v>
      </c>
      <c r="L49" s="24">
        <f t="shared" si="5"/>
        <v>2.351</v>
      </c>
      <c r="M49" s="25">
        <f t="shared" si="51"/>
        <v>7.5429064109122526E-4</v>
      </c>
      <c r="N49" s="26">
        <f t="shared" si="52"/>
        <v>1.490692966583449</v>
      </c>
      <c r="O49" s="135">
        <f t="shared" si="10"/>
        <v>10048809393.199032</v>
      </c>
      <c r="P49" s="22">
        <f t="shared" si="53"/>
        <v>4546.6135480795201</v>
      </c>
      <c r="Q49" s="21">
        <f t="shared" si="54"/>
        <v>3600</v>
      </c>
      <c r="R49" s="27">
        <f t="shared" si="22"/>
        <v>2.3005864553282374</v>
      </c>
      <c r="S49" s="28">
        <f t="shared" si="55"/>
        <v>1.0110224665</v>
      </c>
      <c r="T49" s="22">
        <f t="shared" si="56"/>
        <v>126.30771195903883</v>
      </c>
      <c r="U49" s="22">
        <v>60</v>
      </c>
      <c r="V49" s="29">
        <v>217.97753349999999</v>
      </c>
      <c r="W49">
        <f t="shared" si="11"/>
        <v>18351361.863410998</v>
      </c>
      <c r="X49">
        <f t="shared" si="12"/>
        <v>1.8262225051090212E-3</v>
      </c>
    </row>
    <row r="50" spans="4:24" ht="15" thickBot="1" x14ac:dyDescent="0.4">
      <c r="D50" s="19" t="s">
        <v>100</v>
      </c>
      <c r="E50" s="20">
        <v>2</v>
      </c>
      <c r="F50" s="21">
        <v>1193</v>
      </c>
      <c r="G50" s="22">
        <f t="shared" si="49"/>
        <v>124.9306678577541</v>
      </c>
      <c r="H50" s="21">
        <f t="shared" si="1"/>
        <v>1.2290000000000001</v>
      </c>
      <c r="I50" s="22">
        <f t="shared" si="50"/>
        <v>153.53979079717979</v>
      </c>
      <c r="J50" s="23">
        <f t="shared" si="3"/>
        <v>7.5900000000000002E-4</v>
      </c>
      <c r="K50" s="21">
        <f t="shared" si="4"/>
        <v>0.4</v>
      </c>
      <c r="L50" s="24">
        <f t="shared" si="5"/>
        <v>2.351</v>
      </c>
      <c r="M50" s="25">
        <f t="shared" si="51"/>
        <v>7.5429064109122526E-4</v>
      </c>
      <c r="N50" s="26">
        <f t="shared" si="52"/>
        <v>1.490692966583449</v>
      </c>
      <c r="O50" s="135">
        <f t="shared" si="10"/>
        <v>15073214089.798548</v>
      </c>
      <c r="P50" s="22">
        <f t="shared" si="53"/>
        <v>6819.9203221192802</v>
      </c>
      <c r="Q50" s="21">
        <f t="shared" si="54"/>
        <v>5400</v>
      </c>
      <c r="R50" s="27">
        <f t="shared" si="22"/>
        <v>3.450879682992356</v>
      </c>
      <c r="S50" s="28">
        <f t="shared" si="55"/>
        <v>0.96894452490000005</v>
      </c>
      <c r="T50" s="22">
        <f t="shared" si="56"/>
        <v>121.05088661287125</v>
      </c>
      <c r="U50" s="22">
        <v>90</v>
      </c>
      <c r="V50" s="29">
        <v>260.05547510000002</v>
      </c>
      <c r="W50">
        <f t="shared" si="11"/>
        <v>25283417.220278937</v>
      </c>
      <c r="X50">
        <f t="shared" si="12"/>
        <v>1.6773739873694614E-3</v>
      </c>
    </row>
    <row r="51" spans="4:24" ht="15" thickBot="1" x14ac:dyDescent="0.4">
      <c r="D51" s="19" t="s">
        <v>100</v>
      </c>
      <c r="E51" s="20">
        <v>2</v>
      </c>
      <c r="F51" s="21">
        <v>1193</v>
      </c>
      <c r="G51" s="22">
        <f t="shared" si="49"/>
        <v>124.9306678577541</v>
      </c>
      <c r="H51" s="21">
        <f t="shared" si="1"/>
        <v>1.2290000000000001</v>
      </c>
      <c r="I51" s="22">
        <f t="shared" si="50"/>
        <v>153.53979079717979</v>
      </c>
      <c r="J51" s="23">
        <f t="shared" si="3"/>
        <v>7.5900000000000002E-4</v>
      </c>
      <c r="K51" s="21">
        <f t="shared" si="4"/>
        <v>0.4</v>
      </c>
      <c r="L51" s="24">
        <f t="shared" si="5"/>
        <v>2.351</v>
      </c>
      <c r="M51" s="25">
        <f t="shared" si="51"/>
        <v>7.5429064109122526E-4</v>
      </c>
      <c r="N51" s="26">
        <f t="shared" si="52"/>
        <v>1.490692966583449</v>
      </c>
      <c r="O51" s="135">
        <f t="shared" si="10"/>
        <v>25122023482.997578</v>
      </c>
      <c r="P51" s="22">
        <f t="shared" si="53"/>
        <v>11366.5338701988</v>
      </c>
      <c r="Q51" s="21">
        <f t="shared" si="54"/>
        <v>9000</v>
      </c>
      <c r="R51" s="27">
        <f t="shared" si="22"/>
        <v>5.7514661383205929</v>
      </c>
      <c r="S51" s="28">
        <f t="shared" si="55"/>
        <v>0.95422874200000019</v>
      </c>
      <c r="T51" s="22">
        <f t="shared" si="56"/>
        <v>119.21243402712456</v>
      </c>
      <c r="U51" s="31">
        <v>150</v>
      </c>
      <c r="V51" s="29">
        <v>274.77125799999999</v>
      </c>
      <c r="W51">
        <f t="shared" si="11"/>
        <v>40868780.815604158</v>
      </c>
      <c r="X51">
        <f t="shared" si="12"/>
        <v>1.6268108674949646E-3</v>
      </c>
    </row>
    <row r="52" spans="4:24" ht="15" thickBot="1" x14ac:dyDescent="0.4">
      <c r="D52" s="19" t="s">
        <v>100</v>
      </c>
      <c r="E52" s="20">
        <v>3</v>
      </c>
      <c r="F52" s="21">
        <v>1193</v>
      </c>
      <c r="G52" s="22">
        <f t="shared" si="49"/>
        <v>124.9306678577541</v>
      </c>
      <c r="H52" s="21">
        <f t="shared" si="1"/>
        <v>1.2290000000000001</v>
      </c>
      <c r="I52" s="22">
        <f t="shared" si="50"/>
        <v>153.53979079717979</v>
      </c>
      <c r="J52" s="23">
        <f t="shared" si="3"/>
        <v>7.5900000000000002E-4</v>
      </c>
      <c r="K52" s="21">
        <f t="shared" si="4"/>
        <v>0.4</v>
      </c>
      <c r="L52" s="24">
        <f t="shared" si="5"/>
        <v>2.351</v>
      </c>
      <c r="M52" s="25">
        <f t="shared" si="51"/>
        <v>7.5429064109122526E-4</v>
      </c>
      <c r="N52" s="26">
        <f t="shared" si="52"/>
        <v>1.490692966583449</v>
      </c>
      <c r="O52" s="135">
        <f t="shared" si="10"/>
        <v>5024404696.5995159</v>
      </c>
      <c r="P52" s="22">
        <f t="shared" si="53"/>
        <v>2273.3067740397601</v>
      </c>
      <c r="Q52" s="21">
        <f t="shared" si="54"/>
        <v>1800</v>
      </c>
      <c r="R52" s="27">
        <f t="shared" si="22"/>
        <v>1.1502932276641187</v>
      </c>
      <c r="S52" s="28">
        <f t="shared" si="55"/>
        <v>1.1063437304000001</v>
      </c>
      <c r="T52" s="22">
        <f t="shared" si="56"/>
        <v>138.21626111911107</v>
      </c>
      <c r="U52" s="31">
        <v>30</v>
      </c>
      <c r="V52" s="29">
        <v>122.6562696</v>
      </c>
      <c r="W52">
        <f t="shared" si="11"/>
        <v>10987448.403475326</v>
      </c>
      <c r="X52">
        <f t="shared" si="12"/>
        <v>2.1868159646677263E-3</v>
      </c>
    </row>
    <row r="53" spans="4:24" ht="15" thickBot="1" x14ac:dyDescent="0.4">
      <c r="D53" s="19" t="s">
        <v>100</v>
      </c>
      <c r="E53" s="20">
        <v>3</v>
      </c>
      <c r="F53" s="21">
        <v>1193</v>
      </c>
      <c r="G53" s="22">
        <f t="shared" si="49"/>
        <v>124.9306678577541</v>
      </c>
      <c r="H53" s="21">
        <f t="shared" si="1"/>
        <v>1.2290000000000001</v>
      </c>
      <c r="I53" s="22">
        <f t="shared" si="50"/>
        <v>153.53979079717979</v>
      </c>
      <c r="J53" s="23">
        <f t="shared" si="3"/>
        <v>7.5900000000000002E-4</v>
      </c>
      <c r="K53" s="21">
        <f t="shared" si="4"/>
        <v>0.4</v>
      </c>
      <c r="L53" s="24">
        <f t="shared" si="5"/>
        <v>2.351</v>
      </c>
      <c r="M53" s="25">
        <f t="shared" si="51"/>
        <v>7.5429064109122526E-4</v>
      </c>
      <c r="N53" s="26">
        <f t="shared" si="52"/>
        <v>1.490692966583449</v>
      </c>
      <c r="O53" s="135">
        <f t="shared" si="10"/>
        <v>7536607044.8992739</v>
      </c>
      <c r="P53" s="22">
        <f t="shared" si="53"/>
        <v>3409.9601610596401</v>
      </c>
      <c r="Q53" s="21">
        <f t="shared" si="54"/>
        <v>2700</v>
      </c>
      <c r="R53" s="27">
        <f t="shared" si="22"/>
        <v>1.725439841496178</v>
      </c>
      <c r="S53" s="28">
        <f t="shared" si="55"/>
        <v>1.0404217278000001</v>
      </c>
      <c r="T53" s="22">
        <f t="shared" si="56"/>
        <v>129.98058130777247</v>
      </c>
      <c r="U53" s="31">
        <v>45</v>
      </c>
      <c r="V53" s="29">
        <v>188.57827219999999</v>
      </c>
      <c r="W53">
        <f t="shared" si="11"/>
        <v>14575611.233880883</v>
      </c>
      <c r="X53">
        <f t="shared" si="12"/>
        <v>1.9339752155110117E-3</v>
      </c>
    </row>
    <row r="54" spans="4:24" ht="15" thickBot="1" x14ac:dyDescent="0.4">
      <c r="D54" s="19" t="s">
        <v>100</v>
      </c>
      <c r="E54" s="20">
        <v>3</v>
      </c>
      <c r="F54" s="21">
        <v>1193</v>
      </c>
      <c r="G54" s="22">
        <f t="shared" si="49"/>
        <v>124.9306678577541</v>
      </c>
      <c r="H54" s="21">
        <f t="shared" si="1"/>
        <v>1.2290000000000001</v>
      </c>
      <c r="I54" s="22">
        <f t="shared" si="50"/>
        <v>153.53979079717979</v>
      </c>
      <c r="J54" s="23">
        <f t="shared" si="3"/>
        <v>7.5900000000000002E-4</v>
      </c>
      <c r="K54" s="21">
        <f t="shared" si="4"/>
        <v>0.4</v>
      </c>
      <c r="L54" s="24">
        <f t="shared" si="5"/>
        <v>2.351</v>
      </c>
      <c r="M54" s="25">
        <f t="shared" si="51"/>
        <v>7.5429064109122526E-4</v>
      </c>
      <c r="N54" s="26">
        <f t="shared" si="52"/>
        <v>1.490692966583449</v>
      </c>
      <c r="O54" s="135">
        <f t="shared" si="10"/>
        <v>10048809393.199032</v>
      </c>
      <c r="P54" s="22">
        <f t="shared" si="53"/>
        <v>4546.6135480795201</v>
      </c>
      <c r="Q54" s="21">
        <f t="shared" si="54"/>
        <v>3600</v>
      </c>
      <c r="R54" s="27">
        <f t="shared" si="22"/>
        <v>2.3005864553282374</v>
      </c>
      <c r="S54" s="28">
        <f t="shared" si="55"/>
        <v>1.0186008558000001</v>
      </c>
      <c r="T54" s="22">
        <f t="shared" si="56"/>
        <v>127.25448519557391</v>
      </c>
      <c r="U54" s="30">
        <v>60</v>
      </c>
      <c r="V54" s="29">
        <v>210.39914419999999</v>
      </c>
      <c r="W54">
        <f t="shared" si="11"/>
        <v>18627508.044747166</v>
      </c>
      <c r="X54">
        <f t="shared" si="12"/>
        <v>1.8537029926504669E-3</v>
      </c>
    </row>
    <row r="55" spans="4:24" ht="15" thickBot="1" x14ac:dyDescent="0.4">
      <c r="D55" s="19" t="s">
        <v>100</v>
      </c>
      <c r="E55" s="20">
        <v>3</v>
      </c>
      <c r="F55" s="21">
        <v>1193</v>
      </c>
      <c r="G55" s="22">
        <f t="shared" si="49"/>
        <v>124.9306678577541</v>
      </c>
      <c r="H55" s="21">
        <f t="shared" si="1"/>
        <v>1.2290000000000001</v>
      </c>
      <c r="I55" s="22">
        <f t="shared" si="50"/>
        <v>153.53979079717979</v>
      </c>
      <c r="J55" s="23">
        <f t="shared" si="3"/>
        <v>7.5900000000000002E-4</v>
      </c>
      <c r="K55" s="21">
        <f t="shared" si="4"/>
        <v>0.4</v>
      </c>
      <c r="L55" s="24">
        <f t="shared" si="5"/>
        <v>2.351</v>
      </c>
      <c r="M55" s="25">
        <f t="shared" si="51"/>
        <v>7.5429064109122526E-4</v>
      </c>
      <c r="N55" s="26">
        <f t="shared" si="52"/>
        <v>1.490692966583449</v>
      </c>
      <c r="O55" s="135">
        <f t="shared" si="10"/>
        <v>15073214089.798548</v>
      </c>
      <c r="P55" s="22">
        <f t="shared" si="53"/>
        <v>6819.9203221192802</v>
      </c>
      <c r="Q55" s="21">
        <f t="shared" si="54"/>
        <v>5400</v>
      </c>
      <c r="R55" s="27">
        <f t="shared" si="22"/>
        <v>3.450879682992356</v>
      </c>
      <c r="S55" s="28">
        <f t="shared" si="55"/>
        <v>0.9999956913000001</v>
      </c>
      <c r="T55" s="22">
        <f t="shared" si="56"/>
        <v>124.93012956898552</v>
      </c>
      <c r="U55" s="31">
        <v>90</v>
      </c>
      <c r="V55" s="29">
        <v>229.0043087</v>
      </c>
      <c r="W55">
        <f t="shared" si="11"/>
        <v>26929866.640409358</v>
      </c>
      <c r="X55">
        <f t="shared" si="12"/>
        <v>1.7866041363159113E-3</v>
      </c>
    </row>
    <row r="56" spans="4:24" ht="15" thickBot="1" x14ac:dyDescent="0.4">
      <c r="D56" s="19" t="s">
        <v>100</v>
      </c>
      <c r="E56" s="20">
        <v>3</v>
      </c>
      <c r="F56" s="21">
        <v>1193</v>
      </c>
      <c r="G56" s="22">
        <f t="shared" si="49"/>
        <v>124.9306678577541</v>
      </c>
      <c r="H56" s="21">
        <f t="shared" si="1"/>
        <v>1.2290000000000001</v>
      </c>
      <c r="I56" s="22">
        <f t="shared" si="50"/>
        <v>153.53979079717979</v>
      </c>
      <c r="J56" s="23">
        <f t="shared" si="3"/>
        <v>7.5900000000000002E-4</v>
      </c>
      <c r="K56" s="21">
        <f t="shared" si="4"/>
        <v>0.4</v>
      </c>
      <c r="L56" s="24">
        <f t="shared" si="5"/>
        <v>2.351</v>
      </c>
      <c r="M56" s="25">
        <f t="shared" si="51"/>
        <v>7.5429064109122526E-4</v>
      </c>
      <c r="N56" s="26">
        <f t="shared" si="52"/>
        <v>1.490692966583449</v>
      </c>
      <c r="O56" s="135">
        <f t="shared" si="10"/>
        <v>20097618786.398064</v>
      </c>
      <c r="P56" s="22">
        <f t="shared" si="53"/>
        <v>9093.2270961590402</v>
      </c>
      <c r="Q56" s="21">
        <f t="shared" si="54"/>
        <v>7200</v>
      </c>
      <c r="R56" s="27">
        <f t="shared" si="22"/>
        <v>4.6011729106564747</v>
      </c>
      <c r="S56" s="28">
        <f t="shared" si="55"/>
        <v>0.97610757890000011</v>
      </c>
      <c r="T56" s="22">
        <f t="shared" si="56"/>
        <v>121.94577173299243</v>
      </c>
      <c r="U56" s="30">
        <v>120</v>
      </c>
      <c r="V56" s="29">
        <v>252.89242110000001</v>
      </c>
      <c r="W56">
        <f t="shared" si="11"/>
        <v>34211494.903207496</v>
      </c>
      <c r="X56">
        <f t="shared" si="12"/>
        <v>1.7022660876800794E-3</v>
      </c>
    </row>
    <row r="57" spans="4:24" ht="15" thickBot="1" x14ac:dyDescent="0.4">
      <c r="D57" s="19" t="s">
        <v>100</v>
      </c>
      <c r="E57" s="20">
        <v>3</v>
      </c>
      <c r="F57" s="21">
        <v>1193</v>
      </c>
      <c r="G57" s="22">
        <f t="shared" si="49"/>
        <v>124.9306678577541</v>
      </c>
      <c r="H57" s="21">
        <f t="shared" si="1"/>
        <v>1.2290000000000001</v>
      </c>
      <c r="I57" s="22">
        <f t="shared" si="50"/>
        <v>153.53979079717979</v>
      </c>
      <c r="J57" s="23">
        <f t="shared" si="3"/>
        <v>7.5900000000000002E-4</v>
      </c>
      <c r="K57" s="21">
        <f t="shared" si="4"/>
        <v>0.4</v>
      </c>
      <c r="L57" s="24">
        <f t="shared" si="5"/>
        <v>2.351</v>
      </c>
      <c r="M57" s="25">
        <f t="shared" si="51"/>
        <v>7.5429064109122526E-4</v>
      </c>
      <c r="N57" s="26">
        <f t="shared" si="52"/>
        <v>1.490692966583449</v>
      </c>
      <c r="O57" s="135">
        <f t="shared" si="10"/>
        <v>22609821134.697815</v>
      </c>
      <c r="P57" s="22">
        <f t="shared" si="53"/>
        <v>10229.880483178918</v>
      </c>
      <c r="Q57" s="21">
        <f t="shared" si="54"/>
        <v>8100</v>
      </c>
      <c r="R57" s="27">
        <f t="shared" si="22"/>
        <v>5.1763195244885329</v>
      </c>
      <c r="S57" s="28">
        <f t="shared" si="55"/>
        <v>0.96508229620000008</v>
      </c>
      <c r="T57" s="22">
        <f t="shared" si="56"/>
        <v>120.56837580196087</v>
      </c>
      <c r="U57" s="31">
        <v>135</v>
      </c>
      <c r="V57" s="29">
        <v>263.91770380000003</v>
      </c>
      <c r="W57">
        <f t="shared" si="11"/>
        <v>37623388.055364452</v>
      </c>
      <c r="X57">
        <f t="shared" si="12"/>
        <v>1.6640285578211097E-3</v>
      </c>
    </row>
    <row r="58" spans="4:24" ht="15" thickBot="1" x14ac:dyDescent="0.4">
      <c r="D58" s="19"/>
      <c r="E58" s="20"/>
      <c r="F58" s="21"/>
      <c r="G58" s="22"/>
      <c r="H58" s="21"/>
      <c r="I58" s="22"/>
      <c r="J58" s="23"/>
      <c r="K58" s="21"/>
      <c r="L58" s="24"/>
      <c r="M58" s="25"/>
      <c r="N58" s="26"/>
      <c r="O58" s="26"/>
      <c r="P58" s="22"/>
      <c r="Q58" s="21"/>
      <c r="R58" s="27"/>
      <c r="S58" s="28"/>
      <c r="T58" s="22"/>
      <c r="U58" s="30"/>
      <c r="V58" s="29"/>
    </row>
    <row r="59" spans="4:24" ht="15" thickBot="1" x14ac:dyDescent="0.4">
      <c r="D59" s="19"/>
      <c r="E59" s="20"/>
      <c r="F59" s="21"/>
      <c r="G59" s="22"/>
      <c r="H59" s="21"/>
      <c r="I59" s="22"/>
      <c r="J59" s="23"/>
      <c r="K59" s="21"/>
      <c r="L59" s="24"/>
      <c r="M59" s="25"/>
      <c r="N59" s="26"/>
      <c r="O59" s="26"/>
      <c r="P59" s="22"/>
      <c r="Q59" s="21"/>
      <c r="R59" s="27"/>
      <c r="S59" s="28"/>
      <c r="T59" s="22"/>
      <c r="U59" s="30"/>
      <c r="V59" s="29"/>
    </row>
    <row r="60" spans="4:24" ht="15" thickBot="1" x14ac:dyDescent="0.4">
      <c r="D60" s="19"/>
      <c r="E60" s="20"/>
      <c r="F60" s="21"/>
      <c r="G60" s="22"/>
      <c r="H60" s="21"/>
      <c r="I60" s="22"/>
      <c r="J60" s="23"/>
      <c r="K60" s="21"/>
      <c r="L60" s="24"/>
      <c r="M60" s="25"/>
      <c r="N60" s="26"/>
      <c r="O60" s="26"/>
      <c r="P60" s="22"/>
      <c r="Q60" s="21"/>
      <c r="R60" s="27"/>
      <c r="S60" s="28"/>
      <c r="T60" s="22"/>
      <c r="U60" s="31"/>
      <c r="V60" s="29"/>
    </row>
    <row r="61" spans="4:24" ht="15" thickBot="1" x14ac:dyDescent="0.4">
      <c r="D61" s="19"/>
      <c r="E61" s="20"/>
      <c r="F61" s="21"/>
      <c r="G61" s="22"/>
      <c r="H61" s="21"/>
      <c r="I61" s="22"/>
      <c r="J61" s="23"/>
      <c r="K61" s="21"/>
      <c r="L61" s="24"/>
      <c r="M61" s="25"/>
      <c r="N61" s="26"/>
      <c r="O61" s="26"/>
      <c r="P61" s="22"/>
      <c r="Q61" s="21"/>
      <c r="R61" s="27"/>
      <c r="S61" s="28"/>
      <c r="T61" s="22"/>
      <c r="U61" s="30"/>
      <c r="V61" s="35"/>
    </row>
    <row r="62" spans="4:24" ht="15" thickBot="1" x14ac:dyDescent="0.4">
      <c r="D62" s="19"/>
      <c r="E62" s="20"/>
      <c r="F62" s="21"/>
      <c r="G62" s="22"/>
      <c r="H62" s="21"/>
      <c r="I62" s="22"/>
      <c r="J62" s="23"/>
      <c r="K62" s="21"/>
      <c r="L62" s="24"/>
      <c r="M62" s="25"/>
      <c r="N62" s="26"/>
      <c r="O62" s="26"/>
      <c r="P62" s="22"/>
      <c r="Q62" s="21"/>
      <c r="R62" s="27"/>
      <c r="S62" s="28"/>
      <c r="T62" s="22"/>
      <c r="U62" s="30"/>
      <c r="V62" s="29"/>
    </row>
    <row r="63" spans="4:24" ht="15" thickBot="1" x14ac:dyDescent="0.4">
      <c r="D63" s="19"/>
      <c r="E63" s="20"/>
      <c r="F63" s="21"/>
      <c r="G63" s="22"/>
      <c r="H63" s="21"/>
      <c r="I63" s="22"/>
      <c r="J63" s="23"/>
      <c r="K63" s="21"/>
      <c r="L63" s="24"/>
      <c r="M63" s="25"/>
      <c r="N63" s="26"/>
      <c r="O63" s="26"/>
      <c r="P63" s="22"/>
      <c r="Q63" s="21"/>
      <c r="R63" s="27"/>
      <c r="S63" s="28"/>
      <c r="T63" s="22"/>
      <c r="U63" s="30"/>
      <c r="V63" s="29"/>
    </row>
    <row r="64" spans="4:24" ht="15" thickBot="1" x14ac:dyDescent="0.4">
      <c r="D64" s="19"/>
      <c r="E64" s="20"/>
      <c r="F64" s="21"/>
      <c r="G64" s="22"/>
      <c r="H64" s="21"/>
      <c r="I64" s="22"/>
      <c r="J64" s="23"/>
      <c r="K64" s="21"/>
      <c r="L64" s="24"/>
      <c r="M64" s="25"/>
      <c r="N64" s="26"/>
      <c r="O64" s="26"/>
      <c r="P64" s="22"/>
      <c r="Q64" s="21"/>
      <c r="R64" s="27"/>
      <c r="S64" s="28"/>
      <c r="T64" s="22"/>
      <c r="U64" s="31"/>
      <c r="V64" s="29"/>
    </row>
    <row r="65" spans="4:22" ht="15" thickBot="1" x14ac:dyDescent="0.4">
      <c r="D65" s="19"/>
      <c r="E65" s="20"/>
      <c r="F65" s="21"/>
      <c r="G65" s="22"/>
      <c r="H65" s="21"/>
      <c r="I65" s="22"/>
      <c r="J65" s="23"/>
      <c r="K65" s="21"/>
      <c r="L65" s="24"/>
      <c r="M65" s="25"/>
      <c r="N65" s="26"/>
      <c r="O65" s="26"/>
      <c r="P65" s="22"/>
      <c r="Q65" s="21"/>
      <c r="R65" s="27"/>
      <c r="S65" s="28"/>
      <c r="T65" s="22"/>
      <c r="U65" s="31"/>
      <c r="V65" s="29"/>
    </row>
    <row r="66" spans="4:22" ht="15" thickBot="1" x14ac:dyDescent="0.4">
      <c r="D66" s="19"/>
      <c r="E66" s="20"/>
      <c r="F66" s="21"/>
      <c r="G66" s="22"/>
      <c r="H66" s="21"/>
      <c r="I66" s="22"/>
      <c r="J66" s="23"/>
      <c r="K66" s="21"/>
      <c r="L66" s="24"/>
      <c r="M66" s="25"/>
      <c r="N66" s="26"/>
      <c r="O66" s="26"/>
      <c r="P66" s="22"/>
      <c r="Q66" s="21"/>
      <c r="R66" s="27"/>
      <c r="S66" s="28"/>
      <c r="T66" s="22"/>
      <c r="U66" s="33"/>
      <c r="V66" s="29"/>
    </row>
    <row r="67" spans="4:22" ht="15" thickBot="1" x14ac:dyDescent="0.4">
      <c r="D67" s="19"/>
      <c r="E67" s="20"/>
      <c r="F67" s="21"/>
      <c r="G67" s="22"/>
      <c r="H67" s="21"/>
      <c r="I67" s="22"/>
      <c r="J67" s="23"/>
      <c r="K67" s="21"/>
      <c r="L67" s="24"/>
      <c r="M67" s="25"/>
      <c r="N67" s="26"/>
      <c r="O67" s="26"/>
      <c r="P67" s="22"/>
      <c r="Q67" s="21"/>
      <c r="R67" s="27"/>
      <c r="S67" s="28"/>
      <c r="T67" s="22"/>
      <c r="U67" s="33"/>
      <c r="V67" s="29"/>
    </row>
    <row r="68" spans="4:22" ht="15" thickBot="1" x14ac:dyDescent="0.4">
      <c r="D68" s="19"/>
      <c r="E68" s="20"/>
      <c r="F68" s="21"/>
      <c r="G68" s="22"/>
      <c r="H68" s="21"/>
      <c r="I68" s="22"/>
      <c r="J68" s="23"/>
      <c r="K68" s="21"/>
      <c r="L68" s="24"/>
      <c r="M68" s="25"/>
      <c r="N68" s="26"/>
      <c r="O68" s="26"/>
      <c r="P68" s="22"/>
      <c r="Q68" s="21"/>
      <c r="R68" s="27"/>
      <c r="S68" s="28"/>
      <c r="T68" s="22"/>
      <c r="U68" s="32"/>
      <c r="V68" s="29"/>
    </row>
    <row r="69" spans="4:22" ht="15" thickBot="1" x14ac:dyDescent="0.4">
      <c r="D69" s="19"/>
      <c r="E69" s="20"/>
      <c r="F69" s="21"/>
      <c r="G69" s="22"/>
      <c r="H69" s="21"/>
      <c r="I69" s="22"/>
      <c r="J69" s="23"/>
      <c r="K69" s="21"/>
      <c r="L69" s="24"/>
      <c r="M69" s="25"/>
      <c r="N69" s="26"/>
      <c r="O69" s="26"/>
      <c r="P69" s="22"/>
      <c r="Q69" s="21"/>
      <c r="R69" s="27"/>
      <c r="S69" s="28"/>
      <c r="T69" s="22"/>
      <c r="U69" s="33"/>
      <c r="V69" s="29"/>
    </row>
    <row r="70" spans="4:22" ht="15" thickBot="1" x14ac:dyDescent="0.4">
      <c r="D70" s="19"/>
      <c r="E70" s="20"/>
      <c r="F70" s="21"/>
      <c r="G70" s="22"/>
      <c r="H70" s="21"/>
      <c r="I70" s="22"/>
      <c r="J70" s="23"/>
      <c r="K70" s="21"/>
      <c r="L70" s="24"/>
      <c r="M70" s="25"/>
      <c r="N70" s="26"/>
      <c r="O70" s="26"/>
      <c r="P70" s="22"/>
      <c r="Q70" s="21"/>
      <c r="R70" s="27"/>
      <c r="S70" s="28"/>
      <c r="T70" s="22"/>
      <c r="U70" s="33"/>
      <c r="V70" s="29"/>
    </row>
    <row r="71" spans="4:22" ht="15" thickBot="1" x14ac:dyDescent="0.4">
      <c r="D71" s="19"/>
      <c r="E71" s="20"/>
      <c r="F71" s="21"/>
      <c r="G71" s="22"/>
      <c r="H71" s="21"/>
      <c r="I71" s="22"/>
      <c r="J71" s="23"/>
      <c r="K71" s="21"/>
      <c r="L71" s="24"/>
      <c r="M71" s="25"/>
      <c r="N71" s="26"/>
      <c r="O71" s="26"/>
      <c r="P71" s="22"/>
      <c r="Q71" s="21"/>
      <c r="R71" s="27"/>
      <c r="S71" s="28"/>
      <c r="T71" s="22"/>
      <c r="U71" s="32"/>
      <c r="V71" s="29"/>
    </row>
    <row r="72" spans="4:22" ht="15" thickBot="1" x14ac:dyDescent="0.4">
      <c r="D72" s="19"/>
      <c r="E72" s="20"/>
      <c r="F72" s="21"/>
      <c r="G72" s="22"/>
      <c r="H72" s="21"/>
      <c r="I72" s="22"/>
      <c r="J72" s="23"/>
      <c r="K72" s="21"/>
      <c r="L72" s="24"/>
      <c r="M72" s="25"/>
      <c r="N72" s="26"/>
      <c r="O72" s="26"/>
      <c r="P72" s="22"/>
      <c r="Q72" s="21"/>
      <c r="R72" s="27"/>
      <c r="S72" s="28"/>
      <c r="T72" s="22"/>
      <c r="U72" s="33"/>
      <c r="V72" s="29"/>
    </row>
    <row r="73" spans="4:22" ht="15" thickBot="1" x14ac:dyDescent="0.4">
      <c r="D73" s="19"/>
      <c r="E73" s="20"/>
      <c r="F73" s="21"/>
      <c r="G73" s="22"/>
      <c r="H73" s="21"/>
      <c r="I73" s="22"/>
      <c r="J73" s="23"/>
      <c r="K73" s="21"/>
      <c r="L73" s="24"/>
      <c r="M73" s="25"/>
      <c r="N73" s="26"/>
      <c r="O73" s="26"/>
      <c r="P73" s="22"/>
      <c r="Q73" s="21"/>
      <c r="R73" s="27"/>
      <c r="S73" s="28"/>
      <c r="T73" s="22"/>
      <c r="U73" s="33"/>
      <c r="V73" s="29"/>
    </row>
    <row r="74" spans="4:22" ht="15" thickBot="1" x14ac:dyDescent="0.4">
      <c r="D74" s="19"/>
      <c r="E74" s="20"/>
      <c r="F74" s="21"/>
      <c r="G74" s="22"/>
      <c r="H74" s="21"/>
      <c r="I74" s="22"/>
      <c r="J74" s="23"/>
      <c r="K74" s="21"/>
      <c r="L74" s="24"/>
      <c r="M74" s="25"/>
      <c r="N74" s="26"/>
      <c r="O74" s="26"/>
      <c r="P74" s="22"/>
      <c r="Q74" s="21"/>
      <c r="R74" s="27"/>
      <c r="S74" s="28"/>
      <c r="T74" s="22"/>
      <c r="U74" s="33"/>
      <c r="V74" s="29"/>
    </row>
    <row r="75" spans="4:22" ht="15" thickBot="1" x14ac:dyDescent="0.4">
      <c r="D75" s="19"/>
      <c r="E75" s="20"/>
      <c r="F75" s="21"/>
      <c r="G75" s="22"/>
      <c r="H75" s="21"/>
      <c r="I75" s="22"/>
      <c r="J75" s="23"/>
      <c r="K75" s="21"/>
      <c r="L75" s="24"/>
      <c r="M75" s="25"/>
      <c r="N75" s="26"/>
      <c r="O75" s="26"/>
      <c r="P75" s="22"/>
      <c r="Q75" s="21"/>
      <c r="R75" s="27"/>
      <c r="S75" s="28"/>
      <c r="T75" s="22"/>
      <c r="U75" s="33"/>
      <c r="V75" s="29"/>
    </row>
    <row r="76" spans="4:22" ht="15" thickBot="1" x14ac:dyDescent="0.4">
      <c r="D76" s="19"/>
      <c r="E76" s="20"/>
      <c r="F76" s="21"/>
      <c r="G76" s="22"/>
      <c r="H76" s="21"/>
      <c r="I76" s="22"/>
      <c r="J76" s="23"/>
      <c r="K76" s="21"/>
      <c r="L76" s="24"/>
      <c r="M76" s="25"/>
      <c r="N76" s="26"/>
      <c r="O76" s="26"/>
      <c r="P76" s="22"/>
      <c r="Q76" s="21"/>
      <c r="R76" s="27"/>
      <c r="S76" s="28"/>
      <c r="T76" s="22"/>
      <c r="U76" s="33"/>
      <c r="V76" s="29"/>
    </row>
    <row r="77" spans="4:22" ht="15" thickBot="1" x14ac:dyDescent="0.4">
      <c r="D77" s="19"/>
      <c r="E77" s="20"/>
      <c r="F77" s="21"/>
      <c r="G77" s="22"/>
      <c r="H77" s="21"/>
      <c r="I77" s="22"/>
      <c r="J77" s="23"/>
      <c r="K77" s="21"/>
      <c r="L77" s="24"/>
      <c r="M77" s="25"/>
      <c r="N77" s="26"/>
      <c r="O77" s="26"/>
      <c r="P77" s="22"/>
      <c r="Q77" s="21"/>
      <c r="R77" s="27"/>
      <c r="S77" s="28"/>
      <c r="T77" s="22"/>
      <c r="U77" s="33"/>
      <c r="V77" s="35"/>
    </row>
    <row r="78" spans="4:22" ht="15" thickBot="1" x14ac:dyDescent="0.4">
      <c r="D78" s="19"/>
      <c r="E78" s="20"/>
      <c r="F78" s="21"/>
      <c r="G78" s="22"/>
      <c r="H78" s="21"/>
      <c r="I78" s="22"/>
      <c r="J78" s="23"/>
      <c r="K78" s="21"/>
      <c r="L78" s="24"/>
      <c r="M78" s="25"/>
      <c r="N78" s="26"/>
      <c r="O78" s="26"/>
      <c r="P78" s="22"/>
      <c r="Q78" s="21"/>
      <c r="R78" s="27"/>
      <c r="S78" s="28"/>
      <c r="T78" s="22"/>
      <c r="U78" s="32"/>
      <c r="V78" s="29"/>
    </row>
    <row r="79" spans="4:22" ht="15" thickBot="1" x14ac:dyDescent="0.4">
      <c r="D79" s="19"/>
      <c r="E79" s="20"/>
      <c r="F79" s="21"/>
      <c r="G79" s="22"/>
      <c r="H79" s="21"/>
      <c r="I79" s="22"/>
      <c r="J79" s="23"/>
      <c r="K79" s="21"/>
      <c r="L79" s="24"/>
      <c r="M79" s="25"/>
      <c r="N79" s="26"/>
      <c r="O79" s="26"/>
      <c r="P79" s="22"/>
      <c r="Q79" s="21"/>
      <c r="R79" s="27"/>
      <c r="S79" s="28"/>
      <c r="T79" s="22"/>
      <c r="U79" s="32"/>
      <c r="V79" s="35"/>
    </row>
    <row r="80" spans="4:22" ht="15" thickBot="1" x14ac:dyDescent="0.4">
      <c r="D80" s="19"/>
      <c r="E80" s="20"/>
      <c r="F80" s="21"/>
      <c r="G80" s="22"/>
      <c r="H80" s="21"/>
      <c r="I80" s="22"/>
      <c r="J80" s="23"/>
      <c r="K80" s="21"/>
      <c r="L80" s="24"/>
      <c r="M80" s="25"/>
      <c r="N80" s="26"/>
      <c r="O80" s="26"/>
      <c r="P80" s="22"/>
      <c r="Q80" s="21"/>
      <c r="R80" s="27"/>
      <c r="S80" s="28"/>
      <c r="T80" s="22"/>
      <c r="U80" s="33"/>
      <c r="V80" s="29"/>
    </row>
    <row r="81" spans="4:22" ht="15" thickBot="1" x14ac:dyDescent="0.4">
      <c r="D81" s="19"/>
      <c r="E81" s="20"/>
      <c r="F81" s="21"/>
      <c r="G81" s="22"/>
      <c r="H81" s="21"/>
      <c r="I81" s="22"/>
      <c r="J81" s="23"/>
      <c r="K81" s="21"/>
      <c r="L81" s="24"/>
      <c r="M81" s="25"/>
      <c r="N81" s="26"/>
      <c r="O81" s="26"/>
      <c r="P81" s="22"/>
      <c r="Q81" s="21"/>
      <c r="R81" s="27"/>
      <c r="S81" s="28"/>
      <c r="T81" s="22"/>
      <c r="U81" s="33"/>
      <c r="V81" s="29"/>
    </row>
    <row r="82" spans="4:22" ht="15" thickBot="1" x14ac:dyDescent="0.4">
      <c r="D82" s="19"/>
      <c r="E82" s="20"/>
      <c r="F82" s="21"/>
      <c r="G82" s="22"/>
      <c r="H82" s="21"/>
      <c r="I82" s="22"/>
      <c r="J82" s="23"/>
      <c r="K82" s="21"/>
      <c r="L82" s="24"/>
      <c r="M82" s="25"/>
      <c r="N82" s="26"/>
      <c r="O82" s="26"/>
      <c r="P82" s="22"/>
      <c r="Q82" s="21"/>
      <c r="R82" s="27"/>
      <c r="S82" s="28"/>
      <c r="T82" s="22"/>
      <c r="U82" s="32"/>
      <c r="V82" s="35"/>
    </row>
    <row r="83" spans="4:22" ht="15" thickBot="1" x14ac:dyDescent="0.4">
      <c r="D83" s="19"/>
      <c r="E83" s="20"/>
      <c r="F83" s="21"/>
      <c r="G83" s="22"/>
      <c r="H83" s="21"/>
      <c r="I83" s="22"/>
      <c r="J83" s="23"/>
      <c r="K83" s="21"/>
      <c r="L83" s="24"/>
      <c r="M83" s="25"/>
      <c r="N83" s="26"/>
      <c r="O83" s="26"/>
      <c r="P83" s="22"/>
      <c r="Q83" s="21"/>
      <c r="R83" s="27"/>
      <c r="S83" s="28"/>
      <c r="T83" s="22"/>
      <c r="U83" s="33"/>
      <c r="V83" s="35"/>
    </row>
    <row r="84" spans="4:22" ht="15" thickBot="1" x14ac:dyDescent="0.4">
      <c r="D84" s="19"/>
      <c r="E84" s="20"/>
      <c r="F84" s="21"/>
      <c r="G84" s="22"/>
      <c r="H84" s="21"/>
      <c r="I84" s="22"/>
      <c r="J84" s="23"/>
      <c r="K84" s="21"/>
      <c r="L84" s="24"/>
      <c r="M84" s="25"/>
      <c r="N84" s="26"/>
      <c r="O84" s="26"/>
      <c r="P84" s="22"/>
      <c r="Q84" s="21"/>
      <c r="R84" s="27"/>
      <c r="S84" s="28"/>
      <c r="T84" s="22"/>
      <c r="U84" s="32"/>
      <c r="V84" s="35"/>
    </row>
    <row r="85" spans="4:22" ht="15" thickBot="1" x14ac:dyDescent="0.4">
      <c r="D85" s="19"/>
      <c r="E85" s="20"/>
      <c r="F85" s="21"/>
      <c r="G85" s="22"/>
      <c r="H85" s="21"/>
      <c r="I85" s="22"/>
      <c r="J85" s="23"/>
      <c r="K85" s="21"/>
      <c r="L85" s="24"/>
      <c r="M85" s="25"/>
      <c r="N85" s="26"/>
      <c r="O85" s="26"/>
      <c r="P85" s="22"/>
      <c r="Q85" s="21"/>
      <c r="R85" s="27"/>
      <c r="S85" s="28"/>
      <c r="T85" s="22"/>
      <c r="U85" s="32"/>
      <c r="V85" s="35"/>
    </row>
    <row r="86" spans="4:22" ht="15" thickBot="1" x14ac:dyDescent="0.4">
      <c r="D86" s="19"/>
      <c r="E86" s="20"/>
      <c r="F86" s="21"/>
      <c r="G86" s="22"/>
      <c r="H86" s="21"/>
      <c r="I86" s="22"/>
      <c r="J86" s="23"/>
      <c r="K86" s="21"/>
      <c r="L86" s="24"/>
      <c r="M86" s="25"/>
      <c r="N86" s="26"/>
      <c r="O86" s="26"/>
      <c r="P86" s="22"/>
      <c r="Q86" s="21"/>
      <c r="R86" s="27"/>
      <c r="S86" s="28"/>
      <c r="T86" s="22"/>
      <c r="U86" s="33"/>
      <c r="V86" s="35"/>
    </row>
    <row r="87" spans="4:22" ht="15" thickBot="1" x14ac:dyDescent="0.4">
      <c r="D87" s="19"/>
      <c r="E87" s="20"/>
      <c r="F87" s="21"/>
      <c r="G87" s="22"/>
      <c r="H87" s="21"/>
      <c r="I87" s="22"/>
      <c r="J87" s="23"/>
      <c r="K87" s="21"/>
      <c r="L87" s="24"/>
      <c r="M87" s="25"/>
      <c r="N87" s="26"/>
      <c r="O87" s="26"/>
      <c r="P87" s="22"/>
      <c r="Q87" s="21"/>
      <c r="R87" s="27"/>
      <c r="S87" s="28"/>
      <c r="T87" s="22"/>
      <c r="U87" s="32"/>
      <c r="V87" s="35"/>
    </row>
    <row r="88" spans="4:22" ht="15" thickBot="1" x14ac:dyDescent="0.4">
      <c r="D88" s="19"/>
      <c r="E88" s="20"/>
      <c r="F88" s="21"/>
      <c r="G88" s="22"/>
      <c r="H88" s="21"/>
      <c r="I88" s="22"/>
      <c r="J88" s="23"/>
      <c r="K88" s="21"/>
      <c r="L88" s="24"/>
      <c r="M88" s="25"/>
      <c r="N88" s="26"/>
      <c r="O88" s="26"/>
      <c r="P88" s="22"/>
      <c r="Q88" s="21"/>
      <c r="R88" s="27"/>
      <c r="S88" s="28"/>
      <c r="T88" s="22"/>
      <c r="U88" s="33"/>
      <c r="V88" s="29"/>
    </row>
    <row r="89" spans="4:22" ht="15" thickBot="1" x14ac:dyDescent="0.4">
      <c r="D89" s="19"/>
      <c r="E89" s="20"/>
      <c r="F89" s="21"/>
      <c r="G89" s="22"/>
      <c r="H89" s="21"/>
      <c r="I89" s="22"/>
      <c r="J89" s="23"/>
      <c r="K89" s="21"/>
      <c r="L89" s="24"/>
      <c r="M89" s="25"/>
      <c r="N89" s="26"/>
      <c r="O89" s="26"/>
      <c r="P89" s="22"/>
      <c r="Q89" s="21"/>
      <c r="R89" s="27"/>
      <c r="S89" s="28"/>
      <c r="T89" s="22"/>
      <c r="U89" s="32"/>
      <c r="V89" s="35"/>
    </row>
    <row r="90" spans="4:22" ht="15" thickBot="1" x14ac:dyDescent="0.4">
      <c r="D90" s="19"/>
      <c r="E90" s="20"/>
      <c r="F90" s="21"/>
      <c r="G90" s="22"/>
      <c r="H90" s="21"/>
      <c r="I90" s="22"/>
      <c r="J90" s="23"/>
      <c r="K90" s="21"/>
      <c r="L90" s="24"/>
      <c r="M90" s="25"/>
      <c r="N90" s="26"/>
      <c r="O90" s="26"/>
      <c r="P90" s="22"/>
      <c r="Q90" s="21"/>
      <c r="R90" s="27"/>
      <c r="S90" s="28"/>
      <c r="T90" s="22"/>
      <c r="U90" s="33"/>
      <c r="V90" s="35"/>
    </row>
    <row r="91" spans="4:22" ht="15" thickBot="1" x14ac:dyDescent="0.4">
      <c r="D91" s="19"/>
      <c r="E91" s="20"/>
      <c r="F91" s="21"/>
      <c r="G91" s="22"/>
      <c r="H91" s="21"/>
      <c r="I91" s="22"/>
      <c r="J91" s="23"/>
      <c r="K91" s="21"/>
      <c r="L91" s="24"/>
      <c r="M91" s="25"/>
      <c r="N91" s="26"/>
      <c r="O91" s="26"/>
      <c r="P91" s="22"/>
      <c r="Q91" s="21"/>
      <c r="R91" s="27"/>
      <c r="S91" s="28"/>
      <c r="T91" s="22"/>
      <c r="U91" s="33"/>
      <c r="V91" s="35"/>
    </row>
    <row r="92" spans="4:22" ht="15" thickBot="1" x14ac:dyDescent="0.4">
      <c r="D92" s="19"/>
      <c r="E92" s="20"/>
      <c r="F92" s="21"/>
      <c r="G92" s="22"/>
      <c r="H92" s="21"/>
      <c r="I92" s="22"/>
      <c r="J92" s="23"/>
      <c r="K92" s="21"/>
      <c r="L92" s="24"/>
      <c r="M92" s="25"/>
      <c r="N92" s="26"/>
      <c r="O92" s="26"/>
      <c r="P92" s="22"/>
      <c r="Q92" s="21"/>
      <c r="R92" s="27"/>
      <c r="S92" s="28"/>
      <c r="T92" s="22"/>
      <c r="U92" s="33"/>
      <c r="V92" s="29"/>
    </row>
    <row r="93" spans="4:22" ht="15" thickBot="1" x14ac:dyDescent="0.4">
      <c r="D93" s="19"/>
      <c r="E93" s="20"/>
      <c r="F93" s="21"/>
      <c r="G93" s="22"/>
      <c r="H93" s="21"/>
      <c r="I93" s="22"/>
      <c r="J93" s="23"/>
      <c r="K93" s="21"/>
      <c r="L93" s="24"/>
      <c r="M93" s="25"/>
      <c r="N93" s="26"/>
      <c r="O93" s="26"/>
      <c r="P93" s="22"/>
      <c r="Q93" s="21"/>
      <c r="R93" s="27"/>
      <c r="S93" s="28"/>
      <c r="T93" s="22"/>
      <c r="U93" s="33"/>
      <c r="V93" s="35"/>
    </row>
    <row r="94" spans="4:22" ht="15" thickBot="1" x14ac:dyDescent="0.4">
      <c r="D94" s="19"/>
      <c r="E94" s="20"/>
      <c r="F94" s="21"/>
      <c r="G94" s="22"/>
      <c r="H94" s="21"/>
      <c r="I94" s="22"/>
      <c r="J94" s="23"/>
      <c r="K94" s="21"/>
      <c r="L94" s="24"/>
      <c r="M94" s="25"/>
      <c r="N94" s="26"/>
      <c r="O94" s="26"/>
      <c r="P94" s="22"/>
      <c r="Q94" s="21"/>
      <c r="R94" s="27"/>
      <c r="S94" s="28"/>
      <c r="T94" s="22"/>
      <c r="U94" s="32"/>
      <c r="V94" s="35"/>
    </row>
    <row r="95" spans="4:22" ht="15" thickBot="1" x14ac:dyDescent="0.4">
      <c r="D95" s="19"/>
      <c r="E95" s="20"/>
      <c r="F95" s="21"/>
      <c r="G95" s="22"/>
      <c r="H95" s="21"/>
      <c r="I95" s="22"/>
      <c r="J95" s="23"/>
      <c r="K95" s="21"/>
      <c r="L95" s="24"/>
      <c r="M95" s="25"/>
      <c r="N95" s="26"/>
      <c r="O95" s="26"/>
      <c r="P95" s="22"/>
      <c r="Q95" s="21"/>
      <c r="R95" s="27"/>
      <c r="S95" s="28"/>
      <c r="T95" s="22"/>
      <c r="U95" s="32"/>
      <c r="V95" s="35"/>
    </row>
    <row r="96" spans="4:22" ht="15" thickBot="1" x14ac:dyDescent="0.4">
      <c r="D96" s="19"/>
      <c r="E96" s="20"/>
      <c r="F96" s="21"/>
      <c r="G96" s="22"/>
      <c r="H96" s="21"/>
      <c r="I96" s="22"/>
      <c r="J96" s="23"/>
      <c r="K96" s="21"/>
      <c r="L96" s="24"/>
      <c r="M96" s="25"/>
      <c r="N96" s="26"/>
      <c r="O96" s="26"/>
      <c r="P96" s="22"/>
      <c r="Q96" s="21"/>
      <c r="R96" s="27"/>
      <c r="S96" s="28"/>
      <c r="T96" s="22"/>
      <c r="U96" s="33"/>
      <c r="V96" s="29"/>
    </row>
    <row r="97" spans="4:22" ht="15" thickBot="1" x14ac:dyDescent="0.4">
      <c r="D97" s="19"/>
      <c r="E97" s="20"/>
      <c r="F97" s="21"/>
      <c r="G97" s="22"/>
      <c r="H97" s="21"/>
      <c r="I97" s="22"/>
      <c r="J97" s="23"/>
      <c r="K97" s="21"/>
      <c r="L97" s="24"/>
      <c r="M97" s="25"/>
      <c r="N97" s="26"/>
      <c r="O97" s="26"/>
      <c r="P97" s="22"/>
      <c r="Q97" s="21"/>
      <c r="R97" s="27"/>
      <c r="S97" s="28"/>
      <c r="T97" s="22"/>
      <c r="U97" s="33"/>
      <c r="V97" s="35"/>
    </row>
    <row r="98" spans="4:22" ht="15" thickBot="1" x14ac:dyDescent="0.4">
      <c r="D98" s="19"/>
      <c r="E98" s="20"/>
      <c r="F98" s="21"/>
      <c r="G98" s="22"/>
      <c r="H98" s="21"/>
      <c r="I98" s="22"/>
      <c r="J98" s="23"/>
      <c r="K98" s="21"/>
      <c r="L98" s="24"/>
      <c r="M98" s="25"/>
      <c r="N98" s="26"/>
      <c r="O98" s="26"/>
      <c r="P98" s="22"/>
      <c r="Q98" s="21"/>
      <c r="R98" s="27"/>
      <c r="S98" s="28"/>
      <c r="T98" s="22"/>
      <c r="U98" s="32"/>
      <c r="V98" s="35"/>
    </row>
    <row r="99" spans="4:22" ht="15" thickBot="1" x14ac:dyDescent="0.4">
      <c r="D99" s="19"/>
      <c r="E99" s="20"/>
      <c r="F99" s="21"/>
      <c r="G99" s="22"/>
      <c r="H99" s="21"/>
      <c r="I99" s="22"/>
      <c r="J99" s="23"/>
      <c r="K99" s="21"/>
      <c r="L99" s="24"/>
      <c r="M99" s="25"/>
      <c r="N99" s="26"/>
      <c r="O99" s="26"/>
      <c r="P99" s="22"/>
      <c r="Q99" s="21"/>
      <c r="R99" s="27"/>
      <c r="S99" s="28"/>
      <c r="T99" s="22"/>
      <c r="U99" s="33"/>
      <c r="V99" s="35"/>
    </row>
    <row r="100" spans="4:22" ht="15" thickBot="1" x14ac:dyDescent="0.4">
      <c r="D100" s="19"/>
      <c r="E100" s="20"/>
      <c r="F100" s="21"/>
      <c r="G100" s="22"/>
      <c r="H100" s="21"/>
      <c r="I100" s="22"/>
      <c r="J100" s="23"/>
      <c r="K100" s="21"/>
      <c r="L100" s="24"/>
      <c r="M100" s="25"/>
      <c r="N100" s="26"/>
      <c r="O100" s="26"/>
      <c r="P100" s="22"/>
      <c r="Q100" s="21"/>
      <c r="R100" s="27"/>
      <c r="S100" s="28"/>
      <c r="T100" s="22"/>
      <c r="U100" s="33"/>
      <c r="V100" s="29"/>
    </row>
    <row r="101" spans="4:22" ht="15" thickBot="1" x14ac:dyDescent="0.4">
      <c r="D101" s="19"/>
      <c r="E101" s="20"/>
      <c r="F101" s="21"/>
      <c r="G101" s="22"/>
      <c r="H101" s="21"/>
      <c r="I101" s="22"/>
      <c r="J101" s="23"/>
      <c r="K101" s="21"/>
      <c r="L101" s="24"/>
      <c r="M101" s="25"/>
      <c r="N101" s="26"/>
      <c r="O101" s="26"/>
      <c r="P101" s="22"/>
      <c r="Q101" s="21"/>
      <c r="R101" s="27"/>
      <c r="S101" s="28"/>
      <c r="T101" s="22"/>
      <c r="U101" s="33"/>
      <c r="V101" s="35"/>
    </row>
    <row r="102" spans="4:22" ht="15" thickBot="1" x14ac:dyDescent="0.4">
      <c r="D102" s="19"/>
      <c r="E102" s="20"/>
      <c r="F102" s="21"/>
      <c r="G102" s="22"/>
      <c r="H102" s="21"/>
      <c r="I102" s="22"/>
      <c r="J102" s="23"/>
      <c r="K102" s="21"/>
      <c r="L102" s="24"/>
      <c r="M102" s="25"/>
      <c r="N102" s="26"/>
      <c r="O102" s="26"/>
      <c r="P102" s="22"/>
      <c r="Q102" s="21"/>
      <c r="R102" s="27"/>
      <c r="S102" s="28"/>
      <c r="T102" s="22"/>
      <c r="U102" s="33"/>
      <c r="V102" s="35"/>
    </row>
    <row r="103" spans="4:22" ht="15" thickBot="1" x14ac:dyDescent="0.4">
      <c r="D103" s="19"/>
      <c r="E103" s="20"/>
      <c r="F103" s="21"/>
      <c r="G103" s="22"/>
      <c r="H103" s="21"/>
      <c r="I103" s="22"/>
      <c r="J103" s="23"/>
      <c r="K103" s="21"/>
      <c r="L103" s="24"/>
      <c r="M103" s="25"/>
      <c r="N103" s="26"/>
      <c r="O103" s="26"/>
      <c r="P103" s="22"/>
      <c r="Q103" s="21"/>
      <c r="R103" s="27"/>
      <c r="S103" s="28"/>
      <c r="T103" s="22"/>
      <c r="U103" s="32"/>
      <c r="V103" s="29"/>
    </row>
    <row r="104" spans="4:22" ht="15" thickBot="1" x14ac:dyDescent="0.4">
      <c r="D104" s="19"/>
      <c r="E104" s="20"/>
      <c r="F104" s="21"/>
      <c r="G104" s="22"/>
      <c r="H104" s="21"/>
      <c r="I104" s="22"/>
      <c r="J104" s="23"/>
      <c r="K104" s="21"/>
      <c r="L104" s="24"/>
      <c r="M104" s="25"/>
      <c r="N104" s="26"/>
      <c r="O104" s="26"/>
      <c r="P104" s="22"/>
      <c r="Q104" s="21"/>
      <c r="R104" s="27"/>
      <c r="S104" s="28"/>
      <c r="T104" s="22"/>
      <c r="U104" s="32"/>
      <c r="V104" s="35"/>
    </row>
    <row r="105" spans="4:22" ht="15" thickBot="1" x14ac:dyDescent="0.4">
      <c r="D105" s="19"/>
      <c r="E105" s="20"/>
      <c r="F105" s="21"/>
      <c r="G105" s="22"/>
      <c r="H105" s="21"/>
      <c r="I105" s="22"/>
      <c r="J105" s="23"/>
      <c r="K105" s="21"/>
      <c r="L105" s="24"/>
      <c r="M105" s="25"/>
      <c r="N105" s="26"/>
      <c r="O105" s="26"/>
      <c r="P105" s="22"/>
      <c r="Q105" s="21"/>
      <c r="R105" s="27"/>
      <c r="S105" s="28"/>
      <c r="T105" s="22"/>
      <c r="U105" s="32"/>
      <c r="V105" s="35"/>
    </row>
    <row r="106" spans="4:22" ht="15" thickBot="1" x14ac:dyDescent="0.4">
      <c r="D106" s="19"/>
      <c r="E106" s="20"/>
      <c r="F106" s="21"/>
      <c r="G106" s="22"/>
      <c r="H106" s="21"/>
      <c r="I106" s="22"/>
      <c r="J106" s="23"/>
      <c r="K106" s="21"/>
      <c r="L106" s="24"/>
      <c r="M106" s="25"/>
      <c r="N106" s="26"/>
      <c r="O106" s="26"/>
      <c r="P106" s="22"/>
      <c r="Q106" s="21"/>
      <c r="R106" s="27"/>
      <c r="S106" s="28"/>
      <c r="T106" s="22"/>
      <c r="U106" s="33"/>
      <c r="V106" s="35"/>
    </row>
    <row r="107" spans="4:22" ht="15" thickBot="1" x14ac:dyDescent="0.4">
      <c r="D107" s="19"/>
      <c r="E107" s="20"/>
      <c r="F107" s="21"/>
      <c r="G107" s="22"/>
      <c r="H107" s="21"/>
      <c r="I107" s="22"/>
      <c r="J107" s="23"/>
      <c r="K107" s="21"/>
      <c r="L107" s="24"/>
      <c r="M107" s="25"/>
      <c r="N107" s="26"/>
      <c r="O107" s="26"/>
      <c r="P107" s="22"/>
      <c r="Q107" s="21"/>
      <c r="R107" s="27"/>
      <c r="S107" s="28"/>
      <c r="T107" s="22"/>
      <c r="U107" s="32"/>
      <c r="V107" s="35"/>
    </row>
    <row r="108" spans="4:22" ht="15" thickBot="1" x14ac:dyDescent="0.4">
      <c r="D108" s="19"/>
      <c r="E108" s="20"/>
      <c r="F108" s="21"/>
      <c r="G108" s="22"/>
      <c r="H108" s="21"/>
      <c r="I108" s="22"/>
      <c r="J108" s="23"/>
      <c r="K108" s="21"/>
      <c r="L108" s="24"/>
      <c r="M108" s="25"/>
      <c r="N108" s="26"/>
      <c r="O108" s="26"/>
      <c r="P108" s="22"/>
      <c r="Q108" s="21"/>
      <c r="R108" s="27"/>
      <c r="S108" s="28"/>
      <c r="T108" s="22"/>
      <c r="U108" s="33"/>
      <c r="V108" s="35"/>
    </row>
    <row r="109" spans="4:22" ht="15" thickBot="1" x14ac:dyDescent="0.4">
      <c r="D109" s="19"/>
      <c r="E109" s="20"/>
      <c r="F109" s="21"/>
      <c r="G109" s="22"/>
      <c r="H109" s="21"/>
      <c r="I109" s="22"/>
      <c r="J109" s="23"/>
      <c r="K109" s="21"/>
      <c r="L109" s="24"/>
      <c r="M109" s="25"/>
      <c r="N109" s="26"/>
      <c r="O109" s="26"/>
      <c r="P109" s="22"/>
      <c r="Q109" s="21"/>
      <c r="R109" s="27"/>
      <c r="S109" s="28"/>
      <c r="T109" s="22"/>
      <c r="U109" s="33"/>
      <c r="V109" s="29"/>
    </row>
    <row r="110" spans="4:22" ht="15" thickBot="1" x14ac:dyDescent="0.4">
      <c r="D110" s="19"/>
      <c r="E110" s="20"/>
      <c r="F110" s="21"/>
      <c r="G110" s="22"/>
      <c r="H110" s="21"/>
      <c r="I110" s="22"/>
      <c r="J110" s="23"/>
      <c r="K110" s="21"/>
      <c r="L110" s="24"/>
      <c r="M110" s="25"/>
      <c r="N110" s="26"/>
      <c r="O110" s="26"/>
      <c r="P110" s="22"/>
      <c r="Q110" s="21"/>
      <c r="R110" s="27"/>
      <c r="S110" s="28"/>
      <c r="T110" s="22"/>
      <c r="U110" s="33"/>
      <c r="V110" s="35"/>
    </row>
    <row r="111" spans="4:22" ht="15" thickBot="1" x14ac:dyDescent="0.4">
      <c r="D111" s="19"/>
      <c r="E111" s="20"/>
      <c r="F111" s="21"/>
      <c r="G111" s="22"/>
      <c r="H111" s="21"/>
      <c r="I111" s="22"/>
      <c r="J111" s="23"/>
      <c r="K111" s="21"/>
      <c r="L111" s="24"/>
      <c r="M111" s="25"/>
      <c r="N111" s="26"/>
      <c r="O111" s="26"/>
      <c r="P111" s="22"/>
      <c r="Q111" s="21"/>
      <c r="R111" s="27"/>
      <c r="S111" s="28"/>
      <c r="T111" s="22"/>
      <c r="U111" s="33"/>
      <c r="V111" s="29"/>
    </row>
    <row r="112" spans="4:22" ht="15" thickBot="1" x14ac:dyDescent="0.4">
      <c r="D112" s="19"/>
      <c r="E112" s="20"/>
      <c r="F112" s="21"/>
      <c r="G112" s="22"/>
      <c r="H112" s="21"/>
      <c r="I112" s="22"/>
      <c r="J112" s="23"/>
      <c r="K112" s="21"/>
      <c r="L112" s="24"/>
      <c r="M112" s="25"/>
      <c r="N112" s="26"/>
      <c r="O112" s="26"/>
      <c r="P112" s="22"/>
      <c r="Q112" s="21"/>
      <c r="R112" s="27"/>
      <c r="S112" s="28"/>
      <c r="T112" s="22"/>
      <c r="U112" s="33"/>
      <c r="V112" s="35"/>
    </row>
    <row r="113" spans="4:22" ht="15" thickBot="1" x14ac:dyDescent="0.4">
      <c r="D113" s="19"/>
      <c r="E113" s="20"/>
      <c r="F113" s="21"/>
      <c r="G113" s="22"/>
      <c r="H113" s="21"/>
      <c r="I113" s="22"/>
      <c r="J113" s="23"/>
      <c r="K113" s="21"/>
      <c r="L113" s="24"/>
      <c r="M113" s="25"/>
      <c r="N113" s="26"/>
      <c r="O113" s="26"/>
      <c r="P113" s="22"/>
      <c r="Q113" s="21"/>
      <c r="R113" s="27"/>
      <c r="S113" s="28"/>
      <c r="T113" s="22"/>
      <c r="U113" s="32"/>
      <c r="V113" s="35"/>
    </row>
    <row r="114" spans="4:22" ht="15" thickBot="1" x14ac:dyDescent="0.4">
      <c r="D114" s="19"/>
      <c r="E114" s="20"/>
      <c r="F114" s="21"/>
      <c r="G114" s="22"/>
      <c r="H114" s="21"/>
      <c r="I114" s="22"/>
      <c r="J114" s="23"/>
      <c r="K114" s="21"/>
      <c r="L114" s="24"/>
      <c r="M114" s="25"/>
      <c r="N114" s="26"/>
      <c r="O114" s="26"/>
      <c r="P114" s="22"/>
      <c r="Q114" s="21"/>
      <c r="R114" s="27"/>
      <c r="S114" s="28"/>
      <c r="T114" s="22"/>
      <c r="U114" s="32"/>
      <c r="V114" s="35"/>
    </row>
    <row r="115" spans="4:22" ht="15" thickBot="1" x14ac:dyDescent="0.4">
      <c r="D115" s="19"/>
      <c r="E115" s="20"/>
      <c r="F115" s="21"/>
      <c r="G115" s="22"/>
      <c r="H115" s="21"/>
      <c r="I115" s="22"/>
      <c r="J115" s="23"/>
      <c r="K115" s="21"/>
      <c r="L115" s="24"/>
      <c r="M115" s="25"/>
      <c r="N115" s="26"/>
      <c r="O115" s="26"/>
      <c r="P115" s="22"/>
      <c r="Q115" s="21"/>
      <c r="R115" s="27"/>
      <c r="S115" s="28"/>
      <c r="T115" s="22"/>
      <c r="U115" s="33"/>
      <c r="V115" s="35"/>
    </row>
    <row r="116" spans="4:22" ht="15" thickBot="1" x14ac:dyDescent="0.4">
      <c r="D116" s="19"/>
      <c r="E116" s="20"/>
      <c r="F116" s="21"/>
      <c r="G116" s="22"/>
      <c r="H116" s="21"/>
      <c r="I116" s="22"/>
      <c r="J116" s="23"/>
      <c r="K116" s="21"/>
      <c r="L116" s="24"/>
      <c r="M116" s="25"/>
      <c r="N116" s="26"/>
      <c r="O116" s="26"/>
      <c r="P116" s="22"/>
      <c r="Q116" s="21"/>
      <c r="R116" s="27"/>
      <c r="S116" s="28"/>
      <c r="T116" s="22"/>
      <c r="U116" s="33"/>
      <c r="V116" s="29"/>
    </row>
    <row r="117" spans="4:22" ht="15" thickBot="1" x14ac:dyDescent="0.4">
      <c r="D117" s="19"/>
      <c r="E117" s="20"/>
      <c r="F117" s="21"/>
      <c r="G117" s="22"/>
      <c r="H117" s="21"/>
      <c r="I117" s="22"/>
      <c r="J117" s="23"/>
      <c r="K117" s="21"/>
      <c r="L117" s="24"/>
      <c r="M117" s="25"/>
      <c r="N117" s="26"/>
      <c r="O117" s="26"/>
      <c r="P117" s="22"/>
      <c r="Q117" s="21"/>
      <c r="R117" s="27"/>
      <c r="S117" s="28"/>
      <c r="T117" s="22"/>
      <c r="U117" s="32"/>
      <c r="V117" s="35"/>
    </row>
    <row r="118" spans="4:22" ht="15" thickBot="1" x14ac:dyDescent="0.4">
      <c r="D118" s="19"/>
      <c r="E118" s="20"/>
      <c r="F118" s="21"/>
      <c r="G118" s="22"/>
      <c r="H118" s="21"/>
      <c r="I118" s="22"/>
      <c r="J118" s="23"/>
      <c r="K118" s="21"/>
      <c r="L118" s="24"/>
      <c r="M118" s="25"/>
      <c r="N118" s="26"/>
      <c r="O118" s="26"/>
      <c r="P118" s="22"/>
      <c r="Q118" s="21"/>
      <c r="R118" s="27"/>
      <c r="S118" s="28"/>
      <c r="T118" s="22"/>
      <c r="U118" s="32"/>
      <c r="V118" s="35"/>
    </row>
    <row r="119" spans="4:22" ht="15" thickBot="1" x14ac:dyDescent="0.4">
      <c r="D119" s="19"/>
      <c r="E119" s="20"/>
      <c r="F119" s="21"/>
      <c r="G119" s="22"/>
      <c r="H119" s="21"/>
      <c r="I119" s="22"/>
      <c r="J119" s="23"/>
      <c r="K119" s="21"/>
      <c r="L119" s="24"/>
      <c r="M119" s="25"/>
      <c r="N119" s="26"/>
      <c r="O119" s="26"/>
      <c r="P119" s="22"/>
      <c r="Q119" s="21"/>
      <c r="R119" s="27"/>
      <c r="S119" s="28"/>
      <c r="T119" s="22"/>
      <c r="U119" s="32"/>
      <c r="V119" s="35"/>
    </row>
    <row r="120" spans="4:22" ht="15" thickBot="1" x14ac:dyDescent="0.4">
      <c r="D120" s="19"/>
      <c r="E120" s="20"/>
      <c r="F120" s="21"/>
      <c r="G120" s="22"/>
      <c r="H120" s="21"/>
      <c r="I120" s="22"/>
      <c r="J120" s="23"/>
      <c r="K120" s="21"/>
      <c r="L120" s="24"/>
      <c r="M120" s="25"/>
      <c r="N120" s="26"/>
      <c r="O120" s="26"/>
      <c r="P120" s="22"/>
      <c r="Q120" s="21"/>
      <c r="R120" s="27"/>
      <c r="S120" s="28"/>
      <c r="T120" s="22"/>
      <c r="U120" s="33"/>
      <c r="V120" s="35"/>
    </row>
    <row r="121" spans="4:22" ht="15" thickBot="1" x14ac:dyDescent="0.4">
      <c r="D121" s="19"/>
      <c r="E121" s="20"/>
      <c r="F121" s="21"/>
      <c r="G121" s="22"/>
      <c r="H121" s="21"/>
      <c r="I121" s="22"/>
      <c r="J121" s="23"/>
      <c r="K121" s="21"/>
      <c r="L121" s="24"/>
      <c r="M121" s="25"/>
      <c r="N121" s="26"/>
      <c r="O121" s="26"/>
      <c r="P121" s="22"/>
      <c r="Q121" s="21"/>
      <c r="R121" s="27"/>
      <c r="S121" s="28"/>
      <c r="T121" s="22"/>
      <c r="U121" s="32"/>
      <c r="V121" s="35"/>
    </row>
    <row r="122" spans="4:22" ht="15" thickBot="1" x14ac:dyDescent="0.4">
      <c r="D122" s="19"/>
      <c r="E122" s="20"/>
      <c r="F122" s="21"/>
      <c r="G122" s="22"/>
      <c r="H122" s="21"/>
      <c r="I122" s="22"/>
      <c r="J122" s="23"/>
      <c r="K122" s="21"/>
      <c r="L122" s="24"/>
      <c r="M122" s="25"/>
      <c r="N122" s="26"/>
      <c r="O122" s="26"/>
      <c r="P122" s="22"/>
      <c r="Q122" s="21"/>
      <c r="R122" s="27"/>
      <c r="S122" s="28"/>
      <c r="T122" s="22"/>
      <c r="U122" s="34"/>
      <c r="V122" s="35"/>
    </row>
    <row r="123" spans="4:22" ht="15" thickBot="1" x14ac:dyDescent="0.4">
      <c r="D123" s="19"/>
      <c r="E123" s="20"/>
      <c r="F123" s="21"/>
      <c r="G123" s="22"/>
      <c r="H123" s="21"/>
      <c r="I123" s="22"/>
      <c r="J123" s="23"/>
      <c r="K123" s="21"/>
      <c r="L123" s="24"/>
      <c r="M123" s="25"/>
      <c r="N123" s="26"/>
      <c r="O123" s="26"/>
      <c r="P123" s="22"/>
      <c r="Q123" s="21"/>
      <c r="R123" s="27"/>
      <c r="S123" s="28"/>
      <c r="T123" s="22"/>
      <c r="U123" s="34"/>
      <c r="V123" s="35"/>
    </row>
    <row r="124" spans="4:22" ht="15" thickBot="1" x14ac:dyDescent="0.4">
      <c r="D124" s="19"/>
      <c r="E124" s="20"/>
      <c r="F124" s="21"/>
      <c r="G124" s="22"/>
      <c r="H124" s="21"/>
      <c r="I124" s="22"/>
      <c r="J124" s="23"/>
      <c r="K124" s="21"/>
      <c r="L124" s="24"/>
      <c r="M124" s="25"/>
      <c r="N124" s="26"/>
      <c r="O124" s="26"/>
      <c r="P124" s="22"/>
      <c r="Q124" s="21"/>
      <c r="R124" s="27"/>
      <c r="S124" s="28"/>
      <c r="T124" s="22"/>
      <c r="U124" s="22"/>
      <c r="V124" s="35"/>
    </row>
    <row r="125" spans="4:22" ht="15" thickBot="1" x14ac:dyDescent="0.4">
      <c r="D125" s="19"/>
      <c r="E125" s="20"/>
      <c r="F125" s="21"/>
      <c r="G125" s="22"/>
      <c r="H125" s="21"/>
      <c r="I125" s="22"/>
      <c r="J125" s="23"/>
      <c r="K125" s="21"/>
      <c r="L125" s="24"/>
      <c r="M125" s="25"/>
      <c r="N125" s="26"/>
      <c r="O125" s="26"/>
      <c r="P125" s="22"/>
      <c r="Q125" s="21"/>
      <c r="R125" s="27"/>
      <c r="S125" s="28"/>
      <c r="T125" s="22"/>
      <c r="U125" s="34"/>
      <c r="V125" s="35"/>
    </row>
    <row r="126" spans="4:22" ht="15" thickBot="1" x14ac:dyDescent="0.4">
      <c r="D126" s="19"/>
      <c r="E126" s="20"/>
      <c r="F126" s="21"/>
      <c r="G126" s="22"/>
      <c r="H126" s="21"/>
      <c r="I126" s="22"/>
      <c r="J126" s="23"/>
      <c r="K126" s="21"/>
      <c r="L126" s="24"/>
      <c r="M126" s="25"/>
      <c r="N126" s="26"/>
      <c r="O126" s="26"/>
      <c r="P126" s="22"/>
      <c r="Q126" s="21"/>
      <c r="R126" s="27"/>
      <c r="S126" s="28"/>
      <c r="T126" s="22"/>
      <c r="U126" s="22"/>
      <c r="V126" s="35"/>
    </row>
    <row r="127" spans="4:22" ht="15" thickBot="1" x14ac:dyDescent="0.4">
      <c r="D127" s="19"/>
      <c r="E127" s="20"/>
      <c r="F127" s="21"/>
      <c r="G127" s="22"/>
      <c r="H127" s="21"/>
      <c r="I127" s="22"/>
      <c r="J127" s="23"/>
      <c r="K127" s="21"/>
      <c r="L127" s="24"/>
      <c r="M127" s="25"/>
      <c r="N127" s="26"/>
      <c r="O127" s="26"/>
      <c r="P127" s="22"/>
      <c r="Q127" s="21"/>
      <c r="R127" s="27"/>
      <c r="S127" s="28"/>
      <c r="T127" s="22"/>
      <c r="U127" s="34"/>
      <c r="V127" s="35"/>
    </row>
    <row r="128" spans="4:22" ht="15" thickBot="1" x14ac:dyDescent="0.4">
      <c r="D128" s="19"/>
      <c r="E128" s="20"/>
      <c r="F128" s="21"/>
      <c r="G128" s="22"/>
      <c r="H128" s="21"/>
      <c r="I128" s="22"/>
      <c r="J128" s="23"/>
      <c r="K128" s="21"/>
      <c r="L128" s="24"/>
      <c r="M128" s="25"/>
      <c r="N128" s="26"/>
      <c r="O128" s="26"/>
      <c r="P128" s="22"/>
      <c r="Q128" s="21"/>
      <c r="R128" s="27"/>
      <c r="S128" s="28"/>
      <c r="T128" s="22"/>
      <c r="U128" s="22"/>
      <c r="V128" s="35"/>
    </row>
    <row r="129" spans="4:22" ht="15" thickBot="1" x14ac:dyDescent="0.4">
      <c r="D129" s="19"/>
      <c r="E129" s="20"/>
      <c r="F129" s="21"/>
      <c r="G129" s="22"/>
      <c r="H129" s="21"/>
      <c r="I129" s="22"/>
      <c r="J129" s="23"/>
      <c r="K129" s="21"/>
      <c r="L129" s="24"/>
      <c r="M129" s="25"/>
      <c r="N129" s="26"/>
      <c r="O129" s="26"/>
      <c r="P129" s="22"/>
      <c r="Q129" s="21"/>
      <c r="R129" s="27"/>
      <c r="S129" s="28"/>
      <c r="T129" s="22"/>
      <c r="U129" s="22"/>
      <c r="V129" s="35"/>
    </row>
    <row r="130" spans="4:22" ht="15" thickBot="1" x14ac:dyDescent="0.4">
      <c r="D130" s="19"/>
      <c r="E130" s="20"/>
      <c r="F130" s="21"/>
      <c r="G130" s="22"/>
      <c r="H130" s="21"/>
      <c r="I130" s="22"/>
      <c r="J130" s="23"/>
      <c r="K130" s="21"/>
      <c r="L130" s="24"/>
      <c r="M130" s="25"/>
      <c r="N130" s="26"/>
      <c r="O130" s="26"/>
      <c r="P130" s="22"/>
      <c r="Q130" s="21"/>
      <c r="R130" s="27"/>
      <c r="S130" s="28"/>
      <c r="T130" s="22"/>
      <c r="U130" s="22"/>
      <c r="V130" s="35"/>
    </row>
    <row r="131" spans="4:22" ht="15" thickBot="1" x14ac:dyDescent="0.4">
      <c r="D131" s="19"/>
      <c r="E131" s="20"/>
      <c r="F131" s="21"/>
      <c r="G131" s="22"/>
      <c r="H131" s="21"/>
      <c r="I131" s="22"/>
      <c r="J131" s="23"/>
      <c r="K131" s="21"/>
      <c r="L131" s="24"/>
      <c r="M131" s="25"/>
      <c r="N131" s="26"/>
      <c r="O131" s="26"/>
      <c r="P131" s="22"/>
      <c r="Q131" s="21"/>
      <c r="R131" s="27"/>
      <c r="S131" s="28"/>
      <c r="T131" s="22"/>
      <c r="U131" s="22"/>
      <c r="V131" s="35"/>
    </row>
    <row r="132" spans="4:22" ht="15" thickBot="1" x14ac:dyDescent="0.4">
      <c r="D132" s="19"/>
      <c r="E132" s="20"/>
      <c r="F132" s="21"/>
      <c r="G132" s="22"/>
      <c r="H132" s="21"/>
      <c r="I132" s="22"/>
      <c r="J132" s="23"/>
      <c r="K132" s="21"/>
      <c r="L132" s="24"/>
      <c r="M132" s="25"/>
      <c r="N132" s="26"/>
      <c r="O132" s="26"/>
      <c r="P132" s="22"/>
      <c r="Q132" s="21"/>
      <c r="R132" s="27"/>
      <c r="S132" s="28"/>
      <c r="T132" s="22"/>
      <c r="U132" s="34"/>
      <c r="V132" s="35"/>
    </row>
    <row r="133" spans="4:22" ht="15" thickBot="1" x14ac:dyDescent="0.4">
      <c r="D133" s="19"/>
      <c r="E133" s="20"/>
      <c r="F133" s="21"/>
      <c r="G133" s="22"/>
      <c r="H133" s="21"/>
      <c r="I133" s="22"/>
      <c r="J133" s="23"/>
      <c r="K133" s="21"/>
      <c r="L133" s="24"/>
      <c r="M133" s="25"/>
      <c r="N133" s="26"/>
      <c r="O133" s="26"/>
      <c r="P133" s="22"/>
      <c r="Q133" s="21"/>
      <c r="R133" s="27"/>
      <c r="S133" s="28"/>
      <c r="T133" s="22"/>
      <c r="U133" s="34"/>
      <c r="V133" s="35"/>
    </row>
    <row r="134" spans="4:22" ht="15" thickBot="1" x14ac:dyDescent="0.4">
      <c r="D134" s="19"/>
      <c r="E134" s="20"/>
      <c r="F134" s="21"/>
      <c r="G134" s="22"/>
      <c r="H134" s="21"/>
      <c r="I134" s="22"/>
      <c r="J134" s="23"/>
      <c r="K134" s="21"/>
      <c r="L134" s="24"/>
      <c r="M134" s="25"/>
      <c r="N134" s="26"/>
      <c r="O134" s="26"/>
      <c r="P134" s="22"/>
      <c r="Q134" s="21"/>
      <c r="R134" s="27"/>
      <c r="S134" s="28"/>
      <c r="T134" s="22"/>
      <c r="U134" s="22"/>
      <c r="V134" s="35"/>
    </row>
    <row r="135" spans="4:22" ht="15" thickBot="1" x14ac:dyDescent="0.4">
      <c r="D135" s="19"/>
      <c r="E135" s="20"/>
      <c r="F135" s="21"/>
      <c r="G135" s="22"/>
      <c r="H135" s="21"/>
      <c r="I135" s="22"/>
      <c r="J135" s="23"/>
      <c r="K135" s="21"/>
      <c r="L135" s="24"/>
      <c r="M135" s="25"/>
      <c r="N135" s="26"/>
      <c r="O135" s="26"/>
      <c r="P135" s="22"/>
      <c r="Q135" s="21"/>
      <c r="R135" s="27"/>
      <c r="S135" s="28"/>
      <c r="T135" s="22"/>
      <c r="U135" s="22"/>
      <c r="V135" s="35"/>
    </row>
    <row r="136" spans="4:22" ht="15" thickBot="1" x14ac:dyDescent="0.4">
      <c r="D136" s="19"/>
      <c r="E136" s="20"/>
      <c r="F136" s="21"/>
      <c r="G136" s="22"/>
      <c r="H136" s="21"/>
      <c r="I136" s="22"/>
      <c r="J136" s="23"/>
      <c r="K136" s="21"/>
      <c r="L136" s="24"/>
      <c r="M136" s="25"/>
      <c r="N136" s="26"/>
      <c r="O136" s="26"/>
      <c r="P136" s="22"/>
      <c r="Q136" s="21"/>
      <c r="R136" s="27"/>
      <c r="S136" s="28"/>
      <c r="T136" s="22"/>
      <c r="U136" s="34"/>
      <c r="V136" s="35"/>
    </row>
    <row r="137" spans="4:22" ht="15" thickBot="1" x14ac:dyDescent="0.4">
      <c r="D137" s="19"/>
      <c r="E137" s="20"/>
      <c r="F137" s="21"/>
      <c r="G137" s="22"/>
      <c r="H137" s="21"/>
      <c r="I137" s="22"/>
      <c r="J137" s="23"/>
      <c r="K137" s="21"/>
      <c r="L137" s="24"/>
      <c r="M137" s="25"/>
      <c r="N137" s="26"/>
      <c r="O137" s="26"/>
      <c r="P137" s="22"/>
      <c r="Q137" s="21"/>
      <c r="R137" s="27"/>
      <c r="S137" s="28"/>
      <c r="T137" s="22"/>
      <c r="U137" s="34"/>
      <c r="V137" s="35"/>
    </row>
    <row r="138" spans="4:22" ht="15" thickBot="1" x14ac:dyDescent="0.4">
      <c r="D138" s="19"/>
      <c r="E138" s="20"/>
      <c r="F138" s="21"/>
      <c r="G138" s="22"/>
      <c r="H138" s="21"/>
      <c r="I138" s="22"/>
      <c r="J138" s="23"/>
      <c r="K138" s="21"/>
      <c r="L138" s="24"/>
      <c r="M138" s="25"/>
      <c r="N138" s="26"/>
      <c r="O138" s="26"/>
      <c r="P138" s="22"/>
      <c r="Q138" s="21"/>
      <c r="R138" s="27"/>
      <c r="S138" s="28"/>
      <c r="T138" s="22"/>
      <c r="U138" s="34"/>
      <c r="V138" s="35"/>
    </row>
    <row r="139" spans="4:22" ht="15" thickBot="1" x14ac:dyDescent="0.4">
      <c r="D139" s="19"/>
      <c r="E139" s="20"/>
      <c r="F139" s="21"/>
      <c r="G139" s="22"/>
      <c r="H139" s="21"/>
      <c r="I139" s="22"/>
      <c r="J139" s="23"/>
      <c r="K139" s="21"/>
      <c r="L139" s="24"/>
      <c r="M139" s="25"/>
      <c r="N139" s="26"/>
      <c r="O139" s="26"/>
      <c r="P139" s="22"/>
      <c r="Q139" s="21"/>
      <c r="R139" s="27"/>
      <c r="S139" s="28"/>
      <c r="T139" s="22"/>
      <c r="U139" s="22"/>
      <c r="V139" s="35"/>
    </row>
    <row r="140" spans="4:22" ht="15" thickBot="1" x14ac:dyDescent="0.4">
      <c r="D140" s="19"/>
      <c r="E140" s="20"/>
      <c r="F140" s="21"/>
      <c r="G140" s="22"/>
      <c r="H140" s="21"/>
      <c r="I140" s="22"/>
      <c r="J140" s="23"/>
      <c r="K140" s="21"/>
      <c r="L140" s="24"/>
      <c r="M140" s="25"/>
      <c r="N140" s="26"/>
      <c r="O140" s="26"/>
      <c r="P140" s="22"/>
      <c r="Q140" s="21"/>
      <c r="R140" s="27"/>
      <c r="S140" s="28"/>
      <c r="T140" s="22"/>
      <c r="U140" s="22"/>
      <c r="V140" s="35"/>
    </row>
    <row r="141" spans="4:22" ht="15" thickBot="1" x14ac:dyDescent="0.4">
      <c r="D141" s="19"/>
      <c r="E141" s="20"/>
      <c r="F141" s="21"/>
      <c r="G141" s="22"/>
      <c r="H141" s="21"/>
      <c r="I141" s="22"/>
      <c r="J141" s="23"/>
      <c r="K141" s="21"/>
      <c r="L141" s="24"/>
      <c r="M141" s="25"/>
      <c r="N141" s="26"/>
      <c r="O141" s="26"/>
      <c r="P141" s="22"/>
      <c r="Q141" s="21"/>
      <c r="R141" s="27"/>
      <c r="S141" s="28"/>
      <c r="T141" s="22"/>
      <c r="U141" s="34"/>
      <c r="V141" s="35"/>
    </row>
    <row r="142" spans="4:22" ht="15" thickBot="1" x14ac:dyDescent="0.4">
      <c r="D142" s="19"/>
      <c r="E142" s="20"/>
      <c r="F142" s="21"/>
      <c r="G142" s="22"/>
      <c r="H142" s="21"/>
      <c r="I142" s="22"/>
      <c r="J142" s="23"/>
      <c r="K142" s="21"/>
      <c r="L142" s="24"/>
      <c r="M142" s="25"/>
      <c r="N142" s="26"/>
      <c r="O142" s="26"/>
      <c r="P142" s="22"/>
      <c r="Q142" s="21"/>
      <c r="R142" s="27"/>
      <c r="S142" s="28"/>
      <c r="T142" s="22"/>
      <c r="U142" s="22"/>
      <c r="V142" s="35"/>
    </row>
    <row r="143" spans="4:22" ht="15" thickBot="1" x14ac:dyDescent="0.4">
      <c r="D143" s="19"/>
      <c r="E143" s="20"/>
      <c r="F143" s="21"/>
      <c r="G143" s="22"/>
      <c r="H143" s="21"/>
      <c r="I143" s="22"/>
      <c r="J143" s="23"/>
      <c r="K143" s="21"/>
      <c r="L143" s="24"/>
      <c r="M143" s="25"/>
      <c r="N143" s="26"/>
      <c r="O143" s="26"/>
      <c r="P143" s="22"/>
      <c r="Q143" s="21"/>
      <c r="R143" s="27"/>
      <c r="S143" s="28"/>
      <c r="T143" s="22"/>
      <c r="U143" s="22"/>
      <c r="V143" s="35"/>
    </row>
    <row r="144" spans="4:22" ht="15" thickBot="1" x14ac:dyDescent="0.4">
      <c r="D144" s="19"/>
      <c r="E144" s="20"/>
      <c r="F144" s="21"/>
      <c r="G144" s="22"/>
      <c r="H144" s="21"/>
      <c r="I144" s="22"/>
      <c r="J144" s="23"/>
      <c r="K144" s="21"/>
      <c r="L144" s="24"/>
      <c r="M144" s="25"/>
      <c r="N144" s="26"/>
      <c r="O144" s="26"/>
      <c r="P144" s="22"/>
      <c r="Q144" s="21"/>
      <c r="R144" s="27"/>
      <c r="S144" s="28"/>
      <c r="T144" s="22"/>
      <c r="U144" s="34"/>
      <c r="V144" s="35"/>
    </row>
    <row r="145" spans="4:22" ht="15" thickBot="1" x14ac:dyDescent="0.4">
      <c r="D145" s="19"/>
      <c r="E145" s="20"/>
      <c r="F145" s="21"/>
      <c r="G145" s="22"/>
      <c r="H145" s="21"/>
      <c r="I145" s="22"/>
      <c r="J145" s="23"/>
      <c r="K145" s="21"/>
      <c r="L145" s="24"/>
      <c r="M145" s="25"/>
      <c r="N145" s="26"/>
      <c r="O145" s="26"/>
      <c r="P145" s="22"/>
      <c r="Q145" s="21"/>
      <c r="R145" s="27"/>
      <c r="S145" s="28"/>
      <c r="T145" s="22"/>
      <c r="U145" s="34"/>
      <c r="V145" s="35"/>
    </row>
    <row r="146" spans="4:22" ht="15" thickBot="1" x14ac:dyDescent="0.4">
      <c r="D146" s="19"/>
      <c r="E146" s="20"/>
      <c r="F146" s="21"/>
      <c r="G146" s="22"/>
      <c r="H146" s="21"/>
      <c r="I146" s="22"/>
      <c r="J146" s="23"/>
      <c r="K146" s="21"/>
      <c r="L146" s="24"/>
      <c r="M146" s="25"/>
      <c r="N146" s="26"/>
      <c r="O146" s="26"/>
      <c r="P146" s="22"/>
      <c r="Q146" s="21"/>
      <c r="R146" s="27"/>
      <c r="S146" s="28"/>
      <c r="T146" s="22"/>
      <c r="U146" s="22"/>
      <c r="V146" s="35"/>
    </row>
    <row r="147" spans="4:22" ht="15" thickBot="1" x14ac:dyDescent="0.4">
      <c r="D147" s="19"/>
      <c r="E147" s="20"/>
      <c r="F147" s="21"/>
      <c r="G147" s="22"/>
      <c r="H147" s="21"/>
      <c r="I147" s="22"/>
      <c r="J147" s="23"/>
      <c r="K147" s="21"/>
      <c r="L147" s="24"/>
      <c r="M147" s="25"/>
      <c r="N147" s="26"/>
      <c r="O147" s="26"/>
      <c r="P147" s="22"/>
      <c r="Q147" s="21"/>
      <c r="R147" s="27"/>
      <c r="S147" s="28"/>
      <c r="T147" s="22"/>
      <c r="U147" s="34"/>
      <c r="V147" s="35"/>
    </row>
    <row r="148" spans="4:22" ht="15" thickBot="1" x14ac:dyDescent="0.4">
      <c r="D148" s="19"/>
      <c r="E148" s="20"/>
      <c r="F148" s="21"/>
      <c r="G148" s="22"/>
      <c r="H148" s="21"/>
      <c r="I148" s="22"/>
      <c r="J148" s="23"/>
      <c r="K148" s="21"/>
      <c r="L148" s="24"/>
      <c r="M148" s="25"/>
      <c r="N148" s="26"/>
      <c r="O148" s="26"/>
      <c r="P148" s="22"/>
      <c r="Q148" s="21"/>
      <c r="R148" s="27"/>
      <c r="S148" s="28"/>
      <c r="T148" s="22"/>
      <c r="U148" s="22"/>
      <c r="V148" s="35"/>
    </row>
    <row r="149" spans="4:22" ht="15" thickBot="1" x14ac:dyDescent="0.4">
      <c r="D149" s="19"/>
      <c r="E149" s="20"/>
      <c r="F149" s="21"/>
      <c r="G149" s="22"/>
      <c r="H149" s="21"/>
      <c r="I149" s="22"/>
      <c r="J149" s="23"/>
      <c r="K149" s="21"/>
      <c r="L149" s="24"/>
      <c r="M149" s="25"/>
      <c r="N149" s="26"/>
      <c r="O149" s="26"/>
      <c r="P149" s="22"/>
      <c r="Q149" s="21"/>
      <c r="R149" s="27"/>
      <c r="S149" s="28"/>
      <c r="T149" s="22"/>
      <c r="U149" s="22"/>
      <c r="V149" s="35"/>
    </row>
    <row r="150" spans="4:22" ht="15" thickBot="1" x14ac:dyDescent="0.4">
      <c r="D150" s="19"/>
      <c r="E150" s="20"/>
      <c r="F150" s="21"/>
      <c r="G150" s="22"/>
      <c r="H150" s="21"/>
      <c r="I150" s="22"/>
      <c r="J150" s="23"/>
      <c r="K150" s="21"/>
      <c r="L150" s="24"/>
      <c r="M150" s="25"/>
      <c r="N150" s="26"/>
      <c r="O150" s="26"/>
      <c r="P150" s="22"/>
      <c r="Q150" s="21"/>
      <c r="R150" s="27"/>
      <c r="S150" s="28"/>
      <c r="T150" s="22"/>
      <c r="U150" s="22"/>
      <c r="V150" s="35"/>
    </row>
    <row r="151" spans="4:22" ht="15" thickBot="1" x14ac:dyDescent="0.4">
      <c r="D151" s="19"/>
      <c r="E151" s="20"/>
      <c r="F151" s="21"/>
      <c r="G151" s="22"/>
      <c r="H151" s="21"/>
      <c r="I151" s="22"/>
      <c r="J151" s="23"/>
      <c r="K151" s="21"/>
      <c r="L151" s="24"/>
      <c r="M151" s="25"/>
      <c r="N151" s="26"/>
      <c r="O151" s="26"/>
      <c r="P151" s="22"/>
      <c r="Q151" s="21"/>
      <c r="R151" s="27"/>
      <c r="S151" s="28"/>
      <c r="T151" s="22"/>
      <c r="U151" s="22"/>
      <c r="V151" s="35"/>
    </row>
    <row r="152" spans="4:22" ht="15" thickBot="1" x14ac:dyDescent="0.4">
      <c r="D152" s="19"/>
      <c r="E152" s="20"/>
      <c r="F152" s="21"/>
      <c r="G152" s="22"/>
      <c r="H152" s="21"/>
      <c r="I152" s="22"/>
      <c r="J152" s="23"/>
      <c r="K152" s="21"/>
      <c r="L152" s="24"/>
      <c r="M152" s="25"/>
      <c r="N152" s="26"/>
      <c r="O152" s="26"/>
      <c r="P152" s="22"/>
      <c r="Q152" s="21"/>
      <c r="R152" s="27"/>
      <c r="S152" s="28"/>
      <c r="T152" s="22"/>
      <c r="U152" s="22"/>
      <c r="V152" s="35"/>
    </row>
    <row r="153" spans="4:22" ht="15" thickBot="1" x14ac:dyDescent="0.4">
      <c r="D153" s="19"/>
      <c r="E153" s="20"/>
      <c r="F153" s="21"/>
      <c r="G153" s="22"/>
      <c r="H153" s="21"/>
      <c r="I153" s="22"/>
      <c r="J153" s="23"/>
      <c r="K153" s="21"/>
      <c r="L153" s="24"/>
      <c r="M153" s="25"/>
      <c r="N153" s="26"/>
      <c r="O153" s="26"/>
      <c r="P153" s="22"/>
      <c r="Q153" s="21"/>
      <c r="R153" s="27"/>
      <c r="S153" s="28"/>
      <c r="T153" s="22"/>
      <c r="U153" s="22"/>
      <c r="V153" s="35"/>
    </row>
    <row r="154" spans="4:22" ht="15" thickBot="1" x14ac:dyDescent="0.4">
      <c r="D154" s="19"/>
      <c r="E154" s="20"/>
      <c r="F154" s="21"/>
      <c r="G154" s="22"/>
      <c r="H154" s="21"/>
      <c r="I154" s="22"/>
      <c r="J154" s="23"/>
      <c r="K154" s="21"/>
      <c r="L154" s="24"/>
      <c r="M154" s="25"/>
      <c r="N154" s="26"/>
      <c r="O154" s="26"/>
      <c r="P154" s="22"/>
      <c r="Q154" s="21"/>
      <c r="R154" s="27"/>
      <c r="S154" s="28"/>
      <c r="T154" s="22"/>
      <c r="U154" s="34"/>
      <c r="V154" s="35"/>
    </row>
    <row r="155" spans="4:22" ht="15" thickBot="1" x14ac:dyDescent="0.4">
      <c r="D155" s="19"/>
      <c r="E155" s="20"/>
      <c r="F155" s="21"/>
      <c r="G155" s="22"/>
      <c r="H155" s="21"/>
      <c r="I155" s="22"/>
      <c r="J155" s="23"/>
      <c r="K155" s="21"/>
      <c r="L155" s="24"/>
      <c r="M155" s="25"/>
      <c r="N155" s="26"/>
      <c r="O155" s="26"/>
      <c r="P155" s="22"/>
      <c r="Q155" s="21"/>
      <c r="R155" s="27"/>
      <c r="S155" s="28"/>
      <c r="T155" s="22"/>
      <c r="U155" s="22"/>
      <c r="V155" s="35"/>
    </row>
    <row r="156" spans="4:22" ht="15" thickBot="1" x14ac:dyDescent="0.4">
      <c r="D156" s="19"/>
      <c r="E156" s="20"/>
      <c r="F156" s="21"/>
      <c r="G156" s="22"/>
      <c r="H156" s="21"/>
      <c r="I156" s="22"/>
      <c r="J156" s="23"/>
      <c r="K156" s="21"/>
      <c r="L156" s="24"/>
      <c r="M156" s="25"/>
      <c r="N156" s="26"/>
      <c r="O156" s="26"/>
      <c r="P156" s="22"/>
      <c r="Q156" s="21"/>
      <c r="R156" s="27"/>
      <c r="S156" s="28"/>
      <c r="T156" s="22"/>
      <c r="U156" s="22"/>
      <c r="V156" s="35"/>
    </row>
    <row r="157" spans="4:22" ht="15" thickBot="1" x14ac:dyDescent="0.4">
      <c r="D157" s="19"/>
      <c r="E157" s="20"/>
      <c r="F157" s="21"/>
      <c r="G157" s="22"/>
      <c r="H157" s="21"/>
      <c r="I157" s="22"/>
      <c r="J157" s="23"/>
      <c r="K157" s="21"/>
      <c r="L157" s="24"/>
      <c r="M157" s="25"/>
      <c r="N157" s="26"/>
      <c r="O157" s="26"/>
      <c r="P157" s="22"/>
      <c r="Q157" s="21"/>
      <c r="R157" s="27"/>
      <c r="S157" s="28"/>
      <c r="T157" s="22"/>
      <c r="U157" s="22"/>
      <c r="V157" s="35"/>
    </row>
    <row r="158" spans="4:22" ht="15" thickBot="1" x14ac:dyDescent="0.4">
      <c r="D158" s="19"/>
      <c r="E158" s="20"/>
      <c r="F158" s="21"/>
      <c r="G158" s="22"/>
      <c r="H158" s="21"/>
      <c r="I158" s="22"/>
      <c r="J158" s="23"/>
      <c r="K158" s="21"/>
      <c r="L158" s="24"/>
      <c r="M158" s="25"/>
      <c r="N158" s="26"/>
      <c r="O158" s="26"/>
      <c r="P158" s="22"/>
      <c r="Q158" s="21"/>
      <c r="R158" s="27"/>
      <c r="S158" s="28"/>
      <c r="T158" s="22"/>
      <c r="U158" s="22"/>
      <c r="V158" s="35"/>
    </row>
    <row r="159" spans="4:22" ht="15" thickBot="1" x14ac:dyDescent="0.4">
      <c r="D159" s="19"/>
      <c r="E159" s="36"/>
      <c r="F159" s="21"/>
      <c r="G159" s="22"/>
      <c r="H159" s="21"/>
      <c r="I159" s="22"/>
      <c r="J159" s="23"/>
      <c r="K159" s="21"/>
      <c r="L159" s="24"/>
      <c r="M159" s="25"/>
      <c r="N159" s="26"/>
      <c r="O159" s="26"/>
      <c r="P159" s="22"/>
      <c r="Q159" s="21"/>
      <c r="R159" s="27"/>
      <c r="S159" s="28"/>
      <c r="T159" s="22"/>
      <c r="U159" s="22"/>
      <c r="V159" s="35"/>
    </row>
    <row r="160" spans="4:22" ht="15" thickBot="1" x14ac:dyDescent="0.4">
      <c r="D160" s="19"/>
      <c r="E160" s="36"/>
      <c r="F160" s="21"/>
      <c r="G160" s="22"/>
      <c r="H160" s="21"/>
      <c r="I160" s="22"/>
      <c r="J160" s="23"/>
      <c r="K160" s="21"/>
      <c r="L160" s="24"/>
      <c r="M160" s="25"/>
      <c r="N160" s="26"/>
      <c r="O160" s="26"/>
      <c r="P160" s="22"/>
      <c r="Q160" s="21"/>
      <c r="R160" s="27"/>
      <c r="S160" s="28"/>
      <c r="T160" s="22"/>
      <c r="U160" s="34"/>
      <c r="V160" s="35"/>
    </row>
    <row r="161" spans="4:22" ht="15" thickBot="1" x14ac:dyDescent="0.4">
      <c r="D161" s="19"/>
      <c r="E161" s="36"/>
      <c r="F161" s="21"/>
      <c r="G161" s="22"/>
      <c r="H161" s="21"/>
      <c r="I161" s="22"/>
      <c r="J161" s="23"/>
      <c r="K161" s="21"/>
      <c r="L161" s="24"/>
      <c r="M161" s="25"/>
      <c r="N161" s="26"/>
      <c r="O161" s="26"/>
      <c r="P161" s="22"/>
      <c r="Q161" s="21"/>
      <c r="R161" s="27"/>
      <c r="S161" s="28"/>
      <c r="T161" s="22"/>
      <c r="U161" s="34"/>
      <c r="V161" s="35"/>
    </row>
    <row r="162" spans="4:22" ht="15" thickBot="1" x14ac:dyDescent="0.4">
      <c r="D162" s="19"/>
      <c r="E162" s="36"/>
      <c r="F162" s="21"/>
      <c r="G162" s="22"/>
      <c r="H162" s="21"/>
      <c r="I162" s="22"/>
      <c r="J162" s="23"/>
      <c r="K162" s="21"/>
      <c r="L162" s="24"/>
      <c r="M162" s="25"/>
      <c r="N162" s="26"/>
      <c r="O162" s="26"/>
      <c r="P162" s="22"/>
      <c r="Q162" s="21"/>
      <c r="R162" s="27"/>
      <c r="S162" s="28"/>
      <c r="T162" s="22"/>
      <c r="U162" s="22"/>
      <c r="V162" s="35"/>
    </row>
    <row r="163" spans="4:22" ht="15" thickBot="1" x14ac:dyDescent="0.4">
      <c r="D163" s="19"/>
      <c r="E163" s="36"/>
      <c r="F163" s="21"/>
      <c r="G163" s="22"/>
      <c r="H163" s="21"/>
      <c r="I163" s="22"/>
      <c r="J163" s="23"/>
      <c r="K163" s="21"/>
      <c r="L163" s="24"/>
      <c r="M163" s="25"/>
      <c r="N163" s="26"/>
      <c r="O163" s="26"/>
      <c r="P163" s="22"/>
      <c r="Q163" s="21"/>
      <c r="R163" s="27"/>
      <c r="S163" s="28"/>
      <c r="T163" s="22"/>
      <c r="U163" s="22"/>
      <c r="V163" s="35"/>
    </row>
    <row r="164" spans="4:22" ht="15" thickBot="1" x14ac:dyDescent="0.4">
      <c r="D164" s="19"/>
      <c r="E164" s="36"/>
      <c r="F164" s="21"/>
      <c r="G164" s="22"/>
      <c r="H164" s="21"/>
      <c r="I164" s="22"/>
      <c r="J164" s="23"/>
      <c r="K164" s="21"/>
      <c r="L164" s="24"/>
      <c r="M164" s="25"/>
      <c r="N164" s="26"/>
      <c r="O164" s="26"/>
      <c r="P164" s="22"/>
      <c r="Q164" s="21"/>
      <c r="R164" s="27"/>
      <c r="S164" s="28"/>
      <c r="T164" s="22"/>
      <c r="U164" s="34"/>
      <c r="V164" s="35"/>
    </row>
    <row r="165" spans="4:22" ht="15" thickBot="1" x14ac:dyDescent="0.4">
      <c r="D165" s="19"/>
      <c r="E165" s="36"/>
      <c r="F165" s="21"/>
      <c r="G165" s="22"/>
      <c r="H165" s="21"/>
      <c r="I165" s="22"/>
      <c r="J165" s="23"/>
      <c r="K165" s="21"/>
      <c r="L165" s="24"/>
      <c r="M165" s="25"/>
      <c r="N165" s="26"/>
      <c r="O165" s="26"/>
      <c r="P165" s="22"/>
      <c r="Q165" s="21"/>
      <c r="R165" s="27"/>
      <c r="S165" s="28"/>
      <c r="T165" s="22"/>
      <c r="U165" s="34"/>
      <c r="V165" s="35"/>
    </row>
    <row r="166" spans="4:22" ht="15" thickBot="1" x14ac:dyDescent="0.4">
      <c r="D166" s="19"/>
      <c r="E166" s="36"/>
      <c r="F166" s="21"/>
      <c r="G166" s="22"/>
      <c r="H166" s="21"/>
      <c r="I166" s="22"/>
      <c r="J166" s="23"/>
      <c r="K166" s="21"/>
      <c r="L166" s="24"/>
      <c r="M166" s="25"/>
      <c r="N166" s="26"/>
      <c r="O166" s="26"/>
      <c r="P166" s="22"/>
      <c r="Q166" s="21"/>
      <c r="R166" s="27"/>
      <c r="S166" s="28"/>
      <c r="T166" s="22"/>
      <c r="U166" s="22"/>
      <c r="V166" s="35"/>
    </row>
    <row r="167" spans="4:22" ht="15" thickBot="1" x14ac:dyDescent="0.4">
      <c r="D167" s="19"/>
      <c r="E167" s="36"/>
      <c r="F167" s="21"/>
      <c r="G167" s="22"/>
      <c r="H167" s="21"/>
      <c r="I167" s="22"/>
      <c r="J167" s="23"/>
      <c r="K167" s="21"/>
      <c r="L167" s="24"/>
      <c r="M167" s="25"/>
      <c r="N167" s="26"/>
      <c r="O167" s="26"/>
      <c r="P167" s="22"/>
      <c r="Q167" s="21"/>
      <c r="R167" s="27"/>
      <c r="S167" s="28"/>
      <c r="T167" s="22"/>
      <c r="U167" s="22"/>
      <c r="V167" s="35"/>
    </row>
    <row r="168" spans="4:22" ht="15" thickBot="1" x14ac:dyDescent="0.4">
      <c r="D168" s="19"/>
      <c r="E168" s="36"/>
      <c r="F168" s="21"/>
      <c r="G168" s="22"/>
      <c r="H168" s="21"/>
      <c r="I168" s="22"/>
      <c r="J168" s="23"/>
      <c r="K168" s="21"/>
      <c r="L168" s="24"/>
      <c r="M168" s="25"/>
      <c r="N168" s="26"/>
      <c r="O168" s="26"/>
      <c r="P168" s="22"/>
      <c r="Q168" s="21"/>
      <c r="R168" s="27"/>
      <c r="S168" s="28"/>
      <c r="T168" s="22"/>
      <c r="U168" s="22"/>
      <c r="V168" s="35"/>
    </row>
    <row r="169" spans="4:22" ht="15" thickBot="1" x14ac:dyDescent="0.4">
      <c r="D169" s="19"/>
      <c r="E169" s="36"/>
      <c r="F169" s="21"/>
      <c r="G169" s="22"/>
      <c r="H169" s="21"/>
      <c r="I169" s="22"/>
      <c r="J169" s="23"/>
      <c r="K169" s="21"/>
      <c r="L169" s="24"/>
      <c r="M169" s="25"/>
      <c r="N169" s="26"/>
      <c r="O169" s="26"/>
      <c r="P169" s="22"/>
      <c r="Q169" s="21"/>
      <c r="R169" s="27"/>
      <c r="S169" s="28"/>
      <c r="T169" s="22"/>
      <c r="U169" s="22"/>
      <c r="V169" s="35"/>
    </row>
    <row r="170" spans="4:22" ht="15" thickBot="1" x14ac:dyDescent="0.4">
      <c r="D170" s="19"/>
      <c r="E170" s="36"/>
      <c r="F170" s="21"/>
      <c r="G170" s="22"/>
      <c r="H170" s="21"/>
      <c r="I170" s="22"/>
      <c r="J170" s="23"/>
      <c r="K170" s="21"/>
      <c r="L170" s="24"/>
      <c r="M170" s="25"/>
      <c r="N170" s="26"/>
      <c r="O170" s="26"/>
      <c r="P170" s="22"/>
      <c r="Q170" s="21"/>
      <c r="R170" s="27"/>
      <c r="S170" s="28"/>
      <c r="T170" s="22"/>
      <c r="U170" s="22"/>
      <c r="V170" s="35"/>
    </row>
    <row r="171" spans="4:22" ht="15" thickBot="1" x14ac:dyDescent="0.4">
      <c r="D171" s="19"/>
      <c r="E171" s="36"/>
      <c r="F171" s="21"/>
      <c r="G171" s="22"/>
      <c r="H171" s="21"/>
      <c r="I171" s="22"/>
      <c r="J171" s="23"/>
      <c r="K171" s="21"/>
      <c r="L171" s="24"/>
      <c r="M171" s="25"/>
      <c r="N171" s="26"/>
      <c r="O171" s="26"/>
      <c r="P171" s="22"/>
      <c r="Q171" s="21"/>
      <c r="R171" s="27"/>
      <c r="S171" s="28"/>
      <c r="T171" s="22"/>
      <c r="U171" s="34"/>
      <c r="V171" s="35"/>
    </row>
    <row r="172" spans="4:22" ht="15" thickBot="1" x14ac:dyDescent="0.4">
      <c r="D172" s="19"/>
      <c r="E172" s="36"/>
      <c r="F172" s="21"/>
      <c r="G172" s="22"/>
      <c r="H172" s="21"/>
      <c r="I172" s="22"/>
      <c r="J172" s="23"/>
      <c r="K172" s="21"/>
      <c r="L172" s="24"/>
      <c r="M172" s="25"/>
      <c r="N172" s="26"/>
      <c r="O172" s="26"/>
      <c r="P172" s="22"/>
      <c r="Q172" s="21"/>
      <c r="R172" s="27"/>
      <c r="S172" s="28"/>
      <c r="T172" s="22"/>
      <c r="U172" s="34"/>
      <c r="V172" s="35"/>
    </row>
    <row r="173" spans="4:22" ht="15" thickBot="1" x14ac:dyDescent="0.4">
      <c r="D173" s="19"/>
      <c r="E173" s="36"/>
      <c r="F173" s="21"/>
      <c r="G173" s="22"/>
      <c r="H173" s="21"/>
      <c r="I173" s="22"/>
      <c r="J173" s="23"/>
      <c r="K173" s="21"/>
      <c r="L173" s="24"/>
      <c r="M173" s="25"/>
      <c r="N173" s="26"/>
      <c r="O173" s="26"/>
      <c r="P173" s="22"/>
      <c r="Q173" s="21"/>
      <c r="R173" s="27"/>
      <c r="S173" s="28"/>
      <c r="T173" s="22"/>
      <c r="U173" s="34"/>
      <c r="V173" s="35"/>
    </row>
    <row r="174" spans="4:22" ht="15" thickBot="1" x14ac:dyDescent="0.4">
      <c r="D174" s="19"/>
      <c r="E174" s="36"/>
      <c r="F174" s="21"/>
      <c r="G174" s="22"/>
      <c r="H174" s="21"/>
      <c r="I174" s="22"/>
      <c r="J174" s="23"/>
      <c r="K174" s="21"/>
      <c r="L174" s="24"/>
      <c r="M174" s="25"/>
      <c r="N174" s="26"/>
      <c r="O174" s="26"/>
      <c r="P174" s="22"/>
      <c r="Q174" s="21"/>
      <c r="R174" s="27"/>
      <c r="S174" s="28"/>
      <c r="T174" s="22"/>
      <c r="U174" s="22"/>
      <c r="V174" s="35"/>
    </row>
    <row r="175" spans="4:22" ht="15" thickBot="1" x14ac:dyDescent="0.4">
      <c r="D175" s="19"/>
      <c r="E175" s="36"/>
      <c r="F175" s="21"/>
      <c r="G175" s="22"/>
      <c r="H175" s="21"/>
      <c r="I175" s="22"/>
      <c r="J175" s="23"/>
      <c r="K175" s="21"/>
      <c r="L175" s="24"/>
      <c r="M175" s="25"/>
      <c r="N175" s="26"/>
      <c r="O175" s="26"/>
      <c r="P175" s="22"/>
      <c r="Q175" s="21"/>
      <c r="R175" s="27"/>
      <c r="S175" s="28"/>
      <c r="T175" s="22"/>
      <c r="U175" s="22"/>
      <c r="V175" s="35"/>
    </row>
    <row r="176" spans="4:22" ht="15" thickBot="1" x14ac:dyDescent="0.4">
      <c r="D176" s="19"/>
      <c r="E176" s="36"/>
      <c r="F176" s="21"/>
      <c r="G176" s="22"/>
      <c r="H176" s="21"/>
      <c r="I176" s="22"/>
      <c r="J176" s="23"/>
      <c r="K176" s="21"/>
      <c r="L176" s="24"/>
      <c r="M176" s="25"/>
      <c r="N176" s="26"/>
      <c r="O176" s="26"/>
      <c r="P176" s="22"/>
      <c r="Q176" s="21"/>
      <c r="R176" s="27"/>
      <c r="S176" s="28"/>
      <c r="T176" s="22"/>
      <c r="U176" s="34"/>
      <c r="V176" s="35"/>
    </row>
    <row r="177" spans="4:22" ht="15" thickBot="1" x14ac:dyDescent="0.4">
      <c r="D177" s="19"/>
      <c r="E177" s="36"/>
      <c r="F177" s="21"/>
      <c r="G177" s="22"/>
      <c r="H177" s="21"/>
      <c r="I177" s="22"/>
      <c r="J177" s="23"/>
      <c r="K177" s="21"/>
      <c r="L177" s="24"/>
      <c r="M177" s="25"/>
      <c r="N177" s="26"/>
      <c r="O177" s="26"/>
      <c r="P177" s="22"/>
      <c r="Q177" s="21"/>
      <c r="R177" s="27"/>
      <c r="S177" s="28"/>
      <c r="T177" s="22"/>
      <c r="U177" s="34"/>
      <c r="V177" s="35"/>
    </row>
    <row r="178" spans="4:22" ht="15" thickBot="1" x14ac:dyDescent="0.4">
      <c r="D178" s="19"/>
      <c r="F178" s="21"/>
      <c r="G178" s="22"/>
      <c r="H178" s="21"/>
      <c r="I178" s="22"/>
      <c r="J178" s="23"/>
      <c r="K178" s="21"/>
      <c r="L178" s="24"/>
      <c r="M178" s="25"/>
      <c r="N178" s="26"/>
      <c r="O178" s="26"/>
      <c r="P178" s="22"/>
      <c r="Q178" s="21"/>
      <c r="R178" s="27"/>
      <c r="S178" s="28"/>
      <c r="T178" s="22"/>
      <c r="U178" s="22"/>
      <c r="V178" s="35"/>
    </row>
    <row r="179" spans="4:22" ht="15" thickBot="1" x14ac:dyDescent="0.4">
      <c r="D179" s="19"/>
      <c r="E179" s="36"/>
      <c r="F179" s="21"/>
      <c r="G179" s="22"/>
      <c r="H179" s="21"/>
      <c r="I179" s="22"/>
      <c r="J179" s="23"/>
      <c r="K179" s="21"/>
      <c r="L179" s="24"/>
      <c r="M179" s="25"/>
      <c r="N179" s="26"/>
      <c r="O179" s="26"/>
      <c r="P179" s="22"/>
      <c r="Q179" s="21"/>
      <c r="R179" s="27"/>
      <c r="S179" s="28"/>
      <c r="T179" s="22"/>
      <c r="U179" s="22"/>
      <c r="V179" s="35"/>
    </row>
    <row r="180" spans="4:22" ht="15" thickBot="1" x14ac:dyDescent="0.4">
      <c r="D180" s="19"/>
      <c r="F180" s="21"/>
      <c r="G180" s="22"/>
      <c r="H180" s="21"/>
      <c r="I180" s="22"/>
      <c r="J180" s="23"/>
      <c r="K180" s="21"/>
      <c r="L180" s="24"/>
      <c r="M180" s="25"/>
      <c r="N180" s="26"/>
      <c r="O180" s="26"/>
      <c r="P180" s="22"/>
      <c r="Q180" s="21"/>
      <c r="R180" s="27"/>
      <c r="S180" s="28"/>
      <c r="T180" s="22"/>
      <c r="U180" s="34"/>
      <c r="V180" s="35"/>
    </row>
    <row r="181" spans="4:22" ht="15" thickBot="1" x14ac:dyDescent="0.4">
      <c r="D181" s="19"/>
      <c r="E181" s="36"/>
      <c r="F181" s="21"/>
      <c r="G181" s="22"/>
      <c r="H181" s="21"/>
      <c r="I181" s="22"/>
      <c r="J181" s="23"/>
      <c r="K181" s="21"/>
      <c r="L181" s="24"/>
      <c r="M181" s="25"/>
      <c r="N181" s="26"/>
      <c r="O181" s="26"/>
      <c r="P181" s="22"/>
      <c r="Q181" s="21"/>
      <c r="R181" s="27"/>
      <c r="S181" s="28"/>
      <c r="T181" s="22"/>
      <c r="U181" s="22"/>
      <c r="V181" s="35"/>
    </row>
    <row r="182" spans="4:22" ht="15" thickBot="1" x14ac:dyDescent="0.4">
      <c r="D182" s="19"/>
      <c r="E182" s="36"/>
      <c r="F182" s="21"/>
      <c r="G182" s="22"/>
      <c r="H182" s="21"/>
      <c r="I182" s="22"/>
      <c r="J182" s="23"/>
      <c r="K182" s="21"/>
      <c r="L182" s="24"/>
      <c r="M182" s="25"/>
      <c r="N182" s="26"/>
      <c r="O182" s="26"/>
      <c r="P182" s="22"/>
      <c r="Q182" s="21"/>
      <c r="R182" s="27"/>
      <c r="S182" s="28"/>
      <c r="T182" s="22"/>
      <c r="U182" s="33"/>
      <c r="V182" s="35"/>
    </row>
    <row r="183" spans="4:22" ht="15" thickBot="1" x14ac:dyDescent="0.4">
      <c r="D183" s="19"/>
      <c r="E183" s="36"/>
      <c r="F183" s="21"/>
      <c r="G183" s="22"/>
      <c r="H183" s="21"/>
      <c r="I183" s="22"/>
      <c r="J183" s="23"/>
      <c r="K183" s="21"/>
      <c r="L183" s="24"/>
      <c r="M183" s="25"/>
      <c r="N183" s="26"/>
      <c r="O183" s="26"/>
      <c r="P183" s="22"/>
      <c r="Q183" s="21"/>
      <c r="R183" s="27"/>
      <c r="S183" s="28"/>
      <c r="T183" s="22"/>
      <c r="U183" s="32"/>
      <c r="V183" s="35"/>
    </row>
    <row r="184" spans="4:22" ht="15" thickBot="1" x14ac:dyDescent="0.4">
      <c r="D184" s="19"/>
      <c r="E184" s="36"/>
      <c r="F184" s="21"/>
      <c r="G184" s="22"/>
      <c r="H184" s="21"/>
      <c r="I184" s="22"/>
      <c r="J184" s="23"/>
      <c r="K184" s="21"/>
      <c r="L184" s="24"/>
      <c r="M184" s="25"/>
      <c r="N184" s="26"/>
      <c r="O184" s="26"/>
      <c r="P184" s="22"/>
      <c r="Q184" s="21"/>
      <c r="R184" s="27"/>
      <c r="S184" s="28"/>
      <c r="T184" s="22"/>
      <c r="U184" s="33"/>
      <c r="V184" s="35"/>
    </row>
    <row r="185" spans="4:22" ht="15" thickBot="1" x14ac:dyDescent="0.4">
      <c r="D185" s="19"/>
      <c r="E185" s="36"/>
      <c r="F185" s="21"/>
      <c r="G185" s="22"/>
      <c r="H185" s="21"/>
      <c r="I185" s="22"/>
      <c r="J185" s="23"/>
      <c r="K185" s="21"/>
      <c r="L185" s="24"/>
      <c r="M185" s="25"/>
      <c r="N185" s="26"/>
      <c r="O185" s="26"/>
      <c r="P185" s="22"/>
      <c r="Q185" s="21"/>
      <c r="R185" s="27"/>
      <c r="S185" s="28"/>
      <c r="T185" s="22"/>
      <c r="U185" s="33"/>
      <c r="V185" s="35"/>
    </row>
    <row r="186" spans="4:22" ht="15" thickBot="1" x14ac:dyDescent="0.4">
      <c r="D186" s="19"/>
      <c r="E186" s="36"/>
      <c r="F186" s="21"/>
      <c r="G186" s="22"/>
      <c r="H186" s="21"/>
      <c r="I186" s="22"/>
      <c r="J186" s="23"/>
      <c r="K186" s="21"/>
      <c r="L186" s="24"/>
      <c r="M186" s="25"/>
      <c r="N186" s="26"/>
      <c r="O186" s="26"/>
      <c r="P186" s="22"/>
      <c r="Q186" s="21"/>
      <c r="R186" s="27"/>
      <c r="S186" s="28"/>
      <c r="T186" s="22"/>
      <c r="U186" s="33"/>
      <c r="V186" s="35"/>
    </row>
    <row r="187" spans="4:22" ht="15" thickBot="1" x14ac:dyDescent="0.4">
      <c r="D187" s="19"/>
      <c r="E187" s="36"/>
      <c r="F187" s="21"/>
      <c r="G187" s="22"/>
      <c r="H187" s="21"/>
      <c r="I187" s="22"/>
      <c r="J187" s="23"/>
      <c r="K187" s="21"/>
      <c r="L187" s="24"/>
      <c r="M187" s="25"/>
      <c r="N187" s="26"/>
      <c r="O187" s="26"/>
      <c r="P187" s="22"/>
      <c r="Q187" s="21"/>
      <c r="R187" s="27"/>
      <c r="S187" s="28"/>
      <c r="T187" s="22"/>
      <c r="U187" s="32"/>
      <c r="V187" s="35"/>
    </row>
    <row r="188" spans="4:22" ht="15" thickBot="1" x14ac:dyDescent="0.4">
      <c r="D188" s="19"/>
      <c r="E188" s="36"/>
      <c r="F188" s="21"/>
      <c r="G188" s="22"/>
      <c r="H188" s="21"/>
      <c r="I188" s="22"/>
      <c r="J188" s="23"/>
      <c r="K188" s="21"/>
      <c r="L188" s="24"/>
      <c r="M188" s="25"/>
      <c r="N188" s="26"/>
      <c r="O188" s="26"/>
      <c r="P188" s="22"/>
      <c r="Q188" s="21"/>
      <c r="R188" s="27"/>
      <c r="S188" s="28"/>
      <c r="T188" s="22"/>
      <c r="U188" s="32"/>
      <c r="V188" s="35"/>
    </row>
    <row r="189" spans="4:22" ht="15" thickBot="1" x14ac:dyDescent="0.4">
      <c r="D189" s="19"/>
      <c r="E189" s="36"/>
      <c r="F189" s="21"/>
      <c r="G189" s="22"/>
      <c r="H189" s="21"/>
      <c r="I189" s="22"/>
      <c r="J189" s="23"/>
      <c r="K189" s="21"/>
      <c r="L189" s="24"/>
      <c r="M189" s="25"/>
      <c r="N189" s="26"/>
      <c r="O189" s="26"/>
      <c r="P189" s="22"/>
      <c r="Q189" s="21"/>
      <c r="R189" s="27"/>
      <c r="S189" s="28"/>
      <c r="T189" s="22"/>
      <c r="U189" s="33"/>
      <c r="V189" s="35"/>
    </row>
    <row r="190" spans="4:22" ht="15" thickBot="1" x14ac:dyDescent="0.4">
      <c r="D190" s="19"/>
      <c r="E190" s="36"/>
      <c r="F190" s="21"/>
      <c r="G190" s="22"/>
      <c r="H190" s="21"/>
      <c r="I190" s="22"/>
      <c r="J190" s="23"/>
      <c r="K190" s="21"/>
      <c r="L190" s="24"/>
      <c r="M190" s="25"/>
      <c r="N190" s="26"/>
      <c r="O190" s="26"/>
      <c r="P190" s="22"/>
      <c r="Q190" s="21"/>
      <c r="R190" s="27"/>
      <c r="S190" s="28"/>
      <c r="T190" s="22"/>
      <c r="U190" s="32"/>
      <c r="V190" s="35"/>
    </row>
    <row r="191" spans="4:22" ht="15" thickBot="1" x14ac:dyDescent="0.4">
      <c r="D191" s="19"/>
      <c r="F191" s="21"/>
      <c r="G191" s="22"/>
      <c r="H191" s="21"/>
      <c r="I191" s="22"/>
      <c r="J191" s="23"/>
      <c r="K191" s="21"/>
      <c r="L191" s="24"/>
      <c r="M191" s="25"/>
      <c r="N191" s="26"/>
      <c r="O191" s="26"/>
      <c r="P191" s="22"/>
      <c r="Q191" s="21"/>
      <c r="R191" s="27"/>
      <c r="S191" s="28"/>
      <c r="T191" s="22"/>
      <c r="U191" s="32"/>
      <c r="V191" s="35"/>
    </row>
    <row r="192" spans="4:22" ht="15" thickBot="1" x14ac:dyDescent="0.4">
      <c r="D192" s="19"/>
      <c r="E192" s="36"/>
      <c r="F192" s="21"/>
      <c r="G192" s="22"/>
      <c r="H192" s="21"/>
      <c r="I192" s="22"/>
      <c r="J192" s="23"/>
      <c r="K192" s="21"/>
      <c r="L192" s="24"/>
      <c r="M192" s="25"/>
      <c r="N192" s="26"/>
      <c r="O192" s="26"/>
      <c r="P192" s="22"/>
      <c r="Q192" s="21"/>
      <c r="R192" s="27"/>
      <c r="S192" s="28"/>
      <c r="T192" s="22"/>
      <c r="U192" s="33"/>
      <c r="V192" s="35"/>
    </row>
    <row r="193" spans="4:22" ht="15" thickBot="1" x14ac:dyDescent="0.4">
      <c r="D193" s="19"/>
      <c r="E193" s="36"/>
      <c r="F193" s="21"/>
      <c r="G193" s="22"/>
      <c r="H193" s="21"/>
      <c r="I193" s="22"/>
      <c r="J193" s="23"/>
      <c r="K193" s="21"/>
      <c r="L193" s="24"/>
      <c r="M193" s="25"/>
      <c r="N193" s="26"/>
      <c r="O193" s="26"/>
      <c r="P193" s="22"/>
      <c r="Q193" s="21"/>
      <c r="R193" s="27"/>
      <c r="S193" s="28"/>
      <c r="T193" s="22"/>
      <c r="U193" s="32"/>
      <c r="V193" s="35"/>
    </row>
    <row r="194" spans="4:22" ht="15" thickBot="1" x14ac:dyDescent="0.4">
      <c r="D194" s="19"/>
      <c r="E194" s="36"/>
      <c r="F194" s="21"/>
      <c r="G194" s="22"/>
      <c r="H194" s="21"/>
      <c r="I194" s="22"/>
      <c r="J194" s="23"/>
      <c r="K194" s="21"/>
      <c r="L194" s="24"/>
      <c r="M194" s="25"/>
      <c r="N194" s="26"/>
      <c r="O194" s="26"/>
      <c r="P194" s="22"/>
      <c r="Q194" s="21"/>
      <c r="R194" s="27"/>
      <c r="S194" s="28"/>
      <c r="T194" s="22"/>
      <c r="U194" s="32"/>
      <c r="V194" s="35"/>
    </row>
    <row r="195" spans="4:22" ht="15" thickBot="1" x14ac:dyDescent="0.4">
      <c r="D195" s="19"/>
      <c r="E195" s="20"/>
      <c r="F195" s="21"/>
      <c r="G195" s="22"/>
      <c r="H195" s="21"/>
      <c r="I195" s="22"/>
      <c r="J195" s="23"/>
      <c r="K195" s="21"/>
      <c r="L195" s="24"/>
      <c r="M195" s="25"/>
      <c r="N195" s="26"/>
      <c r="O195" s="26"/>
      <c r="P195" s="22"/>
      <c r="Q195" s="21"/>
      <c r="R195" s="27"/>
      <c r="S195" s="28"/>
      <c r="T195" s="22"/>
      <c r="U195" s="32"/>
      <c r="V195" s="35"/>
    </row>
    <row r="196" spans="4:22" ht="15" thickBot="1" x14ac:dyDescent="0.4">
      <c r="D196" s="19"/>
      <c r="E196" s="20"/>
      <c r="F196" s="21"/>
      <c r="G196" s="22"/>
      <c r="H196" s="21"/>
      <c r="I196" s="22"/>
      <c r="J196" s="23"/>
      <c r="K196" s="21"/>
      <c r="L196" s="24"/>
      <c r="M196" s="25"/>
      <c r="N196" s="26"/>
      <c r="O196" s="26"/>
      <c r="P196" s="22"/>
      <c r="Q196" s="21"/>
      <c r="R196" s="27"/>
      <c r="S196" s="28"/>
      <c r="T196" s="22"/>
      <c r="U196" s="33"/>
      <c r="V196" s="35"/>
    </row>
    <row r="197" spans="4:22" ht="15" thickBot="1" x14ac:dyDescent="0.4">
      <c r="D197" s="19"/>
      <c r="E197" s="20"/>
      <c r="F197" s="21"/>
      <c r="G197" s="22"/>
      <c r="H197" s="21"/>
      <c r="I197" s="22"/>
      <c r="J197" s="23"/>
      <c r="K197" s="21"/>
      <c r="L197" s="24"/>
      <c r="M197" s="25"/>
      <c r="N197" s="26"/>
      <c r="O197" s="26"/>
      <c r="P197" s="22"/>
      <c r="Q197" s="21"/>
      <c r="R197" s="27"/>
      <c r="S197" s="28"/>
      <c r="T197" s="22"/>
      <c r="U197" s="32"/>
      <c r="V197" s="35"/>
    </row>
    <row r="198" spans="4:22" ht="15" thickBot="1" x14ac:dyDescent="0.4">
      <c r="D198" s="19"/>
      <c r="E198" s="20"/>
      <c r="F198" s="21"/>
      <c r="G198" s="22"/>
      <c r="H198" s="21"/>
      <c r="I198" s="22"/>
      <c r="J198" s="23"/>
      <c r="K198" s="21"/>
      <c r="L198" s="24"/>
      <c r="M198" s="25"/>
      <c r="N198" s="26"/>
      <c r="O198" s="26"/>
      <c r="P198" s="22"/>
      <c r="Q198" s="21"/>
      <c r="R198" s="27"/>
      <c r="S198" s="28"/>
      <c r="T198" s="22"/>
      <c r="U198" s="33"/>
      <c r="V198" s="35"/>
    </row>
    <row r="199" spans="4:22" ht="15" thickBot="1" x14ac:dyDescent="0.4">
      <c r="D199" s="19"/>
      <c r="E199" s="20"/>
      <c r="F199" s="21"/>
      <c r="G199" s="22"/>
      <c r="H199" s="21"/>
      <c r="I199" s="22"/>
      <c r="J199" s="23"/>
      <c r="K199" s="21"/>
      <c r="L199" s="24"/>
      <c r="M199" s="25"/>
      <c r="N199" s="26"/>
      <c r="O199" s="26"/>
      <c r="P199" s="22"/>
      <c r="Q199" s="21"/>
      <c r="R199" s="27"/>
      <c r="S199" s="28"/>
      <c r="T199" s="22"/>
      <c r="U199" s="33"/>
      <c r="V199" s="35"/>
    </row>
    <row r="200" spans="4:22" ht="15" thickBot="1" x14ac:dyDescent="0.4">
      <c r="D200" s="19"/>
      <c r="E200" s="20"/>
      <c r="F200" s="21"/>
      <c r="G200" s="22"/>
      <c r="H200" s="21"/>
      <c r="I200" s="22"/>
      <c r="J200" s="23"/>
      <c r="K200" s="21"/>
      <c r="L200" s="24"/>
      <c r="M200" s="25"/>
      <c r="N200" s="26"/>
      <c r="O200" s="26"/>
      <c r="P200" s="22"/>
      <c r="Q200" s="21"/>
      <c r="R200" s="27"/>
      <c r="S200" s="28"/>
      <c r="T200" s="22"/>
      <c r="U200" s="32"/>
      <c r="V200" s="35"/>
    </row>
    <row r="201" spans="4:22" ht="15" thickBot="1" x14ac:dyDescent="0.4">
      <c r="D201" s="19"/>
      <c r="E201" s="20"/>
      <c r="F201" s="21"/>
      <c r="G201" s="22"/>
      <c r="H201" s="21"/>
      <c r="I201" s="22"/>
      <c r="J201" s="23"/>
      <c r="K201" s="21"/>
      <c r="L201" s="24"/>
      <c r="M201" s="25"/>
      <c r="N201" s="26"/>
      <c r="O201" s="26"/>
      <c r="P201" s="22"/>
      <c r="Q201" s="21"/>
      <c r="R201" s="27"/>
      <c r="S201" s="28"/>
      <c r="T201" s="22"/>
      <c r="U201" s="33"/>
      <c r="V201" s="35"/>
    </row>
    <row r="202" spans="4:22" ht="15" thickBot="1" x14ac:dyDescent="0.4">
      <c r="D202" s="19"/>
      <c r="E202" s="20"/>
      <c r="F202" s="21"/>
      <c r="G202" s="22"/>
      <c r="H202" s="21"/>
      <c r="I202" s="22"/>
      <c r="J202" s="23"/>
      <c r="K202" s="21"/>
      <c r="L202" s="24"/>
      <c r="M202" s="25"/>
      <c r="N202" s="26"/>
      <c r="O202" s="26"/>
      <c r="P202" s="22"/>
      <c r="Q202" s="21"/>
      <c r="R202" s="27"/>
      <c r="S202" s="28"/>
      <c r="T202" s="22"/>
      <c r="U202" s="33"/>
      <c r="V202" s="35"/>
    </row>
    <row r="203" spans="4:22" ht="15" thickBot="1" x14ac:dyDescent="0.4">
      <c r="D203" s="19"/>
      <c r="E203" s="20"/>
      <c r="F203" s="21"/>
      <c r="G203" s="22"/>
      <c r="H203" s="21"/>
      <c r="I203" s="22"/>
      <c r="J203" s="23"/>
      <c r="K203" s="21"/>
      <c r="L203" s="24"/>
      <c r="M203" s="25"/>
      <c r="N203" s="26"/>
      <c r="O203" s="26"/>
      <c r="P203" s="22"/>
      <c r="Q203" s="21"/>
      <c r="R203" s="27"/>
      <c r="S203" s="28"/>
      <c r="T203" s="22"/>
      <c r="U203" s="32"/>
      <c r="V203" s="35"/>
    </row>
    <row r="204" spans="4:22" ht="15" thickBot="1" x14ac:dyDescent="0.4">
      <c r="D204" s="19"/>
      <c r="E204" s="20"/>
      <c r="F204" s="21"/>
      <c r="G204" s="22"/>
      <c r="H204" s="21"/>
      <c r="I204" s="22"/>
      <c r="J204" s="23"/>
      <c r="K204" s="21"/>
      <c r="L204" s="24"/>
      <c r="M204" s="25"/>
      <c r="N204" s="26"/>
      <c r="O204" s="26"/>
      <c r="P204" s="22"/>
      <c r="Q204" s="21"/>
      <c r="R204" s="27"/>
      <c r="S204" s="28"/>
      <c r="T204" s="22"/>
      <c r="U204" s="33"/>
      <c r="V204" s="35"/>
    </row>
    <row r="205" spans="4:22" ht="15" thickBot="1" x14ac:dyDescent="0.4">
      <c r="D205" s="19"/>
      <c r="E205" s="20"/>
      <c r="F205" s="21"/>
      <c r="G205" s="22"/>
      <c r="H205" s="21"/>
      <c r="I205" s="22"/>
      <c r="J205" s="23"/>
      <c r="K205" s="21"/>
      <c r="L205" s="24"/>
      <c r="M205" s="25"/>
      <c r="N205" s="26"/>
      <c r="O205" s="26"/>
      <c r="P205" s="22"/>
      <c r="Q205" s="21"/>
      <c r="R205" s="27"/>
      <c r="S205" s="28"/>
      <c r="T205" s="22"/>
      <c r="U205" s="32"/>
      <c r="V205" s="35"/>
    </row>
    <row r="206" spans="4:22" ht="15" thickBot="1" x14ac:dyDescent="0.4">
      <c r="D206" s="19"/>
      <c r="E206" s="20"/>
      <c r="F206" s="21"/>
      <c r="G206" s="22"/>
      <c r="H206" s="21"/>
      <c r="I206" s="22"/>
      <c r="J206" s="23"/>
      <c r="K206" s="21"/>
      <c r="L206" s="24"/>
      <c r="M206" s="25"/>
      <c r="N206" s="26"/>
      <c r="O206" s="26"/>
      <c r="P206" s="22"/>
      <c r="Q206" s="21"/>
      <c r="R206" s="27"/>
      <c r="S206" s="28"/>
      <c r="T206" s="22"/>
      <c r="U206" s="33"/>
      <c r="V206" s="35"/>
    </row>
    <row r="207" spans="4:22" ht="15" thickBot="1" x14ac:dyDescent="0.4">
      <c r="D207" s="19"/>
      <c r="E207" s="20"/>
      <c r="F207" s="21"/>
      <c r="G207" s="22"/>
      <c r="H207" s="21"/>
      <c r="I207" s="22"/>
      <c r="J207" s="23"/>
      <c r="K207" s="21"/>
      <c r="L207" s="24"/>
      <c r="M207" s="25"/>
      <c r="N207" s="26"/>
      <c r="O207" s="26"/>
      <c r="P207" s="22"/>
      <c r="Q207" s="21"/>
      <c r="R207" s="27"/>
      <c r="S207" s="28"/>
      <c r="T207" s="22"/>
      <c r="U207" s="33"/>
      <c r="V207" s="35"/>
    </row>
    <row r="208" spans="4:22" ht="15" thickBot="1" x14ac:dyDescent="0.4">
      <c r="D208" s="19"/>
      <c r="E208" s="20"/>
      <c r="F208" s="21"/>
      <c r="G208" s="22"/>
      <c r="H208" s="21"/>
      <c r="I208" s="22"/>
      <c r="J208" s="23"/>
      <c r="K208" s="21"/>
      <c r="L208" s="24"/>
      <c r="M208" s="25"/>
      <c r="N208" s="26"/>
      <c r="O208" s="26"/>
      <c r="P208" s="22"/>
      <c r="Q208" s="21"/>
      <c r="R208" s="27"/>
      <c r="S208" s="28"/>
      <c r="T208" s="22"/>
      <c r="U208" s="33"/>
      <c r="V208" s="35"/>
    </row>
    <row r="209" spans="4:22" ht="15" thickBot="1" x14ac:dyDescent="0.4">
      <c r="D209" s="19"/>
      <c r="E209" s="20"/>
      <c r="F209" s="21"/>
      <c r="G209" s="22"/>
      <c r="H209" s="21"/>
      <c r="I209" s="22"/>
      <c r="J209" s="23"/>
      <c r="K209" s="21"/>
      <c r="L209" s="24"/>
      <c r="M209" s="25"/>
      <c r="N209" s="26"/>
      <c r="O209" s="26"/>
      <c r="P209" s="22"/>
      <c r="Q209" s="21"/>
      <c r="R209" s="27"/>
      <c r="S209" s="28"/>
      <c r="T209" s="22"/>
      <c r="U209" s="33"/>
      <c r="V209" s="35"/>
    </row>
    <row r="210" spans="4:22" ht="15" thickBot="1" x14ac:dyDescent="0.4">
      <c r="D210" s="19"/>
      <c r="E210" s="20"/>
      <c r="F210" s="21"/>
      <c r="G210" s="22"/>
      <c r="H210" s="21"/>
      <c r="I210" s="22"/>
      <c r="J210" s="23"/>
      <c r="K210" s="21"/>
      <c r="L210" s="24"/>
      <c r="M210" s="25"/>
      <c r="N210" s="26"/>
      <c r="O210" s="26"/>
      <c r="P210" s="22"/>
      <c r="Q210" s="21"/>
      <c r="R210" s="27"/>
      <c r="S210" s="28"/>
      <c r="T210" s="22"/>
      <c r="U210" s="33"/>
      <c r="V210" s="35"/>
    </row>
    <row r="211" spans="4:22" ht="15" thickBot="1" x14ac:dyDescent="0.4">
      <c r="D211" s="19"/>
      <c r="E211" s="20"/>
      <c r="F211" s="21"/>
      <c r="G211" s="22"/>
      <c r="H211" s="21"/>
      <c r="I211" s="22"/>
      <c r="J211" s="23"/>
      <c r="K211" s="21"/>
      <c r="L211" s="24"/>
      <c r="M211" s="25"/>
      <c r="N211" s="26"/>
      <c r="O211" s="26"/>
      <c r="P211" s="22"/>
      <c r="Q211" s="21"/>
      <c r="R211" s="27"/>
      <c r="S211" s="28"/>
      <c r="T211" s="22"/>
      <c r="U211" s="32"/>
      <c r="V211" s="35"/>
    </row>
    <row r="212" spans="4:22" ht="15" thickBot="1" x14ac:dyDescent="0.4">
      <c r="D212" s="19"/>
      <c r="E212" s="20"/>
      <c r="F212" s="21"/>
      <c r="G212" s="22"/>
      <c r="H212" s="21"/>
      <c r="I212" s="22"/>
      <c r="J212" s="23"/>
      <c r="K212" s="21"/>
      <c r="L212" s="24"/>
      <c r="M212" s="25"/>
      <c r="N212" s="26"/>
      <c r="O212" s="26"/>
      <c r="P212" s="22"/>
      <c r="Q212" s="21"/>
      <c r="R212" s="27"/>
      <c r="S212" s="28"/>
      <c r="T212" s="22"/>
      <c r="U212" s="33"/>
      <c r="V212" s="35"/>
    </row>
    <row r="213" spans="4:22" ht="15" thickBot="1" x14ac:dyDescent="0.4">
      <c r="D213" s="19"/>
      <c r="E213" s="20"/>
      <c r="F213" s="21"/>
      <c r="G213" s="22"/>
      <c r="H213" s="21"/>
      <c r="I213" s="22"/>
      <c r="J213" s="23"/>
      <c r="K213" s="21"/>
      <c r="L213" s="24"/>
      <c r="M213" s="25"/>
      <c r="N213" s="26"/>
      <c r="O213" s="26"/>
      <c r="P213" s="22"/>
      <c r="Q213" s="21"/>
      <c r="R213" s="27"/>
      <c r="S213" s="28"/>
      <c r="T213" s="22"/>
      <c r="U213" s="32"/>
      <c r="V213" s="35"/>
    </row>
    <row r="214" spans="4:22" ht="15" thickBot="1" x14ac:dyDescent="0.4">
      <c r="D214" s="19"/>
      <c r="E214" s="20"/>
      <c r="F214" s="21"/>
      <c r="G214" s="22"/>
      <c r="H214" s="21"/>
      <c r="I214" s="22"/>
      <c r="J214" s="23"/>
      <c r="K214" s="21"/>
      <c r="L214" s="24"/>
      <c r="M214" s="25"/>
      <c r="N214" s="26"/>
      <c r="O214" s="26"/>
      <c r="P214" s="22"/>
      <c r="Q214" s="21"/>
      <c r="R214" s="27"/>
      <c r="S214" s="28"/>
      <c r="T214" s="22"/>
      <c r="U214" s="33"/>
      <c r="V214" s="35"/>
    </row>
    <row r="215" spans="4:22" ht="15" thickBot="1" x14ac:dyDescent="0.4">
      <c r="D215" s="19"/>
      <c r="E215" s="20"/>
      <c r="F215" s="21"/>
      <c r="G215" s="22"/>
      <c r="H215" s="21"/>
      <c r="I215" s="22"/>
      <c r="J215" s="23"/>
      <c r="K215" s="21"/>
      <c r="L215" s="24"/>
      <c r="M215" s="25"/>
      <c r="N215" s="26"/>
      <c r="O215" s="26"/>
      <c r="P215" s="22"/>
      <c r="Q215" s="21"/>
      <c r="R215" s="27"/>
      <c r="S215" s="28"/>
      <c r="T215" s="22"/>
      <c r="U215" s="33"/>
      <c r="V215" s="35"/>
    </row>
    <row r="216" spans="4:22" ht="15" thickBot="1" x14ac:dyDescent="0.4">
      <c r="D216" s="19"/>
      <c r="E216" s="20"/>
      <c r="F216" s="21"/>
      <c r="G216" s="22"/>
      <c r="H216" s="21"/>
      <c r="I216" s="22"/>
      <c r="J216" s="23"/>
      <c r="K216" s="21"/>
      <c r="L216" s="24"/>
      <c r="M216" s="25"/>
      <c r="N216" s="26"/>
      <c r="O216" s="26"/>
      <c r="P216" s="22"/>
      <c r="Q216" s="21"/>
      <c r="R216" s="27"/>
      <c r="S216" s="28"/>
      <c r="T216" s="22"/>
      <c r="U216" s="33"/>
      <c r="V216" s="35"/>
    </row>
    <row r="217" spans="4:22" ht="15" thickBot="1" x14ac:dyDescent="0.4">
      <c r="D217" s="19"/>
      <c r="E217" s="20"/>
      <c r="F217" s="21"/>
      <c r="G217" s="22"/>
      <c r="H217" s="21"/>
      <c r="I217" s="22"/>
      <c r="J217" s="23"/>
      <c r="K217" s="21"/>
      <c r="L217" s="24"/>
      <c r="M217" s="25"/>
      <c r="N217" s="26"/>
      <c r="O217" s="26"/>
      <c r="P217" s="22"/>
      <c r="Q217" s="21"/>
      <c r="R217" s="27"/>
      <c r="S217" s="28"/>
      <c r="T217" s="22"/>
      <c r="U217" s="32"/>
      <c r="V217" s="35"/>
    </row>
    <row r="218" spans="4:22" ht="15" thickBot="1" x14ac:dyDescent="0.4">
      <c r="D218" s="19"/>
      <c r="E218" s="20"/>
      <c r="F218" s="21"/>
      <c r="G218" s="22"/>
      <c r="H218" s="21"/>
      <c r="I218" s="22"/>
      <c r="J218" s="23"/>
      <c r="K218" s="21"/>
      <c r="L218" s="24"/>
      <c r="M218" s="25"/>
      <c r="N218" s="26"/>
      <c r="O218" s="26"/>
      <c r="P218" s="22"/>
      <c r="Q218" s="21"/>
      <c r="R218" s="27"/>
      <c r="S218" s="28"/>
      <c r="T218" s="22"/>
      <c r="U218" s="33"/>
      <c r="V218" s="35"/>
    </row>
    <row r="219" spans="4:22" ht="15" thickBot="1" x14ac:dyDescent="0.4">
      <c r="D219" s="19"/>
      <c r="E219" s="20"/>
      <c r="F219" s="21"/>
      <c r="G219" s="22"/>
      <c r="H219" s="21"/>
      <c r="I219" s="22"/>
      <c r="J219" s="23"/>
      <c r="K219" s="21"/>
      <c r="L219" s="24"/>
      <c r="M219" s="25"/>
      <c r="N219" s="26"/>
      <c r="O219" s="26"/>
      <c r="P219" s="22"/>
      <c r="Q219" s="21"/>
      <c r="R219" s="27"/>
      <c r="S219" s="28"/>
      <c r="T219" s="22"/>
      <c r="U219" s="32"/>
      <c r="V219" s="35"/>
    </row>
    <row r="220" spans="4:22" ht="15" thickBot="1" x14ac:dyDescent="0.4">
      <c r="D220" s="19"/>
      <c r="E220" s="20"/>
      <c r="F220" s="21"/>
      <c r="G220" s="22"/>
      <c r="H220" s="21"/>
      <c r="I220" s="22"/>
      <c r="J220" s="23"/>
      <c r="K220" s="21"/>
      <c r="L220" s="24"/>
      <c r="M220" s="25"/>
      <c r="N220" s="26"/>
      <c r="O220" s="26"/>
      <c r="P220" s="22"/>
      <c r="Q220" s="21"/>
      <c r="R220" s="27"/>
      <c r="S220" s="28"/>
      <c r="T220" s="22"/>
      <c r="U220" s="22"/>
      <c r="V220" s="35"/>
    </row>
    <row r="221" spans="4:22" ht="15" thickBot="1" x14ac:dyDescent="0.4">
      <c r="D221" s="19"/>
      <c r="E221" s="20"/>
      <c r="F221" s="21"/>
      <c r="G221" s="22"/>
      <c r="H221" s="21"/>
      <c r="I221" s="22"/>
      <c r="J221" s="23"/>
      <c r="K221" s="21"/>
      <c r="L221" s="24"/>
      <c r="M221" s="25"/>
      <c r="N221" s="26"/>
      <c r="O221" s="26"/>
      <c r="P221" s="22"/>
      <c r="Q221" s="21"/>
      <c r="R221" s="27"/>
      <c r="S221" s="28"/>
      <c r="T221" s="22"/>
      <c r="U221" s="22"/>
      <c r="V221" s="35"/>
    </row>
    <row r="222" spans="4:22" ht="15" thickBot="1" x14ac:dyDescent="0.4">
      <c r="D222" s="19"/>
      <c r="E222" s="20"/>
      <c r="F222" s="21"/>
      <c r="G222" s="22"/>
      <c r="H222" s="21"/>
      <c r="I222" s="22"/>
      <c r="J222" s="23"/>
      <c r="K222" s="21"/>
      <c r="L222" s="24"/>
      <c r="M222" s="25"/>
      <c r="N222" s="26"/>
      <c r="O222" s="26"/>
      <c r="P222" s="22"/>
      <c r="Q222" s="21"/>
      <c r="R222" s="27"/>
      <c r="S222" s="28"/>
      <c r="T222" s="22"/>
      <c r="U222" s="22"/>
      <c r="V222" s="35"/>
    </row>
    <row r="223" spans="4:22" ht="15" thickBot="1" x14ac:dyDescent="0.4">
      <c r="D223" s="19"/>
      <c r="E223" s="20"/>
      <c r="F223" s="21"/>
      <c r="G223" s="22"/>
      <c r="H223" s="21"/>
      <c r="I223" s="22"/>
      <c r="J223" s="23"/>
      <c r="K223" s="21"/>
      <c r="L223" s="24"/>
      <c r="M223" s="25"/>
      <c r="N223" s="26"/>
      <c r="O223" s="26"/>
      <c r="P223" s="22"/>
      <c r="Q223" s="21"/>
      <c r="R223" s="27"/>
      <c r="S223" s="28"/>
      <c r="T223" s="22"/>
      <c r="U223" s="34"/>
      <c r="V223" s="35"/>
    </row>
    <row r="224" spans="4:22" ht="15" thickBot="1" x14ac:dyDescent="0.4">
      <c r="D224" s="19"/>
      <c r="E224" s="20"/>
      <c r="F224" s="21"/>
      <c r="G224" s="22"/>
      <c r="H224" s="21"/>
      <c r="I224" s="22"/>
      <c r="J224" s="23"/>
      <c r="K224" s="21"/>
      <c r="L224" s="24"/>
      <c r="M224" s="25"/>
      <c r="N224" s="26"/>
      <c r="O224" s="26"/>
      <c r="P224" s="22"/>
      <c r="Q224" s="21"/>
      <c r="R224" s="27"/>
      <c r="S224" s="28"/>
      <c r="T224" s="22"/>
      <c r="U224" s="34"/>
      <c r="V224" s="35"/>
    </row>
    <row r="225" spans="4:22" ht="15" thickBot="1" x14ac:dyDescent="0.4">
      <c r="D225" s="19"/>
      <c r="E225" s="20"/>
      <c r="F225" s="21"/>
      <c r="G225" s="22"/>
      <c r="H225" s="21"/>
      <c r="I225" s="22"/>
      <c r="J225" s="23"/>
      <c r="K225" s="21"/>
      <c r="L225" s="24"/>
      <c r="M225" s="25"/>
      <c r="N225" s="26"/>
      <c r="O225" s="26"/>
      <c r="P225" s="22"/>
      <c r="Q225" s="21"/>
      <c r="R225" s="27"/>
      <c r="S225" s="28"/>
      <c r="T225" s="22"/>
      <c r="U225" s="34"/>
      <c r="V225" s="35"/>
    </row>
    <row r="226" spans="4:22" ht="15" thickBot="1" x14ac:dyDescent="0.4">
      <c r="D226" s="19"/>
      <c r="E226" s="20"/>
      <c r="F226" s="21"/>
      <c r="G226" s="22"/>
      <c r="H226" s="21"/>
      <c r="I226" s="22"/>
      <c r="J226" s="23"/>
      <c r="K226" s="21"/>
      <c r="L226" s="24"/>
      <c r="M226" s="25"/>
      <c r="N226" s="26"/>
      <c r="O226" s="26"/>
      <c r="P226" s="22"/>
      <c r="Q226" s="21"/>
      <c r="R226" s="27"/>
      <c r="S226" s="28"/>
      <c r="T226" s="22"/>
      <c r="U226" s="22"/>
      <c r="V226" s="35"/>
    </row>
    <row r="227" spans="4:22" ht="15" thickBot="1" x14ac:dyDescent="0.4">
      <c r="D227" s="19"/>
      <c r="E227" s="20"/>
      <c r="F227" s="21"/>
      <c r="G227" s="22"/>
      <c r="H227" s="21"/>
      <c r="I227" s="22"/>
      <c r="J227" s="23"/>
      <c r="K227" s="21"/>
      <c r="L227" s="24"/>
      <c r="M227" s="25"/>
      <c r="N227" s="26"/>
      <c r="O227" s="26"/>
      <c r="P227" s="22"/>
      <c r="Q227" s="21"/>
      <c r="R227" s="27"/>
      <c r="S227" s="28"/>
      <c r="T227" s="22"/>
      <c r="U227" s="22"/>
      <c r="V227" s="35"/>
    </row>
    <row r="228" spans="4:22" ht="15" thickBot="1" x14ac:dyDescent="0.4">
      <c r="D228" s="19"/>
      <c r="E228" s="20"/>
      <c r="F228" s="21"/>
      <c r="G228" s="22"/>
      <c r="H228" s="21"/>
      <c r="I228" s="22"/>
      <c r="J228" s="23"/>
      <c r="K228" s="21"/>
      <c r="L228" s="24"/>
      <c r="M228" s="25"/>
      <c r="N228" s="26"/>
      <c r="O228" s="26"/>
      <c r="P228" s="22"/>
      <c r="Q228" s="21"/>
      <c r="R228" s="27"/>
      <c r="S228" s="28"/>
      <c r="T228" s="22"/>
      <c r="U228" s="22"/>
      <c r="V228" s="35"/>
    </row>
    <row r="229" spans="4:22" ht="15" thickBot="1" x14ac:dyDescent="0.4">
      <c r="D229" s="19"/>
      <c r="E229" s="20"/>
      <c r="F229" s="21"/>
      <c r="G229" s="22"/>
      <c r="H229" s="21"/>
      <c r="I229" s="22"/>
      <c r="J229" s="23"/>
      <c r="K229" s="21"/>
      <c r="L229" s="24"/>
      <c r="M229" s="25"/>
      <c r="N229" s="26"/>
      <c r="O229" s="26"/>
      <c r="P229" s="22"/>
      <c r="Q229" s="21"/>
      <c r="R229" s="27"/>
      <c r="S229" s="28"/>
      <c r="T229" s="22"/>
      <c r="U229" s="22"/>
      <c r="V229" s="35"/>
    </row>
    <row r="230" spans="4:22" ht="15" thickBot="1" x14ac:dyDescent="0.4">
      <c r="D230" s="19"/>
      <c r="E230" s="20"/>
      <c r="F230" s="21"/>
      <c r="G230" s="22"/>
      <c r="H230" s="21"/>
      <c r="I230" s="22"/>
      <c r="J230" s="23"/>
      <c r="K230" s="21"/>
      <c r="L230" s="24"/>
      <c r="M230" s="25"/>
      <c r="N230" s="26"/>
      <c r="O230" s="26"/>
      <c r="P230" s="22"/>
      <c r="Q230" s="21"/>
      <c r="R230" s="27"/>
      <c r="S230" s="28"/>
      <c r="T230" s="22"/>
      <c r="U230" s="34"/>
      <c r="V230" s="35"/>
    </row>
    <row r="231" spans="4:22" ht="15" thickBot="1" x14ac:dyDescent="0.4">
      <c r="D231" s="19"/>
      <c r="E231" s="20"/>
      <c r="F231" s="21"/>
      <c r="G231" s="22"/>
      <c r="H231" s="21"/>
      <c r="I231" s="22"/>
      <c r="J231" s="23"/>
      <c r="K231" s="21"/>
      <c r="L231" s="24"/>
      <c r="M231" s="25"/>
      <c r="N231" s="26"/>
      <c r="O231" s="26"/>
      <c r="P231" s="22"/>
      <c r="Q231" s="21"/>
      <c r="R231" s="27"/>
      <c r="S231" s="28"/>
      <c r="T231" s="22"/>
      <c r="U231" s="22"/>
      <c r="V231" s="35"/>
    </row>
    <row r="232" spans="4:22" ht="15" thickBot="1" x14ac:dyDescent="0.4">
      <c r="D232" s="19"/>
      <c r="E232" s="20"/>
      <c r="F232" s="21"/>
      <c r="G232" s="22"/>
      <c r="H232" s="21"/>
      <c r="I232" s="22"/>
      <c r="J232" s="23"/>
      <c r="K232" s="21"/>
      <c r="L232" s="24"/>
      <c r="M232" s="25"/>
      <c r="N232" s="26"/>
      <c r="O232" s="26"/>
      <c r="P232" s="22"/>
      <c r="Q232" s="21"/>
      <c r="R232" s="27"/>
      <c r="S232" s="28"/>
      <c r="T232" s="22"/>
      <c r="U232" s="22"/>
      <c r="V232" s="35"/>
    </row>
    <row r="233" spans="4:22" ht="15" thickBot="1" x14ac:dyDescent="0.4">
      <c r="D233" s="19"/>
      <c r="E233" s="20"/>
      <c r="F233" s="21"/>
      <c r="G233" s="22"/>
      <c r="H233" s="21"/>
      <c r="I233" s="22"/>
      <c r="J233" s="23"/>
      <c r="K233" s="21"/>
      <c r="L233" s="24"/>
      <c r="M233" s="25"/>
      <c r="N233" s="26"/>
      <c r="O233" s="26"/>
      <c r="P233" s="22"/>
      <c r="Q233" s="21"/>
      <c r="R233" s="27"/>
      <c r="S233" s="28"/>
      <c r="T233" s="22"/>
      <c r="U233" s="22"/>
      <c r="V233" s="35"/>
    </row>
    <row r="234" spans="4:22" ht="15" thickBot="1" x14ac:dyDescent="0.4">
      <c r="D234" s="19"/>
      <c r="E234" s="20"/>
      <c r="F234" s="21"/>
      <c r="G234" s="22"/>
      <c r="H234" s="21"/>
      <c r="I234" s="22"/>
      <c r="J234" s="23"/>
      <c r="K234" s="21"/>
      <c r="L234" s="24"/>
      <c r="M234" s="25"/>
      <c r="N234" s="26"/>
      <c r="O234" s="26"/>
      <c r="P234" s="22"/>
      <c r="Q234" s="21"/>
      <c r="R234" s="27"/>
      <c r="S234" s="28"/>
      <c r="T234" s="22"/>
      <c r="U234" s="34"/>
      <c r="V234" s="35"/>
    </row>
    <row r="235" spans="4:22" ht="15" thickBot="1" x14ac:dyDescent="0.4">
      <c r="D235" s="19"/>
      <c r="E235" s="20"/>
      <c r="F235" s="21"/>
      <c r="G235" s="22"/>
      <c r="H235" s="21"/>
      <c r="I235" s="22"/>
      <c r="J235" s="23"/>
      <c r="K235" s="21"/>
      <c r="L235" s="24"/>
      <c r="M235" s="25"/>
      <c r="N235" s="26"/>
      <c r="O235" s="26"/>
      <c r="P235" s="22"/>
      <c r="Q235" s="21"/>
      <c r="R235" s="27"/>
      <c r="S235" s="28"/>
      <c r="T235" s="22"/>
      <c r="U235" s="22"/>
      <c r="V235" s="35"/>
    </row>
    <row r="236" spans="4:22" ht="15" thickBot="1" x14ac:dyDescent="0.4">
      <c r="D236" s="19"/>
      <c r="E236" s="20"/>
      <c r="F236" s="21"/>
      <c r="G236" s="22"/>
      <c r="H236" s="21"/>
      <c r="I236" s="22"/>
      <c r="J236" s="23"/>
      <c r="K236" s="21"/>
      <c r="L236" s="24"/>
      <c r="M236" s="25"/>
      <c r="N236" s="26"/>
      <c r="O236" s="26"/>
      <c r="P236" s="22"/>
      <c r="Q236" s="21"/>
      <c r="R236" s="27"/>
      <c r="S236" s="28"/>
      <c r="T236" s="22"/>
      <c r="U236" s="22"/>
      <c r="V236" s="35"/>
    </row>
    <row r="237" spans="4:22" ht="15" thickBot="1" x14ac:dyDescent="0.4">
      <c r="D237" s="19"/>
      <c r="E237" s="20"/>
      <c r="F237" s="21"/>
      <c r="G237" s="22"/>
      <c r="H237" s="21"/>
      <c r="I237" s="22"/>
      <c r="J237" s="23"/>
      <c r="K237" s="21"/>
      <c r="L237" s="24"/>
      <c r="M237" s="25"/>
      <c r="N237" s="26"/>
      <c r="O237" s="26"/>
      <c r="P237" s="22"/>
      <c r="Q237" s="21"/>
      <c r="R237" s="27"/>
      <c r="S237" s="28"/>
      <c r="T237" s="22"/>
      <c r="U237" s="22"/>
      <c r="V237" s="35"/>
    </row>
    <row r="238" spans="4:22" ht="15" thickBot="1" x14ac:dyDescent="0.4">
      <c r="D238" s="19"/>
      <c r="E238" s="20"/>
      <c r="F238" s="21"/>
      <c r="G238" s="22"/>
      <c r="H238" s="21"/>
      <c r="I238" s="22"/>
      <c r="J238" s="23"/>
      <c r="K238" s="21"/>
      <c r="L238" s="24"/>
      <c r="M238" s="25"/>
      <c r="N238" s="26"/>
      <c r="O238" s="26"/>
      <c r="P238" s="22"/>
      <c r="Q238" s="21"/>
      <c r="R238" s="27"/>
      <c r="S238" s="28"/>
      <c r="T238" s="22"/>
      <c r="U238" s="34"/>
      <c r="V238" s="35"/>
    </row>
    <row r="239" spans="4:22" ht="15" thickBot="1" x14ac:dyDescent="0.4">
      <c r="D239" s="19"/>
      <c r="E239" s="20"/>
      <c r="F239" s="21"/>
      <c r="G239" s="22"/>
      <c r="H239" s="21"/>
      <c r="I239" s="22"/>
      <c r="J239" s="23"/>
      <c r="K239" s="21"/>
      <c r="L239" s="24"/>
      <c r="M239" s="25"/>
      <c r="N239" s="26"/>
      <c r="O239" s="26"/>
      <c r="P239" s="22"/>
      <c r="Q239" s="21"/>
      <c r="R239" s="27"/>
      <c r="S239" s="28"/>
      <c r="T239" s="22"/>
      <c r="U239" s="22"/>
      <c r="V239" s="35"/>
    </row>
    <row r="240" spans="4:22" ht="15" thickBot="1" x14ac:dyDescent="0.4">
      <c r="D240" s="19"/>
      <c r="E240" s="20"/>
      <c r="F240" s="21"/>
      <c r="G240" s="22"/>
      <c r="H240" s="21"/>
      <c r="I240" s="22"/>
      <c r="J240" s="23"/>
      <c r="K240" s="21"/>
      <c r="L240" s="24"/>
      <c r="M240" s="25"/>
      <c r="N240" s="26"/>
      <c r="O240" s="26"/>
      <c r="P240" s="22"/>
      <c r="Q240" s="21"/>
      <c r="R240" s="27"/>
      <c r="S240" s="28"/>
      <c r="T240" s="22"/>
      <c r="U240" s="34"/>
      <c r="V240" s="35"/>
    </row>
    <row r="241" spans="4:24" ht="15" thickBot="1" x14ac:dyDescent="0.4">
      <c r="D241" s="19"/>
      <c r="E241" s="20"/>
      <c r="F241" s="21"/>
      <c r="G241" s="22"/>
      <c r="H241" s="21"/>
      <c r="I241" s="22"/>
      <c r="J241" s="23"/>
      <c r="K241" s="21"/>
      <c r="L241" s="24"/>
      <c r="M241" s="25"/>
      <c r="N241" s="26"/>
      <c r="O241" s="26"/>
      <c r="P241" s="22"/>
      <c r="Q241" s="21"/>
      <c r="R241" s="27"/>
      <c r="S241" s="28"/>
      <c r="T241" s="22"/>
      <c r="U241" s="34"/>
      <c r="V241" s="35"/>
    </row>
    <row r="242" spans="4:24" ht="15" thickBot="1" x14ac:dyDescent="0.4">
      <c r="D242" s="19"/>
      <c r="E242" s="20"/>
      <c r="F242" s="21"/>
      <c r="G242" s="22"/>
      <c r="H242" s="21"/>
      <c r="I242" s="22"/>
      <c r="J242" s="23"/>
      <c r="K242" s="21"/>
      <c r="L242" s="24"/>
      <c r="M242" s="25"/>
      <c r="N242" s="26"/>
      <c r="O242" s="26"/>
      <c r="P242" s="22"/>
      <c r="Q242" s="21"/>
      <c r="R242" s="27"/>
      <c r="S242" s="28"/>
      <c r="T242" s="22"/>
      <c r="U242" s="22"/>
      <c r="V242" s="35"/>
    </row>
    <row r="243" spans="4:24" ht="15" thickBot="1" x14ac:dyDescent="0.4">
      <c r="D243" s="19"/>
      <c r="E243" s="20"/>
      <c r="F243" s="21"/>
      <c r="G243" s="22"/>
      <c r="H243" s="21"/>
      <c r="I243" s="22"/>
      <c r="J243" s="23"/>
      <c r="K243" s="21"/>
      <c r="L243" s="24"/>
      <c r="M243" s="25"/>
      <c r="N243" s="26"/>
      <c r="O243" s="26"/>
      <c r="P243" s="22"/>
      <c r="Q243" s="21"/>
      <c r="R243" s="27"/>
      <c r="S243" s="28"/>
      <c r="T243" s="22"/>
      <c r="U243" s="31"/>
      <c r="V243" s="35"/>
    </row>
    <row r="244" spans="4:24" ht="15" thickBot="1" x14ac:dyDescent="0.4">
      <c r="D244" s="19"/>
      <c r="E244" s="20"/>
      <c r="F244" s="21"/>
      <c r="G244" s="22"/>
      <c r="H244" s="21"/>
      <c r="I244" s="22"/>
      <c r="J244" s="23"/>
      <c r="K244" s="21"/>
      <c r="L244" s="24"/>
      <c r="M244" s="25"/>
      <c r="N244" s="26"/>
      <c r="O244" s="26"/>
      <c r="P244" s="22"/>
      <c r="Q244" s="21"/>
      <c r="R244" s="27"/>
      <c r="S244" s="28"/>
      <c r="T244" s="22"/>
      <c r="U244" s="18"/>
      <c r="V244" s="35"/>
    </row>
    <row r="245" spans="4:24" ht="15" thickBot="1" x14ac:dyDescent="0.4">
      <c r="D245" s="19"/>
      <c r="E245" s="20"/>
      <c r="F245" s="21"/>
      <c r="G245" s="22"/>
      <c r="H245" s="21"/>
      <c r="I245" s="22"/>
      <c r="J245" s="23"/>
      <c r="K245" s="21"/>
      <c r="L245" s="24"/>
      <c r="M245" s="25"/>
      <c r="N245" s="26"/>
      <c r="O245" s="26"/>
      <c r="P245" s="22"/>
      <c r="Q245" s="21"/>
      <c r="R245" s="27"/>
      <c r="S245" s="28"/>
      <c r="T245" s="22"/>
      <c r="U245" s="37"/>
      <c r="V245" s="35"/>
    </row>
    <row r="246" spans="4:24" ht="15" thickBot="1" x14ac:dyDescent="0.4">
      <c r="D246" s="19"/>
      <c r="E246" s="20"/>
      <c r="F246" s="21"/>
      <c r="G246" s="22"/>
      <c r="H246" s="21"/>
      <c r="I246" s="22"/>
      <c r="J246" s="23"/>
      <c r="K246" s="21"/>
      <c r="L246" s="24"/>
      <c r="M246" s="25"/>
      <c r="N246" s="26"/>
      <c r="O246" s="26"/>
      <c r="P246" s="22"/>
      <c r="Q246" s="21"/>
      <c r="R246" s="27"/>
      <c r="S246" s="28"/>
      <c r="T246" s="22"/>
      <c r="U246" s="30"/>
      <c r="V246" s="35"/>
    </row>
    <row r="247" spans="4:24" ht="15" thickBot="1" x14ac:dyDescent="0.4">
      <c r="D247" s="19"/>
      <c r="E247" s="20"/>
      <c r="F247" s="21"/>
      <c r="G247" s="22"/>
      <c r="H247" s="21"/>
      <c r="I247" s="22"/>
      <c r="J247" s="23"/>
      <c r="K247" s="21"/>
      <c r="L247" s="24"/>
      <c r="M247" s="25"/>
      <c r="N247" s="26"/>
      <c r="O247" s="26"/>
      <c r="P247" s="22"/>
      <c r="Q247" s="21"/>
      <c r="R247" s="27"/>
      <c r="S247" s="28"/>
      <c r="T247" s="22"/>
      <c r="U247" s="30"/>
      <c r="V247" s="35"/>
    </row>
    <row r="248" spans="4:24" ht="15" thickBot="1" x14ac:dyDescent="0.4">
      <c r="D248" s="19"/>
      <c r="E248" s="20"/>
      <c r="F248" s="21"/>
      <c r="G248" s="22"/>
      <c r="H248" s="21"/>
      <c r="I248" s="22"/>
      <c r="J248" s="23"/>
      <c r="K248" s="21"/>
      <c r="L248" s="24"/>
      <c r="M248" s="25"/>
      <c r="N248" s="26"/>
      <c r="O248" s="26"/>
      <c r="P248" s="22"/>
      <c r="Q248" s="21"/>
      <c r="R248" s="27"/>
      <c r="S248" s="28"/>
      <c r="T248" s="22"/>
      <c r="U248" s="30"/>
      <c r="V248" s="35"/>
    </row>
    <row r="249" spans="4:24" ht="15" thickBot="1" x14ac:dyDescent="0.4">
      <c r="D249" s="19"/>
      <c r="E249" s="20"/>
      <c r="F249" s="21"/>
      <c r="G249" s="22"/>
      <c r="H249" s="21"/>
      <c r="I249" s="22"/>
      <c r="J249" s="23"/>
      <c r="K249" s="21"/>
      <c r="L249" s="24"/>
      <c r="M249" s="25"/>
      <c r="N249" s="26"/>
      <c r="O249" s="26"/>
      <c r="P249" s="22"/>
      <c r="Q249" s="21"/>
      <c r="R249" s="27"/>
      <c r="S249" s="28"/>
      <c r="T249" s="22"/>
      <c r="U249" s="31"/>
      <c r="V249" s="35"/>
    </row>
    <row r="250" spans="4:24" ht="15" thickBot="1" x14ac:dyDescent="0.4">
      <c r="D250" s="19"/>
      <c r="E250" s="20"/>
      <c r="F250" s="21"/>
      <c r="G250" s="22"/>
      <c r="H250" s="21"/>
      <c r="I250" s="22"/>
      <c r="J250" s="23"/>
      <c r="K250" s="21"/>
      <c r="L250" s="24"/>
      <c r="M250" s="25"/>
      <c r="N250" s="26"/>
      <c r="O250" s="26"/>
      <c r="P250" s="22"/>
      <c r="Q250" s="21"/>
      <c r="R250" s="27"/>
      <c r="S250" s="28"/>
      <c r="T250" s="22"/>
      <c r="U250" s="30"/>
      <c r="V250" s="35"/>
    </row>
    <row r="251" spans="4:24" ht="15" thickBot="1" x14ac:dyDescent="0.4">
      <c r="D251" s="19"/>
      <c r="E251" s="20"/>
      <c r="F251" s="21"/>
      <c r="G251" s="22"/>
      <c r="H251" s="21"/>
      <c r="I251" s="22"/>
      <c r="J251" s="23"/>
      <c r="K251" s="21"/>
      <c r="L251" s="24"/>
      <c r="M251" s="25"/>
      <c r="N251" s="26"/>
      <c r="O251" s="26"/>
      <c r="P251" s="22"/>
      <c r="Q251" s="21"/>
      <c r="R251" s="27"/>
      <c r="S251" s="28"/>
      <c r="T251" s="22"/>
      <c r="U251" s="30"/>
      <c r="V251" s="35"/>
    </row>
    <row r="252" spans="4:24" ht="15" thickBot="1" x14ac:dyDescent="0.4">
      <c r="D252" s="19"/>
      <c r="E252" s="20"/>
      <c r="F252" s="21"/>
      <c r="G252" s="22"/>
      <c r="H252" s="21"/>
      <c r="I252" s="22"/>
      <c r="J252" s="23"/>
      <c r="K252" s="21"/>
      <c r="L252" s="24"/>
      <c r="M252" s="25"/>
      <c r="N252" s="26"/>
      <c r="O252" s="26"/>
      <c r="P252" s="22"/>
      <c r="Q252" s="21"/>
      <c r="R252" s="27"/>
      <c r="S252" s="28"/>
      <c r="T252" s="22"/>
      <c r="U252" s="31"/>
      <c r="V252" s="35"/>
      <c r="X252" s="22" t="e">
        <f>Y252*#REF!</f>
        <v>#REF!</v>
      </c>
    </row>
    <row r="253" spans="4:24" ht="15" thickBot="1" x14ac:dyDescent="0.4">
      <c r="D253" s="19"/>
      <c r="E253" s="20"/>
      <c r="F253" s="21"/>
      <c r="G253" s="22"/>
      <c r="H253" s="21"/>
      <c r="I253" s="22"/>
      <c r="J253" s="23"/>
      <c r="K253" s="21"/>
      <c r="L253" s="24"/>
      <c r="M253" s="25"/>
      <c r="N253" s="26"/>
      <c r="O253" s="26"/>
      <c r="P253" s="22"/>
      <c r="Q253" s="21"/>
      <c r="R253" s="27"/>
      <c r="S253" s="28"/>
      <c r="T253" s="22"/>
      <c r="U253" s="30"/>
      <c r="V253" s="35"/>
    </row>
    <row r="254" spans="4:24" ht="15" thickBot="1" x14ac:dyDescent="0.4">
      <c r="D254" s="19"/>
      <c r="E254" s="20"/>
      <c r="F254" s="21"/>
      <c r="G254" s="22"/>
      <c r="H254" s="21"/>
      <c r="I254" s="22"/>
      <c r="J254" s="23"/>
      <c r="K254" s="21"/>
      <c r="L254" s="24"/>
      <c r="M254" s="25"/>
      <c r="N254" s="26"/>
      <c r="O254" s="26"/>
      <c r="P254" s="22"/>
      <c r="Q254" s="21"/>
      <c r="R254" s="27"/>
      <c r="S254" s="28"/>
      <c r="T254" s="22"/>
      <c r="U254" s="30"/>
      <c r="V254" s="35"/>
    </row>
    <row r="255" spans="4:24" ht="15" thickBot="1" x14ac:dyDescent="0.4">
      <c r="D255" s="19"/>
      <c r="E255" s="20"/>
      <c r="F255" s="21"/>
      <c r="G255" s="22"/>
      <c r="H255" s="21"/>
      <c r="I255" s="22"/>
      <c r="J255" s="23"/>
      <c r="K255" s="21"/>
      <c r="L255" s="24"/>
      <c r="M255" s="25"/>
      <c r="N255" s="26"/>
      <c r="O255" s="26"/>
      <c r="P255" s="22"/>
      <c r="Q255" s="21"/>
      <c r="R255" s="27"/>
      <c r="S255" s="28"/>
      <c r="T255" s="22"/>
      <c r="U255" s="30"/>
      <c r="V255" s="35"/>
    </row>
    <row r="256" spans="4:24" ht="15" thickBot="1" x14ac:dyDescent="0.4">
      <c r="D256" s="19"/>
      <c r="E256" s="20"/>
      <c r="F256" s="21"/>
      <c r="G256" s="22"/>
      <c r="H256" s="21"/>
      <c r="I256" s="22"/>
      <c r="J256" s="23"/>
      <c r="K256" s="21"/>
      <c r="L256" s="24"/>
      <c r="M256" s="25"/>
      <c r="N256" s="26"/>
      <c r="O256" s="26"/>
      <c r="P256" s="22"/>
      <c r="Q256" s="21"/>
      <c r="R256" s="27"/>
      <c r="S256" s="28"/>
      <c r="T256" s="22"/>
      <c r="U256" s="30"/>
      <c r="V256" s="35"/>
    </row>
    <row r="257" spans="4:22" ht="15" thickBot="1" x14ac:dyDescent="0.4">
      <c r="D257" s="19"/>
      <c r="E257" s="20"/>
      <c r="F257" s="21"/>
      <c r="G257" s="22"/>
      <c r="H257" s="21"/>
      <c r="I257" s="22"/>
      <c r="J257" s="23"/>
      <c r="K257" s="21"/>
      <c r="L257" s="24"/>
      <c r="M257" s="25"/>
      <c r="N257" s="26"/>
      <c r="O257" s="26"/>
      <c r="P257" s="22"/>
      <c r="Q257" s="21"/>
      <c r="R257" s="27"/>
      <c r="S257" s="28"/>
      <c r="T257" s="22"/>
      <c r="U257" s="30"/>
      <c r="V257" s="35"/>
    </row>
    <row r="258" spans="4:22" ht="15" thickBot="1" x14ac:dyDescent="0.4">
      <c r="D258" s="19"/>
      <c r="E258" s="20"/>
      <c r="F258" s="21"/>
      <c r="G258" s="22"/>
      <c r="H258" s="21"/>
      <c r="I258" s="22"/>
      <c r="J258" s="23"/>
      <c r="K258" s="21"/>
      <c r="L258" s="24"/>
      <c r="M258" s="25"/>
      <c r="N258" s="26"/>
      <c r="O258" s="26"/>
      <c r="P258" s="22"/>
      <c r="Q258" s="21"/>
      <c r="R258" s="27"/>
      <c r="S258" s="28"/>
      <c r="T258" s="22"/>
      <c r="U258" s="31"/>
      <c r="V258" s="35"/>
    </row>
    <row r="259" spans="4:22" ht="15" thickBot="1" x14ac:dyDescent="0.4">
      <c r="D259" s="19"/>
      <c r="E259" s="20"/>
      <c r="F259" s="21"/>
      <c r="G259" s="22"/>
      <c r="H259" s="21"/>
      <c r="I259" s="22"/>
      <c r="J259" s="23"/>
      <c r="K259" s="21"/>
      <c r="L259" s="24"/>
      <c r="M259" s="25"/>
      <c r="N259" s="26"/>
      <c r="O259" s="26"/>
      <c r="P259" s="22"/>
      <c r="Q259" s="21"/>
      <c r="R259" s="27"/>
      <c r="S259" s="28"/>
      <c r="T259" s="22"/>
      <c r="U259" s="30"/>
      <c r="V259" s="35"/>
    </row>
    <row r="260" spans="4:22" ht="15" thickBot="1" x14ac:dyDescent="0.4">
      <c r="D260" s="19"/>
      <c r="E260" s="20"/>
      <c r="F260" s="21"/>
      <c r="G260" s="22"/>
      <c r="H260" s="21"/>
      <c r="I260" s="22"/>
      <c r="J260" s="23"/>
      <c r="K260" s="21"/>
      <c r="L260" s="24"/>
      <c r="M260" s="25"/>
      <c r="N260" s="26"/>
      <c r="O260" s="26"/>
      <c r="P260" s="22"/>
      <c r="Q260" s="21"/>
      <c r="R260" s="27"/>
      <c r="S260" s="28"/>
      <c r="T260" s="22"/>
      <c r="U260" s="30"/>
      <c r="V260" s="35"/>
    </row>
    <row r="261" spans="4:22" ht="15" thickBot="1" x14ac:dyDescent="0.4">
      <c r="D261" s="19"/>
      <c r="E261" s="20"/>
      <c r="F261" s="21"/>
      <c r="G261" s="22"/>
      <c r="H261" s="21"/>
      <c r="I261" s="22"/>
      <c r="J261" s="23"/>
      <c r="K261" s="21"/>
      <c r="L261" s="24"/>
      <c r="M261" s="25"/>
      <c r="N261" s="26"/>
      <c r="O261" s="26"/>
      <c r="P261" s="22"/>
      <c r="Q261" s="21"/>
      <c r="R261" s="27"/>
      <c r="S261" s="28"/>
      <c r="T261" s="22"/>
      <c r="U261" s="31"/>
      <c r="V261" s="35"/>
    </row>
    <row r="262" spans="4:22" ht="15" thickBot="1" x14ac:dyDescent="0.4">
      <c r="D262" s="19"/>
      <c r="E262" s="20"/>
      <c r="F262" s="21"/>
      <c r="G262" s="22"/>
      <c r="H262" s="21"/>
      <c r="I262" s="22"/>
      <c r="J262" s="23"/>
      <c r="K262" s="21"/>
      <c r="L262" s="24"/>
      <c r="M262" s="25"/>
      <c r="N262" s="26"/>
      <c r="O262" s="26"/>
      <c r="P262" s="22"/>
      <c r="Q262" s="21"/>
      <c r="R262" s="27"/>
      <c r="S262" s="28"/>
      <c r="T262" s="22"/>
      <c r="U262" s="30"/>
      <c r="V262" s="35"/>
    </row>
    <row r="263" spans="4:22" ht="15" thickBot="1" x14ac:dyDescent="0.4">
      <c r="D263" s="19"/>
      <c r="E263" s="20"/>
      <c r="F263" s="21"/>
      <c r="G263" s="22"/>
      <c r="H263" s="21"/>
      <c r="I263" s="22"/>
      <c r="J263" s="23"/>
      <c r="K263" s="21"/>
      <c r="L263" s="24"/>
      <c r="M263" s="25"/>
      <c r="N263" s="26"/>
      <c r="O263" s="26"/>
      <c r="P263" s="22"/>
      <c r="Q263" s="21"/>
      <c r="R263" s="27"/>
      <c r="S263" s="28"/>
      <c r="T263" s="22"/>
      <c r="U263" s="30"/>
      <c r="V263" s="35"/>
    </row>
    <row r="264" spans="4:22" ht="15" thickBot="1" x14ac:dyDescent="0.4">
      <c r="D264" s="19"/>
      <c r="E264" s="20"/>
      <c r="F264" s="21"/>
      <c r="G264" s="22"/>
      <c r="H264" s="21"/>
      <c r="I264" s="22"/>
      <c r="J264" s="23"/>
      <c r="K264" s="21"/>
      <c r="L264" s="24"/>
      <c r="M264" s="25"/>
      <c r="N264" s="26"/>
      <c r="O264" s="26"/>
      <c r="P264" s="22"/>
      <c r="Q264" s="21"/>
      <c r="R264" s="27"/>
      <c r="S264" s="28"/>
      <c r="T264" s="22"/>
      <c r="U264" s="30"/>
      <c r="V264" s="35"/>
    </row>
    <row r="265" spans="4:22" ht="15" thickBot="1" x14ac:dyDescent="0.4">
      <c r="D265" s="19"/>
      <c r="E265" s="20"/>
      <c r="F265" s="21"/>
      <c r="G265" s="22"/>
      <c r="H265" s="21"/>
      <c r="I265" s="22"/>
      <c r="J265" s="23"/>
      <c r="K265" s="21"/>
      <c r="L265" s="24"/>
      <c r="M265" s="25"/>
      <c r="N265" s="26"/>
      <c r="O265" s="26"/>
      <c r="P265" s="22"/>
      <c r="Q265" s="21"/>
      <c r="R265" s="27"/>
      <c r="S265" s="28"/>
      <c r="T265" s="22"/>
      <c r="U265" s="30"/>
      <c r="V265" s="35"/>
    </row>
    <row r="266" spans="4:22" ht="15" thickBot="1" x14ac:dyDescent="0.4">
      <c r="D266" s="19"/>
      <c r="E266" s="20"/>
      <c r="F266" s="21"/>
      <c r="G266" s="22"/>
      <c r="H266" s="21"/>
      <c r="I266" s="22"/>
      <c r="J266" s="23"/>
      <c r="K266" s="21"/>
      <c r="L266" s="24"/>
      <c r="M266" s="25"/>
      <c r="N266" s="26"/>
      <c r="O266" s="26"/>
      <c r="P266" s="22"/>
      <c r="Q266" s="21"/>
      <c r="R266" s="27"/>
      <c r="S266" s="28"/>
      <c r="T266" s="22"/>
      <c r="U266" s="31"/>
      <c r="V266" s="35"/>
    </row>
    <row r="267" spans="4:22" ht="15" thickBot="1" x14ac:dyDescent="0.4">
      <c r="D267" s="19"/>
      <c r="E267" s="20"/>
      <c r="F267" s="21"/>
      <c r="G267" s="22"/>
      <c r="H267" s="21"/>
      <c r="I267" s="22"/>
      <c r="J267" s="23"/>
      <c r="K267" s="21"/>
      <c r="L267" s="24"/>
      <c r="M267" s="25"/>
      <c r="N267" s="26"/>
      <c r="O267" s="26"/>
      <c r="P267" s="22"/>
      <c r="Q267" s="21"/>
      <c r="R267" s="27"/>
      <c r="S267" s="28"/>
      <c r="T267" s="22"/>
      <c r="U267" s="30"/>
      <c r="V267" s="35"/>
    </row>
    <row r="268" spans="4:22" ht="15" thickBot="1" x14ac:dyDescent="0.4">
      <c r="D268" s="19"/>
      <c r="E268" s="20"/>
      <c r="F268" s="21"/>
      <c r="G268" s="22"/>
      <c r="H268" s="21"/>
      <c r="I268" s="22"/>
      <c r="J268" s="23"/>
      <c r="K268" s="21"/>
      <c r="L268" s="24"/>
      <c r="M268" s="25"/>
      <c r="N268" s="26"/>
      <c r="O268" s="26"/>
      <c r="P268" s="22"/>
      <c r="Q268" s="21"/>
      <c r="R268" s="27"/>
      <c r="S268" s="28"/>
      <c r="T268" s="22"/>
      <c r="U268" s="22"/>
      <c r="V268" s="35"/>
    </row>
    <row r="269" spans="4:22" ht="15" thickBot="1" x14ac:dyDescent="0.4">
      <c r="D269" s="19"/>
      <c r="E269" s="20"/>
      <c r="F269" s="21"/>
      <c r="G269" s="22"/>
      <c r="H269" s="21"/>
      <c r="I269" s="22"/>
      <c r="J269" s="23"/>
      <c r="K269" s="21"/>
      <c r="L269" s="24"/>
      <c r="M269" s="25"/>
      <c r="N269" s="26"/>
      <c r="O269" s="26"/>
      <c r="P269" s="22"/>
      <c r="Q269" s="21"/>
      <c r="R269" s="27"/>
      <c r="S269" s="28"/>
      <c r="T269" s="22"/>
      <c r="U269" s="34"/>
      <c r="V269" s="35"/>
    </row>
    <row r="270" spans="4:22" ht="15" thickBot="1" x14ac:dyDescent="0.4">
      <c r="D270" s="19"/>
      <c r="E270" s="20"/>
      <c r="F270" s="21"/>
      <c r="G270" s="22"/>
      <c r="H270" s="21"/>
      <c r="I270" s="22"/>
      <c r="J270" s="23"/>
      <c r="K270" s="21"/>
      <c r="L270" s="24"/>
      <c r="M270" s="25"/>
      <c r="N270" s="26"/>
      <c r="O270" s="26"/>
      <c r="P270" s="22"/>
      <c r="Q270" s="21"/>
      <c r="R270" s="27"/>
      <c r="S270" s="28"/>
      <c r="T270" s="22"/>
      <c r="U270" s="22"/>
      <c r="V270" s="35"/>
    </row>
    <row r="271" spans="4:22" ht="15" thickBot="1" x14ac:dyDescent="0.4">
      <c r="D271" s="19"/>
      <c r="E271" s="20"/>
      <c r="F271" s="21"/>
      <c r="G271" s="22"/>
      <c r="H271" s="21"/>
      <c r="I271" s="22"/>
      <c r="J271" s="23"/>
      <c r="K271" s="21"/>
      <c r="L271" s="24"/>
      <c r="M271" s="25"/>
      <c r="N271" s="26"/>
      <c r="O271" s="26"/>
      <c r="P271" s="22"/>
      <c r="Q271" s="21"/>
      <c r="R271" s="27"/>
      <c r="S271" s="28"/>
      <c r="T271" s="22"/>
    </row>
    <row r="272" spans="4:22" ht="15" thickBot="1" x14ac:dyDescent="0.4">
      <c r="D272" s="19"/>
      <c r="E272" s="20"/>
      <c r="F272" s="21"/>
      <c r="G272" s="22"/>
      <c r="H272" s="21"/>
      <c r="I272" s="22"/>
      <c r="J272" s="23"/>
      <c r="K272" s="21"/>
      <c r="L272" s="24"/>
      <c r="M272" s="25"/>
      <c r="N272" s="26"/>
      <c r="O272" s="26"/>
      <c r="P272" s="22"/>
      <c r="Q272" s="21"/>
      <c r="R272" s="27"/>
      <c r="S272" s="28"/>
      <c r="T272" s="22"/>
    </row>
    <row r="273" spans="4:20" ht="15" thickBot="1" x14ac:dyDescent="0.4">
      <c r="D273" s="19"/>
      <c r="E273" s="20"/>
      <c r="F273" s="21"/>
      <c r="G273" s="22"/>
      <c r="H273" s="21"/>
      <c r="I273" s="22"/>
      <c r="J273" s="23"/>
      <c r="K273" s="21"/>
      <c r="L273" s="24"/>
      <c r="M273" s="25"/>
      <c r="N273" s="26"/>
      <c r="O273" s="26"/>
      <c r="P273" s="22"/>
      <c r="Q273" s="21"/>
      <c r="R273" s="27"/>
      <c r="S273" s="28"/>
      <c r="T273" s="22"/>
    </row>
    <row r="274" spans="4:20" ht="15" thickBot="1" x14ac:dyDescent="0.4">
      <c r="D274" s="19"/>
      <c r="E274" s="20"/>
      <c r="F274" s="21"/>
      <c r="G274" s="22"/>
      <c r="H274" s="21"/>
      <c r="I274" s="22"/>
      <c r="J274" s="23"/>
      <c r="K274" s="21"/>
      <c r="L274" s="24"/>
      <c r="M274" s="25"/>
      <c r="N274" s="26"/>
      <c r="O274" s="26"/>
      <c r="P274" s="22"/>
      <c r="Q274" s="21"/>
      <c r="R274" s="27"/>
      <c r="S274" s="28"/>
      <c r="T274" s="22"/>
    </row>
    <row r="275" spans="4:20" ht="15" thickBot="1" x14ac:dyDescent="0.4">
      <c r="D275" s="19"/>
      <c r="E275" s="20"/>
      <c r="F275" s="21"/>
      <c r="G275" s="22"/>
      <c r="H275" s="21"/>
      <c r="I275" s="22"/>
      <c r="J275" s="23"/>
      <c r="K275" s="21"/>
      <c r="L275" s="24"/>
      <c r="M275" s="25"/>
      <c r="N275" s="26"/>
      <c r="O275" s="26"/>
      <c r="P275" s="22"/>
      <c r="Q275" s="21"/>
      <c r="R275" s="27"/>
      <c r="S275" s="28"/>
      <c r="T275" s="22"/>
    </row>
    <row r="276" spans="4:20" ht="15" thickBot="1" x14ac:dyDescent="0.4">
      <c r="D276" s="19"/>
      <c r="E276" s="20"/>
      <c r="F276" s="21"/>
      <c r="G276" s="22"/>
      <c r="H276" s="21"/>
      <c r="I276" s="22"/>
      <c r="J276" s="23"/>
      <c r="K276" s="21"/>
      <c r="L276" s="24"/>
      <c r="M276" s="25"/>
      <c r="N276" s="26"/>
      <c r="O276" s="26"/>
      <c r="P276" s="22"/>
      <c r="Q276" s="21"/>
      <c r="R276" s="27"/>
      <c r="S276" s="28"/>
      <c r="T276" s="22"/>
    </row>
    <row r="277" spans="4:20" ht="15" thickBot="1" x14ac:dyDescent="0.4">
      <c r="D277" s="19"/>
      <c r="E277" s="20"/>
      <c r="F277" s="21"/>
      <c r="G277" s="22"/>
      <c r="H277" s="21"/>
      <c r="I277" s="22"/>
      <c r="J277" s="23"/>
      <c r="K277" s="21"/>
      <c r="L277" s="24"/>
      <c r="M277" s="25"/>
      <c r="N277" s="26"/>
      <c r="O277" s="26"/>
      <c r="P277" s="22"/>
      <c r="Q277" s="21"/>
      <c r="R277" s="27"/>
      <c r="S277" s="28"/>
      <c r="T277" s="22"/>
    </row>
    <row r="278" spans="4:20" ht="15" thickBot="1" x14ac:dyDescent="0.4">
      <c r="D278" s="19"/>
      <c r="E278" s="20"/>
      <c r="F278" s="21"/>
      <c r="G278" s="22"/>
      <c r="H278" s="21"/>
      <c r="I278" s="22"/>
      <c r="J278" s="23"/>
      <c r="K278" s="21"/>
      <c r="L278" s="24"/>
      <c r="M278" s="25"/>
      <c r="N278" s="26"/>
      <c r="O278" s="26"/>
      <c r="P278" s="22"/>
      <c r="Q278" s="21"/>
      <c r="R278" s="27"/>
      <c r="S278" s="28"/>
      <c r="T278" s="22"/>
    </row>
    <row r="279" spans="4:20" ht="15" thickBot="1" x14ac:dyDescent="0.4">
      <c r="D279" s="19"/>
      <c r="E279" s="20"/>
      <c r="F279" s="21"/>
      <c r="G279" s="22"/>
      <c r="H279" s="21"/>
      <c r="I279" s="22"/>
      <c r="J279" s="23"/>
      <c r="K279" s="21"/>
      <c r="L279" s="24"/>
      <c r="M279" s="25"/>
      <c r="N279" s="26"/>
      <c r="O279" s="26"/>
      <c r="P279" s="22"/>
      <c r="Q279" s="21"/>
      <c r="R279" s="27"/>
      <c r="S279" s="28"/>
      <c r="T279" s="22"/>
    </row>
    <row r="280" spans="4:20" ht="15" thickBot="1" x14ac:dyDescent="0.4">
      <c r="D280" s="19"/>
      <c r="E280" s="20"/>
      <c r="F280" s="21"/>
      <c r="G280" s="22"/>
      <c r="H280" s="21"/>
      <c r="I280" s="22"/>
      <c r="J280" s="23"/>
      <c r="K280" s="21"/>
      <c r="L280" s="24"/>
      <c r="M280" s="25"/>
      <c r="N280" s="26"/>
      <c r="O280" s="26"/>
      <c r="P280" s="22"/>
      <c r="Q280" s="21"/>
      <c r="R280" s="27"/>
      <c r="S280" s="28"/>
      <c r="T280" s="22"/>
    </row>
    <row r="281" spans="4:20" ht="15" thickBot="1" x14ac:dyDescent="0.4">
      <c r="D281" s="19"/>
      <c r="E281" s="20"/>
      <c r="F281" s="21"/>
      <c r="G281" s="22"/>
      <c r="H281" s="21"/>
      <c r="I281" s="22"/>
      <c r="J281" s="23"/>
      <c r="K281" s="21"/>
      <c r="L281" s="24"/>
      <c r="M281" s="25"/>
      <c r="N281" s="26"/>
      <c r="O281" s="26"/>
      <c r="P281" s="22"/>
      <c r="Q281" s="21"/>
      <c r="R281" s="27"/>
      <c r="S281" s="28"/>
      <c r="T281" s="22"/>
    </row>
    <row r="282" spans="4:20" ht="15" thickBot="1" x14ac:dyDescent="0.4">
      <c r="D282" s="19"/>
      <c r="E282" s="20"/>
      <c r="F282" s="21"/>
      <c r="G282" s="22"/>
      <c r="H282" s="21"/>
      <c r="I282" s="22"/>
      <c r="J282" s="23"/>
      <c r="K282" s="21"/>
      <c r="L282" s="24"/>
      <c r="M282" s="25"/>
      <c r="N282" s="26"/>
      <c r="O282" s="26"/>
      <c r="P282" s="22"/>
      <c r="Q282" s="21"/>
      <c r="R282" s="27"/>
      <c r="S282" s="28"/>
      <c r="T282" s="22"/>
    </row>
    <row r="283" spans="4:20" ht="15" thickBot="1" x14ac:dyDescent="0.4">
      <c r="D283" s="19"/>
      <c r="E283" s="20"/>
      <c r="F283" s="21"/>
      <c r="G283" s="22"/>
      <c r="H283" s="21"/>
      <c r="I283" s="22"/>
      <c r="J283" s="23"/>
      <c r="K283" s="21"/>
      <c r="L283" s="24"/>
      <c r="M283" s="25"/>
      <c r="N283" s="26"/>
      <c r="O283" s="26"/>
      <c r="P283" s="22"/>
      <c r="Q283" s="21"/>
      <c r="R283" s="27"/>
      <c r="S283" s="28"/>
      <c r="T283" s="22"/>
    </row>
    <row r="284" spans="4:20" ht="15" thickBot="1" x14ac:dyDescent="0.4">
      <c r="D284" s="19"/>
      <c r="E284" s="20"/>
      <c r="F284" s="21"/>
      <c r="G284" s="22"/>
      <c r="H284" s="21"/>
      <c r="I284" s="22"/>
      <c r="J284" s="23"/>
      <c r="K284" s="21"/>
      <c r="L284" s="24"/>
      <c r="M284" s="25"/>
      <c r="N284" s="26"/>
      <c r="O284" s="26"/>
      <c r="P284" s="22"/>
      <c r="Q284" s="21"/>
      <c r="R284" s="27"/>
      <c r="S284" s="28"/>
      <c r="T284" s="22"/>
    </row>
    <row r="285" spans="4:20" ht="15" thickBot="1" x14ac:dyDescent="0.4">
      <c r="D285" s="19"/>
      <c r="E285" s="20"/>
      <c r="F285" s="21"/>
      <c r="G285" s="22"/>
      <c r="H285" s="21"/>
      <c r="I285" s="22"/>
      <c r="J285" s="23"/>
      <c r="K285" s="21"/>
      <c r="L285" s="24"/>
      <c r="M285" s="25"/>
      <c r="N285" s="26"/>
      <c r="O285" s="26"/>
      <c r="P285" s="22"/>
      <c r="Q285" s="21"/>
      <c r="R285" s="27"/>
      <c r="S285" s="28"/>
      <c r="T285" s="22"/>
    </row>
    <row r="286" spans="4:20" ht="15" thickBot="1" x14ac:dyDescent="0.4">
      <c r="D286" s="19"/>
      <c r="E286" s="20"/>
      <c r="F286" s="21"/>
      <c r="G286" s="22"/>
      <c r="H286" s="21"/>
      <c r="I286" s="22"/>
      <c r="J286" s="23"/>
      <c r="K286" s="21"/>
      <c r="L286" s="24"/>
      <c r="M286" s="25"/>
      <c r="N286" s="26"/>
      <c r="O286" s="26"/>
      <c r="P286" s="22"/>
      <c r="Q286" s="21"/>
      <c r="R286" s="27"/>
      <c r="S286" s="28"/>
      <c r="T286" s="22"/>
    </row>
    <row r="287" spans="4:20" ht="15" thickBot="1" x14ac:dyDescent="0.4">
      <c r="D287" s="19"/>
      <c r="E287" s="20"/>
      <c r="F287" s="21"/>
      <c r="G287" s="22"/>
      <c r="H287" s="21"/>
      <c r="I287" s="22"/>
      <c r="J287" s="23"/>
      <c r="K287" s="21"/>
      <c r="L287" s="24"/>
      <c r="M287" s="25"/>
      <c r="N287" s="26"/>
      <c r="O287" s="26"/>
      <c r="P287" s="22"/>
      <c r="Q287" s="21"/>
      <c r="R287" s="27"/>
      <c r="S287" s="28"/>
      <c r="T287" s="22"/>
    </row>
    <row r="288" spans="4:20" ht="15" thickBot="1" x14ac:dyDescent="0.4">
      <c r="D288" s="19"/>
      <c r="E288" s="20"/>
      <c r="F288" s="21"/>
      <c r="G288" s="22"/>
      <c r="H288" s="21"/>
      <c r="I288" s="22"/>
      <c r="J288" s="23"/>
      <c r="K288" s="21"/>
      <c r="L288" s="24"/>
      <c r="M288" s="25"/>
      <c r="N288" s="26"/>
      <c r="O288" s="26"/>
      <c r="P288" s="22"/>
      <c r="Q288" s="21"/>
      <c r="R288" s="27"/>
      <c r="S288" s="28"/>
      <c r="T288" s="22"/>
    </row>
    <row r="289" spans="4:20" ht="15" thickBot="1" x14ac:dyDescent="0.4">
      <c r="D289" s="19"/>
      <c r="E289" s="20"/>
      <c r="F289" s="21"/>
      <c r="G289" s="22"/>
      <c r="H289" s="21"/>
      <c r="I289" s="22"/>
      <c r="J289" s="23"/>
      <c r="K289" s="21"/>
      <c r="L289" s="24"/>
      <c r="M289" s="25"/>
      <c r="N289" s="26"/>
      <c r="O289" s="26"/>
      <c r="P289" s="22"/>
      <c r="Q289" s="21"/>
      <c r="R289" s="27"/>
      <c r="S289" s="28"/>
      <c r="T289" s="22"/>
    </row>
    <row r="290" spans="4:20" ht="15" thickBot="1" x14ac:dyDescent="0.4">
      <c r="D290" s="19"/>
      <c r="E290" s="20"/>
      <c r="F290" s="21"/>
      <c r="G290" s="22"/>
      <c r="H290" s="21"/>
      <c r="I290" s="22"/>
      <c r="J290" s="23"/>
      <c r="K290" s="21"/>
      <c r="L290" s="24"/>
      <c r="M290" s="25"/>
      <c r="N290" s="26"/>
      <c r="O290" s="26"/>
      <c r="P290" s="22"/>
      <c r="Q290" s="21"/>
      <c r="R290" s="27"/>
      <c r="S290" s="28"/>
      <c r="T290" s="22"/>
    </row>
    <row r="291" spans="4:20" ht="15" thickBot="1" x14ac:dyDescent="0.4">
      <c r="D291" s="19"/>
      <c r="E291" s="20"/>
      <c r="F291" s="21"/>
      <c r="G291" s="22"/>
      <c r="H291" s="21"/>
      <c r="I291" s="22"/>
      <c r="J291" s="23"/>
      <c r="K291" s="21"/>
      <c r="L291" s="24"/>
      <c r="M291" s="25"/>
      <c r="N291" s="26"/>
      <c r="O291" s="26"/>
      <c r="P291" s="22"/>
      <c r="Q291" s="21"/>
      <c r="R291" s="27"/>
      <c r="S291" s="28"/>
      <c r="T291" s="22"/>
    </row>
    <row r="292" spans="4:20" ht="15" thickBot="1" x14ac:dyDescent="0.4">
      <c r="D292" s="19"/>
      <c r="E292" s="20"/>
      <c r="F292" s="21"/>
      <c r="G292" s="22"/>
      <c r="H292" s="21"/>
      <c r="I292" s="22"/>
      <c r="J292" s="23"/>
      <c r="K292" s="21"/>
      <c r="L292" s="24"/>
      <c r="M292" s="25"/>
      <c r="N292" s="26"/>
      <c r="O292" s="26"/>
      <c r="P292" s="22"/>
      <c r="Q292" s="21"/>
      <c r="R292" s="27"/>
      <c r="S292" s="28"/>
      <c r="T292" s="22"/>
    </row>
    <row r="293" spans="4:20" ht="15" thickBot="1" x14ac:dyDescent="0.4">
      <c r="D293" s="19"/>
      <c r="E293" s="20"/>
      <c r="F293" s="21"/>
      <c r="G293" s="22"/>
      <c r="H293" s="21"/>
      <c r="I293" s="22"/>
      <c r="J293" s="23"/>
      <c r="K293" s="21"/>
      <c r="L293" s="24"/>
      <c r="M293" s="25"/>
      <c r="N293" s="26"/>
      <c r="O293" s="26"/>
      <c r="P293" s="22"/>
      <c r="Q293" s="21"/>
      <c r="R293" s="27"/>
      <c r="S293" s="28"/>
      <c r="T293" s="22"/>
    </row>
    <row r="294" spans="4:20" ht="15" thickBot="1" x14ac:dyDescent="0.4">
      <c r="D294" s="19"/>
      <c r="E294" s="20"/>
      <c r="F294" s="21"/>
      <c r="G294" s="22"/>
      <c r="H294" s="21"/>
      <c r="I294" s="22"/>
      <c r="J294" s="23"/>
      <c r="K294" s="21"/>
      <c r="L294" s="24"/>
      <c r="M294" s="25"/>
      <c r="N294" s="26"/>
      <c r="O294" s="26"/>
      <c r="P294" s="22"/>
      <c r="Q294" s="21"/>
      <c r="R294" s="27"/>
      <c r="S294" s="28"/>
      <c r="T294" s="22"/>
    </row>
    <row r="295" spans="4:20" ht="15" thickBot="1" x14ac:dyDescent="0.4">
      <c r="D295" s="19"/>
      <c r="E295" s="20"/>
      <c r="F295" s="21"/>
      <c r="G295" s="22"/>
      <c r="H295" s="21"/>
      <c r="I295" s="22"/>
      <c r="J295" s="23"/>
      <c r="K295" s="21"/>
      <c r="L295" s="24"/>
      <c r="M295" s="25"/>
      <c r="N295" s="26"/>
      <c r="O295" s="26"/>
      <c r="P295" s="22"/>
      <c r="Q295" s="21"/>
      <c r="R295" s="27"/>
      <c r="S295" s="28"/>
      <c r="T295" s="22"/>
    </row>
    <row r="296" spans="4:20" ht="15" thickBot="1" x14ac:dyDescent="0.4">
      <c r="D296" s="19"/>
      <c r="E296" s="20"/>
      <c r="F296" s="21"/>
      <c r="G296" s="22"/>
      <c r="H296" s="21"/>
      <c r="I296" s="22"/>
      <c r="J296" s="23"/>
      <c r="K296" s="21"/>
      <c r="L296" s="24"/>
      <c r="M296" s="25"/>
      <c r="N296" s="26"/>
      <c r="O296" s="26"/>
      <c r="P296" s="22"/>
      <c r="Q296" s="21"/>
      <c r="R296" s="27"/>
      <c r="S296" s="28"/>
      <c r="T296" s="22"/>
    </row>
    <row r="297" spans="4:20" ht="15" thickBot="1" x14ac:dyDescent="0.4">
      <c r="D297" s="19"/>
      <c r="E297" s="20"/>
      <c r="F297" s="21"/>
      <c r="G297" s="22"/>
      <c r="H297" s="21"/>
      <c r="I297" s="22"/>
      <c r="J297" s="23"/>
      <c r="K297" s="21"/>
      <c r="L297" s="24"/>
      <c r="M297" s="25"/>
      <c r="N297" s="26"/>
      <c r="O297" s="26"/>
      <c r="P297" s="22"/>
      <c r="Q297" s="21"/>
      <c r="R297" s="27"/>
      <c r="S297" s="28"/>
      <c r="T297" s="22"/>
    </row>
    <row r="298" spans="4:20" ht="15" thickBot="1" x14ac:dyDescent="0.4">
      <c r="D298" s="19"/>
      <c r="E298" s="20"/>
      <c r="F298" s="21"/>
      <c r="G298" s="22"/>
      <c r="H298" s="21"/>
      <c r="I298" s="22"/>
      <c r="J298" s="23"/>
      <c r="K298" s="21"/>
      <c r="L298" s="24"/>
      <c r="M298" s="25"/>
      <c r="N298" s="26"/>
      <c r="O298" s="26"/>
      <c r="P298" s="22"/>
      <c r="Q298" s="21"/>
      <c r="R298" s="27"/>
      <c r="S298" s="28"/>
      <c r="T298" s="22"/>
    </row>
    <row r="299" spans="4:20" ht="15" thickBot="1" x14ac:dyDescent="0.4">
      <c r="D299" s="19"/>
      <c r="E299" s="20"/>
      <c r="F299" s="21"/>
      <c r="G299" s="22"/>
      <c r="H299" s="21"/>
      <c r="I299" s="22"/>
      <c r="J299" s="23"/>
      <c r="K299" s="21"/>
      <c r="L299" s="24"/>
      <c r="M299" s="25"/>
      <c r="N299" s="26"/>
      <c r="O299" s="26"/>
      <c r="P299" s="22"/>
      <c r="Q299" s="21"/>
      <c r="R299" s="27"/>
      <c r="S299" s="28"/>
      <c r="T299" s="22"/>
    </row>
    <row r="300" spans="4:20" ht="15" thickBot="1" x14ac:dyDescent="0.4">
      <c r="D300" s="19"/>
      <c r="E300" s="20"/>
      <c r="F300" s="21"/>
      <c r="G300" s="22"/>
      <c r="H300" s="21"/>
      <c r="I300" s="22"/>
      <c r="J300" s="23"/>
      <c r="K300" s="21"/>
      <c r="L300" s="24"/>
      <c r="M300" s="25"/>
      <c r="N300" s="26"/>
      <c r="O300" s="26"/>
      <c r="P300" s="22"/>
      <c r="Q300" s="21"/>
      <c r="R300" s="27"/>
      <c r="S300" s="28"/>
      <c r="T300" s="22"/>
    </row>
    <row r="301" spans="4:20" ht="15" thickBot="1" x14ac:dyDescent="0.4">
      <c r="D301" s="19"/>
      <c r="E301" s="20"/>
      <c r="F301" s="21"/>
      <c r="G301" s="22"/>
      <c r="H301" s="21"/>
      <c r="I301" s="22"/>
      <c r="J301" s="23"/>
      <c r="K301" s="21"/>
      <c r="L301" s="24"/>
      <c r="M301" s="25"/>
      <c r="N301" s="26"/>
      <c r="O301" s="26"/>
      <c r="P301" s="22"/>
      <c r="Q301" s="21"/>
      <c r="R301" s="27"/>
      <c r="S301" s="28"/>
      <c r="T301" s="22"/>
    </row>
    <row r="302" spans="4:20" ht="15" thickBot="1" x14ac:dyDescent="0.4">
      <c r="D302" s="19"/>
      <c r="E302" s="20"/>
      <c r="F302" s="21"/>
      <c r="G302" s="22"/>
      <c r="H302" s="21"/>
      <c r="I302" s="22"/>
      <c r="J302" s="23"/>
      <c r="K302" s="21"/>
      <c r="L302" s="24"/>
      <c r="M302" s="25"/>
      <c r="N302" s="26"/>
      <c r="O302" s="26"/>
      <c r="P302" s="22"/>
      <c r="Q302" s="21"/>
      <c r="R302" s="27"/>
      <c r="S302" s="28"/>
      <c r="T302" s="22"/>
    </row>
    <row r="303" spans="4:20" ht="15" thickBot="1" x14ac:dyDescent="0.4">
      <c r="D303" s="19"/>
      <c r="E303" s="20"/>
      <c r="F303" s="21"/>
      <c r="G303" s="22"/>
      <c r="H303" s="21"/>
      <c r="I303" s="22"/>
      <c r="J303" s="23"/>
      <c r="K303" s="21"/>
      <c r="L303" s="24"/>
      <c r="M303" s="25"/>
      <c r="N303" s="26"/>
      <c r="O303" s="26"/>
      <c r="P303" s="22"/>
      <c r="Q303" s="21"/>
      <c r="R303" s="27"/>
      <c r="S303" s="28"/>
      <c r="T303" s="22"/>
    </row>
    <row r="304" spans="4:20" ht="15" thickBot="1" x14ac:dyDescent="0.4">
      <c r="D304" s="19"/>
      <c r="E304" s="20"/>
      <c r="F304" s="21"/>
      <c r="G304" s="22"/>
      <c r="H304" s="21"/>
      <c r="I304" s="22"/>
      <c r="J304" s="23"/>
      <c r="K304" s="21"/>
      <c r="L304" s="24"/>
      <c r="M304" s="25"/>
      <c r="N304" s="26"/>
      <c r="O304" s="26"/>
      <c r="P304" s="22"/>
      <c r="Q304" s="21"/>
      <c r="R304" s="27"/>
      <c r="S304" s="28"/>
      <c r="T304" s="22"/>
    </row>
    <row r="305" spans="4:20" ht="15" thickBot="1" x14ac:dyDescent="0.4">
      <c r="D305" s="19"/>
      <c r="E305" s="20"/>
      <c r="F305" s="21"/>
      <c r="G305" s="22"/>
      <c r="H305" s="21"/>
      <c r="I305" s="22"/>
      <c r="J305" s="23"/>
      <c r="K305" s="21"/>
      <c r="L305" s="24"/>
      <c r="M305" s="25"/>
      <c r="N305" s="26"/>
      <c r="O305" s="26"/>
      <c r="P305" s="22"/>
      <c r="Q305" s="21"/>
      <c r="R305" s="27"/>
      <c r="S305" s="28"/>
      <c r="T305" s="22"/>
    </row>
    <row r="306" spans="4:20" ht="15" thickBot="1" x14ac:dyDescent="0.4">
      <c r="D306" s="19"/>
      <c r="E306" s="20"/>
      <c r="F306" s="21"/>
      <c r="G306" s="22"/>
      <c r="H306" s="21"/>
      <c r="I306" s="22"/>
      <c r="J306" s="23"/>
      <c r="K306" s="21"/>
      <c r="L306" s="24"/>
      <c r="M306" s="25"/>
      <c r="N306" s="26"/>
      <c r="O306" s="26"/>
      <c r="P306" s="22"/>
      <c r="Q306" s="21"/>
      <c r="R306" s="27"/>
      <c r="S306" s="28"/>
      <c r="T306" s="22"/>
    </row>
    <row r="307" spans="4:20" ht="15" thickBot="1" x14ac:dyDescent="0.4">
      <c r="D307" s="19"/>
      <c r="E307" s="20"/>
      <c r="F307" s="21"/>
      <c r="G307" s="22"/>
      <c r="H307" s="21"/>
      <c r="I307" s="22"/>
      <c r="J307" s="23"/>
      <c r="K307" s="21"/>
      <c r="L307" s="24"/>
      <c r="M307" s="25"/>
      <c r="N307" s="26"/>
      <c r="O307" s="26"/>
      <c r="P307" s="22"/>
      <c r="Q307" s="21"/>
      <c r="R307" s="27"/>
      <c r="S307" s="28"/>
      <c r="T307" s="22"/>
    </row>
    <row r="308" spans="4:20" ht="15" thickBot="1" x14ac:dyDescent="0.4">
      <c r="D308" s="19"/>
      <c r="E308" s="20"/>
      <c r="F308" s="21"/>
      <c r="G308" s="22"/>
      <c r="H308" s="21"/>
      <c r="I308" s="22"/>
      <c r="J308" s="23"/>
      <c r="K308" s="21"/>
      <c r="L308" s="24"/>
      <c r="M308" s="25"/>
      <c r="N308" s="26"/>
      <c r="O308" s="26"/>
      <c r="P308" s="22"/>
      <c r="Q308" s="21"/>
      <c r="R308" s="27"/>
      <c r="S308" s="28"/>
      <c r="T308" s="22"/>
    </row>
    <row r="309" spans="4:20" ht="15" thickBot="1" x14ac:dyDescent="0.4">
      <c r="D309" s="19"/>
      <c r="E309" s="20"/>
      <c r="F309" s="21"/>
      <c r="G309" s="22"/>
      <c r="H309" s="21"/>
      <c r="I309" s="22"/>
      <c r="J309" s="23"/>
      <c r="K309" s="21"/>
      <c r="L309" s="24"/>
      <c r="M309" s="25"/>
      <c r="N309" s="26"/>
      <c r="O309" s="26"/>
      <c r="P309" s="22"/>
      <c r="Q309" s="21"/>
      <c r="R309" s="27"/>
      <c r="S309" s="28"/>
      <c r="T309" s="22"/>
    </row>
    <row r="310" spans="4:20" ht="15" thickBot="1" x14ac:dyDescent="0.4">
      <c r="D310" s="19"/>
      <c r="E310" s="20"/>
      <c r="F310" s="21"/>
      <c r="G310" s="22"/>
      <c r="H310" s="21"/>
      <c r="I310" s="22"/>
      <c r="J310" s="23"/>
      <c r="K310" s="21"/>
      <c r="L310" s="24"/>
      <c r="M310" s="25"/>
      <c r="N310" s="26"/>
      <c r="O310" s="26"/>
      <c r="P310" s="22"/>
      <c r="Q310" s="21"/>
      <c r="R310" s="27"/>
      <c r="S310" s="28"/>
      <c r="T310" s="22"/>
    </row>
    <row r="311" spans="4:20" ht="15" thickBot="1" x14ac:dyDescent="0.4">
      <c r="D311" s="19"/>
      <c r="E311" s="20"/>
      <c r="F311" s="21"/>
      <c r="G311" s="22"/>
      <c r="H311" s="21"/>
      <c r="I311" s="22"/>
      <c r="J311" s="23"/>
      <c r="K311" s="21"/>
      <c r="L311" s="24"/>
      <c r="M311" s="25"/>
      <c r="N311" s="26"/>
      <c r="O311" s="26"/>
      <c r="P311" s="22"/>
      <c r="Q311" s="21"/>
      <c r="R311" s="27"/>
      <c r="S311" s="28"/>
      <c r="T311" s="22"/>
    </row>
    <row r="312" spans="4:20" ht="15" thickBot="1" x14ac:dyDescent="0.4">
      <c r="D312" s="19"/>
      <c r="E312" s="20"/>
      <c r="F312" s="21"/>
      <c r="G312" s="22"/>
      <c r="H312" s="21"/>
      <c r="I312" s="22"/>
      <c r="J312" s="23"/>
      <c r="K312" s="21"/>
      <c r="L312" s="24"/>
      <c r="M312" s="25"/>
      <c r="N312" s="26"/>
      <c r="O312" s="26"/>
      <c r="P312" s="22"/>
      <c r="Q312" s="21"/>
      <c r="R312" s="27"/>
      <c r="S312" s="28"/>
      <c r="T312" s="22"/>
    </row>
    <row r="313" spans="4:20" ht="15" thickBot="1" x14ac:dyDescent="0.4">
      <c r="D313" s="19"/>
      <c r="E313" s="20"/>
      <c r="F313" s="21"/>
      <c r="G313" s="22"/>
      <c r="H313" s="21"/>
      <c r="I313" s="22"/>
      <c r="J313" s="23"/>
      <c r="K313" s="21"/>
      <c r="L313" s="24"/>
      <c r="M313" s="25"/>
      <c r="N313" s="26"/>
      <c r="O313" s="26"/>
      <c r="P313" s="22"/>
      <c r="Q313" s="21"/>
      <c r="R313" s="27"/>
      <c r="S313" s="28"/>
      <c r="T313" s="22"/>
    </row>
    <row r="314" spans="4:20" ht="15" thickBot="1" x14ac:dyDescent="0.4">
      <c r="D314" s="19"/>
      <c r="E314" s="20"/>
      <c r="F314" s="21"/>
      <c r="G314" s="22"/>
      <c r="H314" s="21"/>
      <c r="I314" s="22"/>
      <c r="J314" s="23"/>
      <c r="K314" s="21"/>
      <c r="L314" s="24"/>
      <c r="M314" s="25"/>
      <c r="N314" s="26"/>
      <c r="O314" s="26"/>
      <c r="P314" s="22"/>
      <c r="Q314" s="21"/>
      <c r="R314" s="27"/>
      <c r="S314" s="28"/>
      <c r="T314" s="22"/>
    </row>
    <row r="315" spans="4:20" ht="15" thickBot="1" x14ac:dyDescent="0.4">
      <c r="D315" s="19"/>
      <c r="E315" s="20"/>
      <c r="F315" s="21"/>
      <c r="G315" s="22"/>
      <c r="H315" s="21"/>
      <c r="I315" s="22"/>
      <c r="J315" s="23"/>
      <c r="K315" s="21"/>
      <c r="L315" s="24"/>
      <c r="M315" s="25"/>
      <c r="N315" s="26"/>
      <c r="O315" s="26"/>
      <c r="P315" s="22"/>
      <c r="Q315" s="21"/>
      <c r="R315" s="27"/>
      <c r="S315" s="28"/>
      <c r="T315" s="22"/>
    </row>
    <row r="316" spans="4:20" ht="15" thickBot="1" x14ac:dyDescent="0.4">
      <c r="D316" s="19"/>
      <c r="E316" s="20"/>
      <c r="F316" s="21"/>
      <c r="G316" s="22"/>
      <c r="H316" s="21"/>
      <c r="I316" s="22"/>
      <c r="J316" s="23"/>
      <c r="K316" s="21"/>
      <c r="L316" s="24"/>
      <c r="M316" s="25"/>
      <c r="N316" s="26"/>
      <c r="O316" s="26"/>
      <c r="P316" s="22"/>
      <c r="Q316" s="21"/>
      <c r="R316" s="27"/>
      <c r="S316" s="28"/>
      <c r="T316" s="22"/>
    </row>
    <row r="317" spans="4:20" ht="15" thickBot="1" x14ac:dyDescent="0.4">
      <c r="D317" s="19"/>
      <c r="E317" s="20"/>
      <c r="F317" s="21"/>
      <c r="G317" s="22"/>
      <c r="H317" s="21"/>
      <c r="I317" s="22"/>
      <c r="J317" s="23"/>
      <c r="K317" s="21"/>
      <c r="L317" s="24"/>
      <c r="M317" s="25"/>
      <c r="N317" s="26"/>
      <c r="O317" s="26"/>
      <c r="P317" s="22"/>
      <c r="Q317" s="21"/>
      <c r="R317" s="27"/>
      <c r="S317" s="28"/>
      <c r="T317" s="22"/>
    </row>
    <row r="318" spans="4:20" ht="15" thickBot="1" x14ac:dyDescent="0.4">
      <c r="D318" s="19"/>
      <c r="E318" s="20"/>
      <c r="F318" s="21"/>
      <c r="G318" s="22"/>
      <c r="H318" s="21"/>
      <c r="I318" s="22"/>
      <c r="J318" s="23"/>
      <c r="K318" s="21"/>
      <c r="L318" s="24"/>
      <c r="M318" s="25"/>
      <c r="N318" s="26"/>
      <c r="O318" s="26"/>
      <c r="P318" s="22"/>
      <c r="Q318" s="21"/>
      <c r="R318" s="27"/>
      <c r="S318" s="28"/>
      <c r="T318" s="22"/>
    </row>
    <row r="319" spans="4:20" ht="15" thickBot="1" x14ac:dyDescent="0.4">
      <c r="D319" s="19"/>
      <c r="E319" s="20"/>
      <c r="F319" s="21"/>
      <c r="G319" s="22"/>
      <c r="H319" s="21"/>
      <c r="I319" s="22"/>
      <c r="J319" s="23"/>
      <c r="K319" s="21"/>
      <c r="L319" s="24"/>
      <c r="M319" s="25"/>
      <c r="N319" s="26"/>
      <c r="O319" s="26"/>
      <c r="P319" s="22"/>
      <c r="Q319" s="21"/>
      <c r="R319" s="27"/>
      <c r="S319" s="28"/>
      <c r="T319" s="22"/>
    </row>
    <row r="320" spans="4:20" ht="15" thickBot="1" x14ac:dyDescent="0.4">
      <c r="D320" s="19"/>
      <c r="E320" s="20"/>
      <c r="F320" s="21"/>
      <c r="G320" s="22"/>
      <c r="H320" s="21"/>
      <c r="I320" s="22"/>
      <c r="J320" s="23"/>
      <c r="K320" s="21"/>
      <c r="L320" s="24"/>
      <c r="M320" s="25"/>
      <c r="N320" s="26"/>
      <c r="O320" s="26"/>
      <c r="P320" s="22"/>
      <c r="Q320" s="21"/>
      <c r="R320" s="27"/>
      <c r="S320" s="28"/>
      <c r="T320" s="22"/>
    </row>
    <row r="321" spans="4:20" ht="15" thickBot="1" x14ac:dyDescent="0.4">
      <c r="D321" s="19"/>
      <c r="E321" s="20"/>
      <c r="F321" s="21"/>
      <c r="G321" s="22"/>
      <c r="H321" s="21"/>
      <c r="I321" s="22"/>
      <c r="J321" s="23"/>
      <c r="K321" s="21"/>
      <c r="L321" s="24"/>
      <c r="M321" s="25"/>
      <c r="N321" s="26"/>
      <c r="O321" s="26"/>
      <c r="P321" s="22"/>
      <c r="Q321" s="21"/>
      <c r="R321" s="27"/>
      <c r="S321" s="28"/>
      <c r="T321" s="22"/>
    </row>
    <row r="322" spans="4:20" ht="15" thickBot="1" x14ac:dyDescent="0.4">
      <c r="D322" s="19"/>
      <c r="E322" s="20"/>
      <c r="F322" s="21"/>
      <c r="G322" s="22"/>
      <c r="H322" s="21"/>
      <c r="I322" s="22"/>
      <c r="J322" s="23"/>
      <c r="K322" s="21"/>
      <c r="L322" s="24"/>
      <c r="M322" s="25"/>
      <c r="N322" s="26"/>
      <c r="O322" s="26"/>
      <c r="P322" s="22"/>
      <c r="Q322" s="21"/>
      <c r="R322" s="27"/>
      <c r="S322" s="28"/>
      <c r="T322" s="22"/>
    </row>
    <row r="323" spans="4:20" ht="15" thickBot="1" x14ac:dyDescent="0.4">
      <c r="D323" s="19"/>
      <c r="E323" s="20"/>
      <c r="F323" s="21"/>
      <c r="G323" s="22"/>
      <c r="H323" s="21"/>
      <c r="I323" s="22"/>
      <c r="J323" s="23"/>
      <c r="K323" s="21"/>
      <c r="L323" s="24"/>
      <c r="M323" s="25"/>
      <c r="N323" s="26"/>
      <c r="O323" s="26"/>
      <c r="P323" s="22"/>
      <c r="Q323" s="21"/>
      <c r="R323" s="27"/>
      <c r="S323" s="28"/>
      <c r="T323" s="22"/>
    </row>
    <row r="324" spans="4:20" ht="15" thickBot="1" x14ac:dyDescent="0.4">
      <c r="D324" s="19"/>
      <c r="E324" s="20"/>
      <c r="F324" s="21"/>
      <c r="G324" s="22"/>
      <c r="H324" s="21"/>
      <c r="I324" s="22"/>
      <c r="J324" s="23"/>
      <c r="K324" s="21"/>
      <c r="L324" s="24"/>
      <c r="M324" s="25"/>
      <c r="N324" s="26"/>
      <c r="O324" s="26"/>
      <c r="P324" s="22"/>
      <c r="Q324" s="21"/>
      <c r="R324" s="27"/>
      <c r="S324" s="28"/>
      <c r="T324" s="22"/>
    </row>
    <row r="325" spans="4:20" ht="15" thickBot="1" x14ac:dyDescent="0.4">
      <c r="D325" s="19"/>
      <c r="E325" s="20"/>
      <c r="F325" s="21"/>
      <c r="G325" s="22"/>
      <c r="H325" s="21"/>
      <c r="I325" s="22"/>
      <c r="J325" s="23"/>
      <c r="K325" s="21"/>
      <c r="L325" s="24"/>
      <c r="M325" s="25"/>
      <c r="N325" s="26"/>
      <c r="O325" s="26"/>
      <c r="P325" s="22"/>
      <c r="Q325" s="21"/>
      <c r="R325" s="27"/>
      <c r="S325" s="28"/>
      <c r="T325" s="22"/>
    </row>
    <row r="326" spans="4:20" ht="15" thickBot="1" x14ac:dyDescent="0.4">
      <c r="D326" s="19"/>
      <c r="E326" s="20"/>
      <c r="F326" s="21"/>
      <c r="G326" s="22"/>
      <c r="H326" s="21"/>
      <c r="I326" s="22"/>
      <c r="J326" s="23"/>
      <c r="K326" s="21"/>
      <c r="L326" s="24"/>
      <c r="M326" s="25"/>
      <c r="N326" s="26"/>
      <c r="O326" s="26"/>
      <c r="P326" s="22"/>
      <c r="Q326" s="21"/>
      <c r="R326" s="27"/>
      <c r="S326" s="28"/>
      <c r="T326" s="22"/>
    </row>
    <row r="327" spans="4:20" ht="15" thickBot="1" x14ac:dyDescent="0.4">
      <c r="D327" s="19"/>
      <c r="E327" s="20"/>
      <c r="F327" s="21"/>
      <c r="G327" s="22"/>
      <c r="H327" s="21"/>
      <c r="I327" s="22"/>
      <c r="J327" s="23"/>
      <c r="K327" s="21"/>
      <c r="L327" s="24"/>
      <c r="M327" s="25"/>
      <c r="N327" s="26"/>
      <c r="O327" s="26"/>
      <c r="P327" s="22"/>
      <c r="Q327" s="21"/>
      <c r="R327" s="27"/>
      <c r="S327" s="28"/>
      <c r="T327" s="22"/>
    </row>
    <row r="328" spans="4:20" ht="15" thickBot="1" x14ac:dyDescent="0.4">
      <c r="D328" s="19"/>
      <c r="E328" s="20"/>
      <c r="F328" s="21"/>
      <c r="G328" s="22"/>
      <c r="H328" s="21"/>
      <c r="I328" s="22"/>
      <c r="J328" s="23"/>
      <c r="K328" s="21"/>
      <c r="L328" s="24"/>
      <c r="M328" s="25"/>
      <c r="N328" s="26"/>
      <c r="O328" s="26"/>
      <c r="P328" s="22"/>
      <c r="Q328" s="21"/>
      <c r="R328" s="27"/>
      <c r="S328" s="28"/>
      <c r="T328" s="22"/>
    </row>
    <row r="329" spans="4:20" ht="15" thickBot="1" x14ac:dyDescent="0.4">
      <c r="D329" s="19"/>
      <c r="E329" s="20"/>
      <c r="F329" s="21"/>
      <c r="G329" s="22"/>
      <c r="H329" s="21"/>
      <c r="I329" s="22"/>
      <c r="J329" s="23"/>
      <c r="K329" s="21"/>
      <c r="L329" s="24"/>
      <c r="M329" s="25"/>
      <c r="N329" s="26"/>
      <c r="O329" s="26"/>
      <c r="P329" s="22"/>
      <c r="Q329" s="21"/>
      <c r="R329" s="27"/>
      <c r="S329" s="28"/>
      <c r="T329" s="22"/>
    </row>
    <row r="330" spans="4:20" ht="15" thickBot="1" x14ac:dyDescent="0.4">
      <c r="D330" s="19"/>
      <c r="E330" s="20"/>
      <c r="F330" s="21"/>
      <c r="G330" s="22"/>
      <c r="H330" s="21"/>
      <c r="I330" s="22"/>
      <c r="J330" s="23"/>
      <c r="K330" s="21"/>
      <c r="L330" s="24"/>
      <c r="M330" s="25"/>
      <c r="N330" s="26"/>
      <c r="O330" s="26"/>
      <c r="P330" s="22"/>
      <c r="Q330" s="21"/>
      <c r="R330" s="27"/>
      <c r="S330" s="28"/>
      <c r="T330" s="22"/>
    </row>
    <row r="331" spans="4:20" ht="15" thickBot="1" x14ac:dyDescent="0.4">
      <c r="D331" s="19"/>
      <c r="E331" s="20"/>
      <c r="F331" s="21"/>
      <c r="G331" s="22"/>
      <c r="H331" s="21"/>
      <c r="I331" s="22"/>
      <c r="J331" s="23"/>
      <c r="K331" s="21"/>
      <c r="L331" s="24"/>
      <c r="M331" s="25"/>
      <c r="N331" s="26"/>
      <c r="O331" s="26"/>
      <c r="P331" s="22"/>
      <c r="Q331" s="21"/>
      <c r="R331" s="27"/>
      <c r="S331" s="28"/>
      <c r="T331" s="22"/>
    </row>
    <row r="332" spans="4:20" ht="15" thickBot="1" x14ac:dyDescent="0.4">
      <c r="D332" s="19"/>
      <c r="E332" s="20"/>
      <c r="F332" s="21"/>
      <c r="G332" s="22"/>
      <c r="H332" s="21"/>
      <c r="I332" s="22"/>
      <c r="J332" s="23"/>
      <c r="K332" s="21"/>
      <c r="L332" s="24"/>
      <c r="M332" s="25"/>
      <c r="N332" s="26"/>
      <c r="O332" s="26"/>
      <c r="P332" s="22"/>
      <c r="Q332" s="21"/>
      <c r="R332" s="27"/>
      <c r="S332" s="28"/>
      <c r="T332" s="22"/>
    </row>
    <row r="333" spans="4:20" ht="15" thickBot="1" x14ac:dyDescent="0.4">
      <c r="D333" s="19"/>
      <c r="E333" s="20"/>
      <c r="F333" s="21"/>
      <c r="G333" s="22"/>
      <c r="H333" s="21"/>
      <c r="I333" s="22"/>
      <c r="J333" s="23"/>
      <c r="K333" s="21"/>
      <c r="L333" s="24"/>
      <c r="M333" s="25"/>
      <c r="N333" s="26"/>
      <c r="O333" s="26"/>
      <c r="P333" s="22"/>
      <c r="Q333" s="21"/>
      <c r="R333" s="27"/>
      <c r="S333" s="28"/>
      <c r="T333" s="22"/>
    </row>
    <row r="334" spans="4:20" ht="15" thickBot="1" x14ac:dyDescent="0.4">
      <c r="D334" s="19"/>
      <c r="E334" s="20"/>
      <c r="F334" s="21"/>
      <c r="G334" s="22"/>
      <c r="H334" s="21"/>
      <c r="I334" s="22"/>
      <c r="J334" s="23"/>
      <c r="K334" s="21"/>
      <c r="L334" s="24"/>
      <c r="M334" s="25"/>
      <c r="N334" s="26"/>
      <c r="O334" s="26"/>
      <c r="P334" s="22"/>
      <c r="Q334" s="21"/>
      <c r="R334" s="27"/>
      <c r="S334" s="28"/>
      <c r="T334" s="22"/>
    </row>
    <row r="335" spans="4:20" ht="15" thickBot="1" x14ac:dyDescent="0.4">
      <c r="D335" s="19"/>
      <c r="E335" s="20"/>
      <c r="F335" s="21"/>
      <c r="G335" s="22"/>
      <c r="H335" s="21"/>
      <c r="I335" s="22"/>
      <c r="J335" s="23"/>
      <c r="K335" s="21"/>
      <c r="L335" s="24"/>
      <c r="M335" s="25"/>
      <c r="N335" s="26"/>
      <c r="O335" s="26"/>
      <c r="P335" s="22"/>
      <c r="Q335" s="21"/>
      <c r="R335" s="27"/>
      <c r="S335" s="28"/>
      <c r="T335" s="22"/>
    </row>
    <row r="336" spans="4:20" ht="15" thickBot="1" x14ac:dyDescent="0.4">
      <c r="D336" s="19"/>
      <c r="E336" s="20"/>
      <c r="F336" s="21"/>
      <c r="G336" s="22"/>
      <c r="H336" s="21"/>
      <c r="I336" s="22"/>
      <c r="J336" s="23"/>
      <c r="K336" s="21"/>
      <c r="L336" s="24"/>
      <c r="M336" s="25"/>
      <c r="N336" s="26"/>
      <c r="O336" s="26"/>
      <c r="P336" s="22"/>
      <c r="Q336" s="21"/>
      <c r="R336" s="27"/>
      <c r="S336" s="28"/>
      <c r="T336" s="22"/>
    </row>
    <row r="337" spans="4:20" ht="15" thickBot="1" x14ac:dyDescent="0.4">
      <c r="D337" s="19"/>
      <c r="E337" s="20"/>
      <c r="F337" s="21"/>
      <c r="G337" s="22"/>
      <c r="H337" s="21"/>
      <c r="I337" s="22"/>
      <c r="J337" s="23"/>
      <c r="K337" s="21"/>
      <c r="L337" s="24"/>
      <c r="M337" s="25"/>
      <c r="N337" s="26"/>
      <c r="O337" s="26"/>
      <c r="P337" s="22"/>
      <c r="Q337" s="21"/>
      <c r="R337" s="27"/>
      <c r="S337" s="28"/>
      <c r="T337" s="22"/>
    </row>
    <row r="338" spans="4:20" ht="15" thickBot="1" x14ac:dyDescent="0.4">
      <c r="D338" s="19"/>
      <c r="E338" s="20"/>
      <c r="F338" s="21"/>
      <c r="G338" s="22"/>
      <c r="H338" s="21"/>
      <c r="I338" s="22"/>
      <c r="J338" s="23"/>
      <c r="K338" s="21"/>
      <c r="L338" s="24"/>
      <c r="M338" s="25"/>
      <c r="N338" s="26"/>
      <c r="O338" s="26"/>
      <c r="P338" s="22"/>
      <c r="Q338" s="21"/>
      <c r="R338" s="27"/>
      <c r="S338" s="28"/>
      <c r="T338" s="22"/>
    </row>
    <row r="339" spans="4:20" ht="15" thickBot="1" x14ac:dyDescent="0.4">
      <c r="D339" s="19"/>
      <c r="E339" s="20"/>
      <c r="F339" s="21"/>
      <c r="G339" s="22"/>
      <c r="H339" s="21"/>
      <c r="I339" s="22"/>
      <c r="J339" s="23"/>
      <c r="K339" s="21"/>
      <c r="L339" s="24"/>
      <c r="M339" s="25"/>
      <c r="N339" s="26"/>
      <c r="O339" s="26"/>
      <c r="P339" s="22"/>
      <c r="Q339" s="21"/>
      <c r="R339" s="27"/>
      <c r="S339" s="28"/>
      <c r="T339" s="22"/>
    </row>
    <row r="340" spans="4:20" ht="15" thickBot="1" x14ac:dyDescent="0.4">
      <c r="D340" s="19"/>
      <c r="E340" s="20"/>
      <c r="F340" s="21"/>
      <c r="G340" s="22"/>
      <c r="H340" s="21"/>
      <c r="I340" s="22"/>
      <c r="J340" s="23"/>
      <c r="K340" s="21"/>
      <c r="L340" s="24"/>
      <c r="M340" s="25"/>
      <c r="N340" s="26"/>
      <c r="O340" s="26"/>
      <c r="P340" s="22"/>
      <c r="Q340" s="21"/>
      <c r="R340" s="27"/>
      <c r="S340" s="28"/>
      <c r="T340" s="22"/>
    </row>
    <row r="341" spans="4:20" ht="15" thickBot="1" x14ac:dyDescent="0.4">
      <c r="D341" s="19"/>
      <c r="E341" s="20"/>
      <c r="F341" s="21"/>
      <c r="G341" s="22"/>
      <c r="H341" s="21"/>
      <c r="I341" s="22"/>
      <c r="J341" s="23"/>
      <c r="K341" s="21"/>
      <c r="L341" s="24"/>
      <c r="M341" s="25"/>
      <c r="N341" s="26"/>
      <c r="O341" s="26"/>
      <c r="P341" s="22"/>
      <c r="Q341" s="21"/>
      <c r="R341" s="27"/>
      <c r="S341" s="28"/>
      <c r="T341" s="22"/>
    </row>
    <row r="342" spans="4:20" ht="15" thickBot="1" x14ac:dyDescent="0.4">
      <c r="D342" s="19"/>
      <c r="E342" s="20"/>
      <c r="F342" s="21"/>
      <c r="G342" s="22"/>
      <c r="H342" s="21"/>
      <c r="I342" s="22"/>
      <c r="J342" s="23"/>
      <c r="K342" s="21"/>
      <c r="L342" s="24"/>
      <c r="M342" s="25"/>
      <c r="N342" s="26"/>
      <c r="O342" s="26"/>
      <c r="P342" s="22"/>
      <c r="Q342" s="21"/>
      <c r="R342" s="27"/>
      <c r="S342" s="28"/>
      <c r="T342" s="22"/>
    </row>
    <row r="343" spans="4:20" x14ac:dyDescent="0.35">
      <c r="D343" s="19"/>
      <c r="E343" s="20"/>
      <c r="F343" s="21"/>
      <c r="G343" s="22"/>
      <c r="H343" s="21"/>
      <c r="I343" s="22"/>
      <c r="J343" s="23"/>
      <c r="K343" s="21"/>
      <c r="L343" s="24"/>
      <c r="M343" s="25"/>
      <c r="N343" s="26"/>
      <c r="O343" s="26"/>
      <c r="P343" s="22"/>
      <c r="Q343" s="21"/>
      <c r="R343" s="27"/>
      <c r="S343" s="28"/>
      <c r="T343" s="22"/>
    </row>
  </sheetData>
  <pageMargins left="0.7" right="0.7" top="0.75" bottom="0.75" header="0.3" footer="0.3"/>
  <pageSetup paperSize="9" orientation="portrait" horizontalDpi="1200" verticalDpi="1200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7" zoomScaleNormal="100" workbookViewId="0">
      <selection activeCell="I45" sqref="I45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G27 105L'!R7</f>
        <v>30.854470482189271</v>
      </c>
      <c r="B2" s="48">
        <f>'New Vestas G27 105L'!T7</f>
        <v>96.398686048416309</v>
      </c>
      <c r="C2" s="50">
        <f t="shared" ref="C2:D44" si="0">IF(ISNA(A2),"",LOG10(A2))</f>
        <v>1.4893180975455251</v>
      </c>
      <c r="D2" s="50">
        <f t="shared" si="0"/>
        <v>1.9840711143404728</v>
      </c>
      <c r="E2" s="51">
        <f>IF(C2="","",C2^2)</f>
        <v>2.2180683956766223</v>
      </c>
      <c r="F2" s="51">
        <f>IF(D2="","",D2^2)</f>
        <v>3.9365381867602456</v>
      </c>
      <c r="G2" s="52">
        <f>IF(OR(C2="",D2=""),"",C2*D2)</f>
        <v>2.954913017404583</v>
      </c>
      <c r="H2" s="53" t="s">
        <v>57</v>
      </c>
      <c r="I2" s="54">
        <f>COUNT(C:C)</f>
        <v>51</v>
      </c>
      <c r="J2" s="51">
        <f t="shared" ref="J2:J65" si="1">LOG($I$24+($I$25-$I$24)*(ROW()-2)/100)</f>
        <v>1.6032614498523621</v>
      </c>
      <c r="K2" s="51">
        <f t="shared" ref="K2:K65" si="2">+$I$14+$I$13*J2</f>
        <v>1.9855213237809242</v>
      </c>
      <c r="L2" s="55">
        <f t="shared" ref="L2:L65" si="3">SQRT(2*$I$20*$I$17)*SQRT((1/$I$2)+((J2-$I$11)^2/$I$8))</f>
        <v>8.6231303070933522E-3</v>
      </c>
      <c r="M2" s="51">
        <f t="shared" ref="M2:M65" si="4">+$I$14+$I$13*J2-L2</f>
        <v>1.9768981934738308</v>
      </c>
      <c r="N2" s="94">
        <f>10^$J2</f>
        <v>40.110811626846086</v>
      </c>
      <c r="O2" s="56">
        <f>10^K2</f>
        <v>96.721121538082215</v>
      </c>
      <c r="P2" s="57">
        <f t="shared" ref="P2:P65" si="5">10^M2</f>
        <v>94.819616281847331</v>
      </c>
      <c r="R2" s="47"/>
      <c r="S2" s="47"/>
      <c r="T2" s="47"/>
    </row>
    <row r="3" spans="1:20" ht="12.75" customHeight="1" x14ac:dyDescent="0.35">
      <c r="A3" s="49">
        <f>'New Vestas G27 105L'!R8</f>
        <v>33.939917530408195</v>
      </c>
      <c r="B3" s="48">
        <f>'New Vestas G27 105L'!T8</f>
        <v>93.377574558440898</v>
      </c>
      <c r="C3" s="50">
        <f t="shared" si="0"/>
        <v>1.5307107827037501</v>
      </c>
      <c r="D3" s="50">
        <f t="shared" si="0"/>
        <v>1.9702425891325317</v>
      </c>
      <c r="E3" s="51">
        <f t="shared" ref="E3:F44" si="6">IF(C3="","",C3^2)</f>
        <v>2.343075500285527</v>
      </c>
      <c r="F3" s="51">
        <f t="shared" si="6"/>
        <v>3.8818558600316622</v>
      </c>
      <c r="G3" s="52">
        <f t="shared" ref="G3:G44" si="7">IF(OR(C3="",D3=""),"",C3*D3)</f>
        <v>3.0158715757273207</v>
      </c>
      <c r="H3" s="53" t="s">
        <v>58</v>
      </c>
      <c r="I3" s="58">
        <f>SUM(C:C)</f>
        <v>41.1418904240684</v>
      </c>
      <c r="J3" s="51">
        <f t="shared" si="1"/>
        <v>1.5989595421528229</v>
      </c>
      <c r="K3" s="51">
        <f t="shared" si="2"/>
        <v>1.9859309428141201</v>
      </c>
      <c r="L3" s="55">
        <f t="shared" si="3"/>
        <v>8.5892239378219486E-3</v>
      </c>
      <c r="M3" s="51">
        <f t="shared" si="4"/>
        <v>1.9773417188762981</v>
      </c>
      <c r="N3" s="94">
        <f t="shared" ref="N3:N66" si="8">10^$J3</f>
        <v>39.715454976715939</v>
      </c>
      <c r="O3" s="56">
        <f t="shared" ref="O3:O66" si="9">10^K3</f>
        <v>96.812390259445195</v>
      </c>
      <c r="P3" s="57">
        <f t="shared" si="5"/>
        <v>94.916500750637454</v>
      </c>
      <c r="R3" s="47"/>
      <c r="S3" s="47"/>
      <c r="T3" s="47"/>
    </row>
    <row r="4" spans="1:20" ht="12.75" customHeight="1" x14ac:dyDescent="0.35">
      <c r="A4" s="49">
        <f>'New Vestas G27 105L'!R9</f>
        <v>33.939917530408195</v>
      </c>
      <c r="B4" s="48">
        <f>'New Vestas G27 105L'!T9</f>
        <v>98.202523299837239</v>
      </c>
      <c r="C4" s="50">
        <f t="shared" si="0"/>
        <v>1.5307107827037501</v>
      </c>
      <c r="D4" s="50">
        <f t="shared" si="0"/>
        <v>1.9921226470651214</v>
      </c>
      <c r="E4" s="51">
        <f t="shared" si="6"/>
        <v>2.343075500285527</v>
      </c>
      <c r="F4" s="51">
        <f t="shared" si="6"/>
        <v>3.9685526409497465</v>
      </c>
      <c r="G4" s="52">
        <f t="shared" si="7"/>
        <v>3.0493636163309183</v>
      </c>
      <c r="H4" s="59" t="s">
        <v>59</v>
      </c>
      <c r="I4" s="58">
        <f>SUM(D:D)</f>
        <v>105.12976564224323</v>
      </c>
      <c r="J4" s="51">
        <f t="shared" si="1"/>
        <v>1.5946145951885884</v>
      </c>
      <c r="K4" s="51">
        <f t="shared" si="2"/>
        <v>1.9863446599598802</v>
      </c>
      <c r="L4" s="55">
        <f t="shared" si="3"/>
        <v>8.5550294307535687E-3</v>
      </c>
      <c r="M4" s="51">
        <f t="shared" si="4"/>
        <v>1.9777896305291267</v>
      </c>
      <c r="N4" s="94">
        <f t="shared" si="8"/>
        <v>39.3200983265858</v>
      </c>
      <c r="O4" s="56">
        <f t="shared" si="9"/>
        <v>96.904659517054228</v>
      </c>
      <c r="P4" s="57">
        <f t="shared" si="5"/>
        <v>95.014443827643291</v>
      </c>
      <c r="R4" s="47"/>
      <c r="S4" s="47"/>
      <c r="T4" s="47"/>
    </row>
    <row r="5" spans="1:20" ht="12.75" customHeight="1" x14ac:dyDescent="0.35">
      <c r="A5" s="49">
        <f>'New Vestas G27 105L'!R10</f>
        <v>38.568088102736588</v>
      </c>
      <c r="B5" s="48">
        <f>'New Vestas G27 105L'!T10</f>
        <v>96.892645099435484</v>
      </c>
      <c r="C5" s="50">
        <f t="shared" si="0"/>
        <v>1.5862281105535816</v>
      </c>
      <c r="D5" s="50">
        <f t="shared" si="0"/>
        <v>1.9862908119944289</v>
      </c>
      <c r="E5" s="51">
        <f t="shared" si="6"/>
        <v>2.5161196187103854</v>
      </c>
      <c r="F5" s="51">
        <f t="shared" si="6"/>
        <v>3.9453511898134876</v>
      </c>
      <c r="G5" s="52">
        <f t="shared" si="7"/>
        <v>3.1507103217198624</v>
      </c>
      <c r="H5" s="59" t="s">
        <v>60</v>
      </c>
      <c r="I5" s="58">
        <f>SUM(E:E)</f>
        <v>45.242849848227486</v>
      </c>
      <c r="J5" s="51">
        <f t="shared" si="1"/>
        <v>1.5902257390600134</v>
      </c>
      <c r="K5" s="51">
        <f t="shared" si="2"/>
        <v>1.9867625580483061</v>
      </c>
      <c r="L5" s="55">
        <f t="shared" si="3"/>
        <v>8.5205421085220116E-3</v>
      </c>
      <c r="M5" s="51">
        <f t="shared" si="4"/>
        <v>1.9782420159397842</v>
      </c>
      <c r="N5" s="94">
        <f t="shared" si="8"/>
        <v>38.924741676455668</v>
      </c>
      <c r="O5" s="56">
        <f t="shared" si="9"/>
        <v>96.997950506456334</v>
      </c>
      <c r="P5" s="57">
        <f t="shared" si="5"/>
        <v>95.113467749386558</v>
      </c>
      <c r="R5" s="47"/>
      <c r="S5" s="47"/>
      <c r="T5" s="47"/>
    </row>
    <row r="6" spans="1:20" ht="12.75" customHeight="1" x14ac:dyDescent="0.35">
      <c r="A6" s="49">
        <f>'New Vestas G27 105L'!R11</f>
        <v>40.110811626846051</v>
      </c>
      <c r="B6" s="48">
        <f>'New Vestas G27 105L'!T11</f>
        <v>91.075244856474768</v>
      </c>
      <c r="C6" s="50">
        <f t="shared" si="0"/>
        <v>1.6032614498523619</v>
      </c>
      <c r="D6" s="50">
        <f t="shared" si="0"/>
        <v>1.9594003475194754</v>
      </c>
      <c r="E6" s="51">
        <f t="shared" si="6"/>
        <v>2.5704472765826973</v>
      </c>
      <c r="F6" s="51">
        <f t="shared" si="6"/>
        <v>3.8392497218594412</v>
      </c>
      <c r="G6" s="52">
        <f t="shared" si="7"/>
        <v>3.141431042005296</v>
      </c>
      <c r="H6" s="59" t="s">
        <v>61</v>
      </c>
      <c r="I6" s="58">
        <f>SUM(F:F)</f>
        <v>216.82832587299279</v>
      </c>
      <c r="J6" s="51">
        <f t="shared" si="1"/>
        <v>1.5857920772246596</v>
      </c>
      <c r="K6" s="51">
        <f t="shared" si="2"/>
        <v>1.9871847224463728</v>
      </c>
      <c r="L6" s="55">
        <f t="shared" si="3"/>
        <v>8.4857571899727927E-3</v>
      </c>
      <c r="M6" s="51">
        <f t="shared" si="4"/>
        <v>1.9786989652564</v>
      </c>
      <c r="N6" s="94">
        <f t="shared" si="8"/>
        <v>38.529385026325507</v>
      </c>
      <c r="O6" s="56">
        <f t="shared" si="9"/>
        <v>97.092285093291778</v>
      </c>
      <c r="P6" s="57">
        <f t="shared" si="5"/>
        <v>95.213595447367851</v>
      </c>
      <c r="R6" s="47"/>
      <c r="S6" s="47"/>
      <c r="T6" s="47"/>
    </row>
    <row r="7" spans="1:20" ht="12.75" customHeight="1" x14ac:dyDescent="0.35">
      <c r="A7" s="49">
        <f>'New Vestas G27 105L'!R12</f>
        <v>27.769023433970343</v>
      </c>
      <c r="B7" s="48">
        <f>'New Vestas G27 105L'!T12</f>
        <v>98.226747141076572</v>
      </c>
      <c r="C7" s="50">
        <f t="shared" si="0"/>
        <v>1.4435606069848499</v>
      </c>
      <c r="D7" s="50">
        <f t="shared" si="0"/>
        <v>1.9922297622685781</v>
      </c>
      <c r="E7" s="51">
        <f t="shared" si="6"/>
        <v>2.0838672260384681</v>
      </c>
      <c r="F7" s="51">
        <f t="shared" si="6"/>
        <v>3.968979425668715</v>
      </c>
      <c r="G7" s="52">
        <f t="shared" si="7"/>
        <v>2.8759044048737117</v>
      </c>
      <c r="H7" s="59" t="s">
        <v>62</v>
      </c>
      <c r="I7" s="58">
        <f>SUM(G:G)</f>
        <v>83.66086119044644</v>
      </c>
      <c r="J7" s="51">
        <f t="shared" si="1"/>
        <v>1.5813126853980637</v>
      </c>
      <c r="K7" s="51">
        <f t="shared" si="2"/>
        <v>1.9876112411625952</v>
      </c>
      <c r="L7" s="55">
        <f t="shared" si="3"/>
        <v>8.4506697876983155E-3</v>
      </c>
      <c r="M7" s="51">
        <f t="shared" si="4"/>
        <v>1.979160571374897</v>
      </c>
      <c r="N7" s="94">
        <f t="shared" si="8"/>
        <v>38.134028376195381</v>
      </c>
      <c r="O7" s="56">
        <f t="shared" si="9"/>
        <v>97.187685841612947</v>
      </c>
      <c r="P7" s="57">
        <f t="shared" si="5"/>
        <v>95.31485057702929</v>
      </c>
      <c r="R7" s="47"/>
      <c r="S7" s="47"/>
      <c r="T7" s="47"/>
    </row>
    <row r="8" spans="1:20" ht="12.75" customHeight="1" x14ac:dyDescent="0.35">
      <c r="A8" s="49">
        <f>'New Vestas G27 105L'!R13</f>
        <v>29.311746958079805</v>
      </c>
      <c r="B8" s="48">
        <f>'New Vestas G27 105L'!T13</f>
        <v>96.129287571603214</v>
      </c>
      <c r="C8" s="50">
        <f t="shared" si="0"/>
        <v>1.4670417028343727</v>
      </c>
      <c r="D8" s="50">
        <f t="shared" si="0"/>
        <v>1.9828557237032332</v>
      </c>
      <c r="E8" s="51">
        <f t="shared" si="6"/>
        <v>2.152211357855176</v>
      </c>
      <c r="F8" s="51">
        <f t="shared" si="6"/>
        <v>3.9317168210226723</v>
      </c>
      <c r="G8" s="52">
        <f t="shared" si="7"/>
        <v>2.9089320373764735</v>
      </c>
      <c r="H8" s="53" t="s">
        <v>63</v>
      </c>
      <c r="I8" s="58">
        <f>+I5-I3^2/$I$2</f>
        <v>12.053533227324522</v>
      </c>
      <c r="J8" s="51">
        <f t="shared" si="1"/>
        <v>1.5767866103972219</v>
      </c>
      <c r="K8" s="51">
        <f t="shared" si="2"/>
        <v>1.9880422049571498</v>
      </c>
      <c r="L8" s="55">
        <f t="shared" si="3"/>
        <v>8.4152749055490805E-3</v>
      </c>
      <c r="M8" s="51">
        <f t="shared" si="4"/>
        <v>1.9796269300516007</v>
      </c>
      <c r="N8" s="94">
        <f t="shared" si="8"/>
        <v>37.738671726065242</v>
      </c>
      <c r="O8" s="56">
        <f t="shared" si="9"/>
        <v>97.284176043707419</v>
      </c>
      <c r="P8" s="57">
        <f t="shared" si="5"/>
        <v>95.417257548231163</v>
      </c>
      <c r="R8" s="47"/>
      <c r="S8" s="47"/>
      <c r="T8" s="47"/>
    </row>
    <row r="9" spans="1:20" ht="12.75" customHeight="1" x14ac:dyDescent="0.35">
      <c r="A9" s="49">
        <f>'New Vestas G27 105L'!R14</f>
        <v>38.568088102736588</v>
      </c>
      <c r="B9" s="48">
        <f>'New Vestas G27 105L'!T14</f>
        <v>95.109421909382206</v>
      </c>
      <c r="C9" s="50">
        <f t="shared" si="0"/>
        <v>1.5862281105535816</v>
      </c>
      <c r="D9" s="50">
        <f t="shared" si="0"/>
        <v>1.9782235419696752</v>
      </c>
      <c r="E9" s="51">
        <f t="shared" si="6"/>
        <v>2.5161196187103854</v>
      </c>
      <c r="F9" s="51">
        <f t="shared" si="6"/>
        <v>3.9133683820030472</v>
      </c>
      <c r="G9" s="52">
        <f t="shared" si="7"/>
        <v>3.1379137912311719</v>
      </c>
      <c r="H9" s="59" t="s">
        <v>64</v>
      </c>
      <c r="I9" s="58">
        <f>+I6-I4^2/$I$2</f>
        <v>0.11719599077741805</v>
      </c>
      <c r="J9" s="51">
        <f t="shared" si="1"/>
        <v>1.572212868923176</v>
      </c>
      <c r="K9" s="51">
        <f t="shared" si="2"/>
        <v>1.9884777074577931</v>
      </c>
      <c r="L9" s="55">
        <f t="shared" si="3"/>
        <v>8.3795674361265646E-3</v>
      </c>
      <c r="M9" s="51">
        <f t="shared" si="4"/>
        <v>1.9800981400216664</v>
      </c>
      <c r="N9" s="94">
        <f t="shared" si="8"/>
        <v>37.343315075935088</v>
      </c>
      <c r="O9" s="56">
        <f t="shared" si="9"/>
        <v>97.381779751522473</v>
      </c>
      <c r="P9" s="57">
        <f t="shared" si="5"/>
        <v>95.520841557338514</v>
      </c>
      <c r="R9" s="47"/>
      <c r="S9" s="47"/>
      <c r="T9" s="47"/>
    </row>
    <row r="10" spans="1:20" ht="12.75" customHeight="1" x14ac:dyDescent="0.35">
      <c r="A10" s="49">
        <f>'New Vestas G27 105L'!R15</f>
        <v>3.8413815750325635</v>
      </c>
      <c r="B10" s="48">
        <f>'New Vestas G27 105L'!T15</f>
        <v>119.13563169228982</v>
      </c>
      <c r="C10" s="50">
        <f t="shared" si="0"/>
        <v>0.58448744897728011</v>
      </c>
      <c r="D10" s="50">
        <f t="shared" si="0"/>
        <v>2.07604167191933</v>
      </c>
      <c r="E10" s="51">
        <f t="shared" si="6"/>
        <v>0.34162557801196863</v>
      </c>
      <c r="F10" s="51">
        <f t="shared" si="6"/>
        <v>4.3099490235456068</v>
      </c>
      <c r="G10" s="52">
        <f t="shared" si="7"/>
        <v>1.2134203007906568</v>
      </c>
      <c r="H10" s="59" t="s">
        <v>65</v>
      </c>
      <c r="I10" s="58">
        <f>+I7-I3*I4/$I$2</f>
        <v>-1.1477132872234108</v>
      </c>
      <c r="J10" s="51">
        <f t="shared" si="1"/>
        <v>1.5675904462788066</v>
      </c>
      <c r="K10" s="51">
        <f t="shared" si="2"/>
        <v>1.9889178452819523</v>
      </c>
      <c r="L10" s="55">
        <f t="shared" si="3"/>
        <v>8.3435421582644942E-3</v>
      </c>
      <c r="M10" s="51">
        <f t="shared" si="4"/>
        <v>1.9805743031236878</v>
      </c>
      <c r="N10" s="94">
        <f t="shared" si="8"/>
        <v>36.947958425804956</v>
      </c>
      <c r="O10" s="56">
        <f t="shared" si="9"/>
        <v>97.480521809794993</v>
      </c>
      <c r="P10" s="57">
        <f t="shared" si="5"/>
        <v>95.625628621019402</v>
      </c>
      <c r="R10" s="47"/>
      <c r="S10" s="47"/>
      <c r="T10" s="47"/>
    </row>
    <row r="11" spans="1:20" ht="12.75" customHeight="1" x14ac:dyDescent="0.35">
      <c r="A11" s="49">
        <f>'New Vestas G27 105L'!R16</f>
        <v>4.8017269687907049</v>
      </c>
      <c r="B11" s="48">
        <f>'New Vestas G27 105L'!T16</f>
        <v>114.99363409754525</v>
      </c>
      <c r="C11" s="50">
        <f t="shared" si="0"/>
        <v>0.68139746198533657</v>
      </c>
      <c r="D11" s="50">
        <f t="shared" si="0"/>
        <v>2.060673799024642</v>
      </c>
      <c r="E11" s="51">
        <f t="shared" si="6"/>
        <v>0.46430250120005823</v>
      </c>
      <c r="F11" s="51">
        <f t="shared" si="6"/>
        <v>4.2463765059866505</v>
      </c>
      <c r="G11" s="52">
        <f t="shared" si="7"/>
        <v>1.4041378966350726</v>
      </c>
      <c r="H11" s="59" t="s">
        <v>66</v>
      </c>
      <c r="I11" s="58">
        <f>+I3/$I$2</f>
        <v>0.80670373380526272</v>
      </c>
      <c r="J11" s="51">
        <f t="shared" si="1"/>
        <v>1.5629182950176523</v>
      </c>
      <c r="K11" s="51">
        <f t="shared" si="2"/>
        <v>1.989362718165381</v>
      </c>
      <c r="L11" s="55">
        <f t="shared" si="3"/>
        <v>8.3071937345062484E-3</v>
      </c>
      <c r="M11" s="51">
        <f t="shared" si="4"/>
        <v>1.9810555244308747</v>
      </c>
      <c r="N11" s="94">
        <f t="shared" si="8"/>
        <v>36.552601775674809</v>
      </c>
      <c r="O11" s="56">
        <f t="shared" si="9"/>
        <v>97.580427890997569</v>
      </c>
      <c r="P11" s="57">
        <f t="shared" si="5"/>
        <v>95.731645611864906</v>
      </c>
      <c r="R11" s="47"/>
      <c r="S11" s="47"/>
      <c r="T11" s="47"/>
    </row>
    <row r="12" spans="1:20" ht="12.75" customHeight="1" x14ac:dyDescent="0.35">
      <c r="A12" s="49">
        <f>'New Vestas G27 105L'!R17</f>
        <v>6.722417756306986</v>
      </c>
      <c r="B12" s="48">
        <f>'New Vestas G27 105L'!T17</f>
        <v>113.98806242714483</v>
      </c>
      <c r="C12" s="50">
        <f t="shared" si="0"/>
        <v>0.82752549766357464</v>
      </c>
      <c r="D12" s="50">
        <f t="shared" si="0"/>
        <v>2.0568593715690859</v>
      </c>
      <c r="E12" s="51">
        <f t="shared" si="6"/>
        <v>0.68479844928334688</v>
      </c>
      <c r="F12" s="51">
        <f t="shared" si="6"/>
        <v>4.2306704744115748</v>
      </c>
      <c r="G12" s="52">
        <f t="shared" si="7"/>
        <v>1.7021035750816953</v>
      </c>
      <c r="H12" s="59" t="s">
        <v>67</v>
      </c>
      <c r="I12" s="58">
        <f>+I4/$I$2</f>
        <v>2.0613679537694751</v>
      </c>
      <c r="J12" s="51">
        <f t="shared" si="1"/>
        <v>1.5581953335192575</v>
      </c>
      <c r="K12" s="51">
        <f t="shared" si="2"/>
        <v>1.9898124290978123</v>
      </c>
      <c r="L12" s="55">
        <f t="shared" si="3"/>
        <v>8.2705167085875466E-3</v>
      </c>
      <c r="M12" s="51">
        <f t="shared" si="4"/>
        <v>1.9815419123892248</v>
      </c>
      <c r="N12" s="94">
        <f t="shared" si="8"/>
        <v>36.157245125544677</v>
      </c>
      <c r="O12" s="56">
        <f t="shared" si="9"/>
        <v>97.68152453222298</v>
      </c>
      <c r="P12" s="57">
        <f t="shared" si="5"/>
        <v>95.838920295950516</v>
      </c>
      <c r="R12" s="47"/>
      <c r="S12" s="47"/>
      <c r="T12" s="47"/>
    </row>
    <row r="13" spans="1:20" ht="12.75" customHeight="1" x14ac:dyDescent="0.35">
      <c r="A13" s="49">
        <f>'New Vestas G27 105L'!R18</f>
        <v>9.6034539375814099</v>
      </c>
      <c r="B13" s="48">
        <f>'New Vestas G27 105L'!T18</f>
        <v>111.52201761640093</v>
      </c>
      <c r="C13" s="50">
        <f t="shared" si="0"/>
        <v>0.98242745764931783</v>
      </c>
      <c r="D13" s="50">
        <f t="shared" si="0"/>
        <v>2.0473606179252322</v>
      </c>
      <c r="E13" s="51">
        <f t="shared" si="6"/>
        <v>0.96516370954330222</v>
      </c>
      <c r="F13" s="51">
        <f t="shared" si="6"/>
        <v>4.1916854998311885</v>
      </c>
      <c r="G13" s="52">
        <f t="shared" si="7"/>
        <v>2.0113832867596222</v>
      </c>
      <c r="H13" s="59" t="s">
        <v>68</v>
      </c>
      <c r="I13" s="60">
        <f>+I10/I8</f>
        <v>-9.521799671333088E-2</v>
      </c>
      <c r="J13" s="51">
        <f t="shared" si="1"/>
        <v>1.5534204444861965</v>
      </c>
      <c r="K13" s="51">
        <f t="shared" si="2"/>
        <v>1.990267084466069</v>
      </c>
      <c r="L13" s="55">
        <f t="shared" si="3"/>
        <v>8.2335055029349475E-3</v>
      </c>
      <c r="M13" s="51">
        <f t="shared" si="4"/>
        <v>1.982033578963134</v>
      </c>
      <c r="N13" s="94">
        <f t="shared" si="8"/>
        <v>35.76188847541453</v>
      </c>
      <c r="O13" s="56">
        <f t="shared" si="9"/>
        <v>97.783839174135281</v>
      </c>
      <c r="P13" s="57">
        <f t="shared" si="5"/>
        <v>95.947481372465077</v>
      </c>
      <c r="R13" s="47"/>
      <c r="S13" s="47"/>
      <c r="T13" s="47"/>
    </row>
    <row r="14" spans="1:20" ht="12.75" customHeight="1" x14ac:dyDescent="0.35">
      <c r="A14" s="49">
        <f>'New Vestas G27 105L'!R19</f>
        <v>10.563799331339549</v>
      </c>
      <c r="B14" s="48">
        <f>'New Vestas G27 105L'!T19</f>
        <v>109.94183356291457</v>
      </c>
      <c r="C14" s="50">
        <f t="shared" si="0"/>
        <v>1.0238201428075429</v>
      </c>
      <c r="D14" s="50">
        <f t="shared" si="0"/>
        <v>2.0411629756678757</v>
      </c>
      <c r="E14" s="51">
        <f t="shared" si="6"/>
        <v>1.0482076848184574</v>
      </c>
      <c r="F14" s="51">
        <f t="shared" si="6"/>
        <v>4.1663462932373374</v>
      </c>
      <c r="G14" s="52">
        <f t="shared" si="7"/>
        <v>2.0897837692417536</v>
      </c>
      <c r="H14" s="59" t="s">
        <v>69</v>
      </c>
      <c r="I14" s="60">
        <f>+I12-I13*I11</f>
        <v>2.1381806672435766</v>
      </c>
      <c r="J14" s="51">
        <f t="shared" si="1"/>
        <v>1.5485924733575531</v>
      </c>
      <c r="K14" s="51">
        <f t="shared" si="2"/>
        <v>1.9907267942051281</v>
      </c>
      <c r="L14" s="55">
        <f t="shared" si="3"/>
        <v>8.1961544161924371E-3</v>
      </c>
      <c r="M14" s="51">
        <f t="shared" si="4"/>
        <v>1.9825306397889357</v>
      </c>
      <c r="N14" s="94">
        <f t="shared" si="8"/>
        <v>35.366531825284397</v>
      </c>
      <c r="O14" s="56">
        <f t="shared" si="9"/>
        <v>97.887400202129214</v>
      </c>
      <c r="P14" s="57">
        <f t="shared" si="5"/>
        <v>96.057358515545829</v>
      </c>
      <c r="R14" s="47"/>
      <c r="S14" s="47"/>
      <c r="T14" s="47"/>
    </row>
    <row r="15" spans="1:20" ht="12.75" customHeight="1" thickBot="1" x14ac:dyDescent="0.4">
      <c r="A15" s="49">
        <f>'New Vestas G27 105L'!R20</f>
        <v>15.365526300130254</v>
      </c>
      <c r="B15" s="48">
        <f>'New Vestas G27 105L'!T20</f>
        <v>109.0080884403999</v>
      </c>
      <c r="C15" s="50">
        <f t="shared" si="0"/>
        <v>1.1865474403052425</v>
      </c>
      <c r="D15" s="50">
        <f t="shared" si="0"/>
        <v>2.0374587239470956</v>
      </c>
      <c r="E15" s="51">
        <f t="shared" si="6"/>
        <v>1.4078948280949231</v>
      </c>
      <c r="F15" s="51">
        <f t="shared" si="6"/>
        <v>4.1512380517881269</v>
      </c>
      <c r="G15" s="52">
        <f t="shared" si="7"/>
        <v>2.417541433627012</v>
      </c>
      <c r="H15" s="61" t="s">
        <v>70</v>
      </c>
      <c r="I15" s="62">
        <f>+I10^2/(I8*I9)</f>
        <v>0.93248036290113534</v>
      </c>
      <c r="J15" s="51">
        <f t="shared" si="1"/>
        <v>1.5437102266332186</v>
      </c>
      <c r="K15" s="51">
        <f t="shared" si="2"/>
        <v>1.9911916719576794</v>
      </c>
      <c r="L15" s="55">
        <f t="shared" si="3"/>
        <v>8.158457620790217E-3</v>
      </c>
      <c r="M15" s="51">
        <f t="shared" si="4"/>
        <v>1.9830332143368892</v>
      </c>
      <c r="N15" s="94">
        <f t="shared" si="8"/>
        <v>34.971175175154265</v>
      </c>
      <c r="O15" s="56">
        <f t="shared" si="9"/>
        <v>97.992236989848266</v>
      </c>
      <c r="P15" s="57">
        <f t="shared" si="5"/>
        <v>96.168582418466841</v>
      </c>
      <c r="R15" s="47"/>
      <c r="S15" s="47"/>
      <c r="T15" s="47"/>
    </row>
    <row r="16" spans="1:20" ht="12.75" customHeight="1" x14ac:dyDescent="0.35">
      <c r="A16" s="49">
        <f>'New Vestas G27 105L'!R21</f>
        <v>17.286217087646538</v>
      </c>
      <c r="B16" s="48">
        <f>'New Vestas G27 105L'!T21</f>
        <v>108.07434331788519</v>
      </c>
      <c r="C16" s="50">
        <f t="shared" si="0"/>
        <v>1.237699962752624</v>
      </c>
      <c r="D16" s="50">
        <f t="shared" si="0"/>
        <v>2.0337226053504009</v>
      </c>
      <c r="E16" s="51">
        <f t="shared" si="6"/>
        <v>1.5319011977978467</v>
      </c>
      <c r="F16" s="51">
        <f t="shared" si="6"/>
        <v>4.1360276355132228</v>
      </c>
      <c r="G16" s="52">
        <f t="shared" si="7"/>
        <v>2.5171383928913604</v>
      </c>
      <c r="H16" s="63" t="s">
        <v>71</v>
      </c>
      <c r="I16" s="64"/>
      <c r="J16" s="51">
        <f t="shared" si="1"/>
        <v>1.5387724701029253</v>
      </c>
      <c r="K16" s="51">
        <f t="shared" si="2"/>
        <v>1.9916618352427522</v>
      </c>
      <c r="L16" s="55">
        <f t="shared" si="3"/>
        <v>8.1204091605720508E-3</v>
      </c>
      <c r="M16" s="51">
        <f t="shared" si="4"/>
        <v>1.9835414260821802</v>
      </c>
      <c r="N16" s="94">
        <f t="shared" si="8"/>
        <v>34.575818525024118</v>
      </c>
      <c r="O16" s="56">
        <f t="shared" si="9"/>
        <v>98.098379945224707</v>
      </c>
      <c r="P16" s="57">
        <f t="shared" si="5"/>
        <v>96.281184840341851</v>
      </c>
      <c r="R16" s="47"/>
      <c r="S16" s="47"/>
      <c r="T16" s="47"/>
    </row>
    <row r="17" spans="1:20" ht="12.75" customHeight="1" x14ac:dyDescent="0.35">
      <c r="A17" s="49">
        <f>'New Vestas G27 105L'!R22</f>
        <v>18.246562481404677</v>
      </c>
      <c r="B17" s="48">
        <f>'New Vestas G27 105L'!T22</f>
        <v>105.75195160291281</v>
      </c>
      <c r="C17" s="50">
        <f t="shared" si="0"/>
        <v>1.2611810586021468</v>
      </c>
      <c r="D17" s="50">
        <f t="shared" si="0"/>
        <v>2.0242883908230147</v>
      </c>
      <c r="E17" s="51">
        <f t="shared" si="6"/>
        <v>1.5905776625768315</v>
      </c>
      <c r="F17" s="51">
        <f t="shared" si="6"/>
        <v>4.0977434892208304</v>
      </c>
      <c r="G17" s="52">
        <f t="shared" si="7"/>
        <v>2.5529941756542058</v>
      </c>
      <c r="H17" s="53" t="s">
        <v>72</v>
      </c>
      <c r="I17" s="65">
        <f>(+I9-(+I10^2/I8))/($I$2-2)</f>
        <v>1.6149042381088062E-4</v>
      </c>
      <c r="J17" s="51">
        <f t="shared" si="1"/>
        <v>1.5337779269734397</v>
      </c>
      <c r="K17" s="51">
        <f t="shared" si="2"/>
        <v>1.9921374056340402</v>
      </c>
      <c r="L17" s="55">
        <f t="shared" si="3"/>
        <v>8.0820029484998945E-3</v>
      </c>
      <c r="M17" s="51">
        <f t="shared" si="4"/>
        <v>1.9840554026855404</v>
      </c>
      <c r="N17" s="94">
        <f t="shared" si="8"/>
        <v>34.180461874893979</v>
      </c>
      <c r="O17" s="56">
        <f t="shared" si="9"/>
        <v>98.205860559219929</v>
      </c>
      <c r="P17" s="57">
        <f t="shared" si="5"/>
        <v>96.395198655511905</v>
      </c>
      <c r="R17" s="47"/>
      <c r="S17" s="47"/>
      <c r="T17" s="47"/>
    </row>
    <row r="18" spans="1:20" ht="12.75" customHeight="1" x14ac:dyDescent="0.35">
      <c r="A18" s="49">
        <f>'New Vestas G27 105L'!R23</f>
        <v>19.20690787516282</v>
      </c>
      <c r="B18" s="48">
        <f>'New Vestas G27 105L'!T23</f>
        <v>105.56041414188415</v>
      </c>
      <c r="C18" s="50">
        <f t="shared" si="0"/>
        <v>1.283457453313299</v>
      </c>
      <c r="D18" s="50">
        <f t="shared" si="0"/>
        <v>2.023501085405365</v>
      </c>
      <c r="E18" s="51">
        <f t="shared" si="6"/>
        <v>1.6472630344654591</v>
      </c>
      <c r="F18" s="51">
        <f t="shared" si="6"/>
        <v>4.0945566426366904</v>
      </c>
      <c r="G18" s="52">
        <f t="shared" si="7"/>
        <v>2.5970775498510661</v>
      </c>
      <c r="H18" s="66" t="s">
        <v>53</v>
      </c>
      <c r="I18" s="67">
        <v>0.95</v>
      </c>
      <c r="J18" s="51">
        <f t="shared" si="1"/>
        <v>1.5287252758868077</v>
      </c>
      <c r="K18" s="51">
        <f t="shared" si="2"/>
        <v>1.9926185089486006</v>
      </c>
      <c r="L18" s="55">
        <f t="shared" si="3"/>
        <v>8.0432327644574964E-3</v>
      </c>
      <c r="M18" s="51">
        <f t="shared" si="4"/>
        <v>1.9845752761841431</v>
      </c>
      <c r="N18" s="94">
        <f t="shared" si="8"/>
        <v>33.785105224763832</v>
      </c>
      <c r="O18" s="56">
        <f t="shared" si="9"/>
        <v>98.314711457455346</v>
      </c>
      <c r="P18" s="57">
        <f t="shared" si="5"/>
        <v>96.510657905807506</v>
      </c>
      <c r="R18" s="47"/>
      <c r="S18" s="47"/>
      <c r="T18" s="47"/>
    </row>
    <row r="19" spans="1:20" ht="12.75" customHeight="1" x14ac:dyDescent="0.35">
      <c r="A19" s="49">
        <f>'New Vestas G27 105L'!R24</f>
        <v>2.8810361812744225</v>
      </c>
      <c r="B19" s="48">
        <f>'New Vestas G27 105L'!T24</f>
        <v>126.17252703498713</v>
      </c>
      <c r="C19" s="50">
        <f t="shared" si="0"/>
        <v>0.45954871236898021</v>
      </c>
      <c r="D19" s="50">
        <f t="shared" si="0"/>
        <v>2.1009648013741478</v>
      </c>
      <c r="E19" s="51">
        <f t="shared" si="6"/>
        <v>0.21118501903998771</v>
      </c>
      <c r="F19" s="51">
        <f t="shared" si="6"/>
        <v>4.4140530966131122</v>
      </c>
      <c r="G19" s="52">
        <f t="shared" si="7"/>
        <v>0.96549566920403984</v>
      </c>
      <c r="H19" s="53" t="s">
        <v>73</v>
      </c>
      <c r="I19" s="68">
        <f>_xlfn.T.INV(1-(1-I18)/2,I2-2)</f>
        <v>2.0095752371292388</v>
      </c>
      <c r="J19" s="51">
        <f t="shared" si="1"/>
        <v>1.5236131488219564</v>
      </c>
      <c r="K19" s="51">
        <f t="shared" si="2"/>
        <v>1.9931052754466598</v>
      </c>
      <c r="L19" s="55">
        <f t="shared" si="3"/>
        <v>8.0040922531776724E-3</v>
      </c>
      <c r="M19" s="51">
        <f t="shared" si="4"/>
        <v>1.9851011831934822</v>
      </c>
      <c r="N19" s="94">
        <f t="shared" si="8"/>
        <v>33.389748574633693</v>
      </c>
      <c r="O19" s="56">
        <f t="shared" si="9"/>
        <v>98.424966454941867</v>
      </c>
      <c r="P19" s="57">
        <f t="shared" si="5"/>
        <v>96.627597855884019</v>
      </c>
      <c r="R19" s="47"/>
      <c r="S19" s="47"/>
      <c r="T19" s="47"/>
    </row>
    <row r="20" spans="1:20" ht="12.75" customHeight="1" x14ac:dyDescent="0.35">
      <c r="A20" s="49">
        <f>'New Vestas G27 105L'!R25</f>
        <v>3.8413815750325635</v>
      </c>
      <c r="B20" s="48">
        <f>'New Vestas G27 105L'!T25</f>
        <v>122.38570023480405</v>
      </c>
      <c r="C20" s="50">
        <f t="shared" si="0"/>
        <v>0.58448744897728011</v>
      </c>
      <c r="D20" s="50">
        <f t="shared" si="0"/>
        <v>2.0877306770259247</v>
      </c>
      <c r="E20" s="51">
        <f t="shared" si="6"/>
        <v>0.34162557801196863</v>
      </c>
      <c r="F20" s="51">
        <f t="shared" si="6"/>
        <v>4.358619379795126</v>
      </c>
      <c r="G20" s="52">
        <f t="shared" si="7"/>
        <v>1.2202523775664926</v>
      </c>
      <c r="H20" s="53" t="s">
        <v>74</v>
      </c>
      <c r="I20" s="68">
        <f>_xlfn.F.INV(I18,2,I2-2)</f>
        <v>3.1865823523635823</v>
      </c>
      <c r="J20" s="51">
        <f t="shared" si="1"/>
        <v>1.5184401288713143</v>
      </c>
      <c r="K20" s="51">
        <f t="shared" si="2"/>
        <v>1.9935978400433181</v>
      </c>
      <c r="L20" s="55">
        <f t="shared" si="3"/>
        <v>7.9645749223217818E-3</v>
      </c>
      <c r="M20" s="51">
        <f t="shared" si="4"/>
        <v>1.9856332651209962</v>
      </c>
      <c r="N20" s="94">
        <f t="shared" si="8"/>
        <v>32.994391924503567</v>
      </c>
      <c r="O20" s="56">
        <f t="shared" si="9"/>
        <v>98.536660614132558</v>
      </c>
      <c r="P20" s="57">
        <f t="shared" si="5"/>
        <v>96.746055051849879</v>
      </c>
      <c r="R20" s="47"/>
      <c r="S20" s="47"/>
      <c r="T20" s="47"/>
    </row>
    <row r="21" spans="1:20" ht="12.75" customHeight="1" x14ac:dyDescent="0.35">
      <c r="A21" s="49">
        <f>'New Vestas G27 105L'!R26</f>
        <v>4.8017269687907049</v>
      </c>
      <c r="B21" s="48">
        <f>'New Vestas G27 105L'!T26</f>
        <v>116.53768922634551</v>
      </c>
      <c r="C21" s="50">
        <f t="shared" si="0"/>
        <v>0.68139746198533657</v>
      </c>
      <c r="D21" s="50">
        <f t="shared" si="0"/>
        <v>2.0664664024087003</v>
      </c>
      <c r="E21" s="51">
        <f t="shared" si="6"/>
        <v>0.46430250120005823</v>
      </c>
      <c r="F21" s="51">
        <f t="shared" si="6"/>
        <v>4.2702833922839565</v>
      </c>
      <c r="G21" s="52">
        <f t="shared" si="7"/>
        <v>1.4080849618792575</v>
      </c>
      <c r="H21" s="53" t="s">
        <v>75</v>
      </c>
      <c r="I21" s="68">
        <f>I19*SQRT(I17)*(($I$8)^(-1/2))</f>
        <v>7.3556401207074268E-3</v>
      </c>
      <c r="J21" s="51">
        <f t="shared" si="1"/>
        <v>1.5132047478834105</v>
      </c>
      <c r="K21" s="51">
        <f t="shared" si="2"/>
        <v>1.9940963425330174</v>
      </c>
      <c r="L21" s="55">
        <f t="shared" si="3"/>
        <v>7.9246741407439716E-3</v>
      </c>
      <c r="M21" s="51">
        <f t="shared" si="4"/>
        <v>1.9861716683922734</v>
      </c>
      <c r="N21" s="94">
        <f t="shared" si="8"/>
        <v>32.599035274373414</v>
      </c>
      <c r="O21" s="56">
        <f t="shared" si="9"/>
        <v>98.649830306544501</v>
      </c>
      <c r="P21" s="57">
        <f t="shared" si="5"/>
        <v>96.866067383425587</v>
      </c>
      <c r="R21" s="47"/>
      <c r="S21" s="47"/>
      <c r="T21" s="47"/>
    </row>
    <row r="22" spans="1:20" ht="12.75" customHeight="1" thickBot="1" x14ac:dyDescent="0.4">
      <c r="A22" s="49">
        <f>'New Vestas G27 105L'!R27</f>
        <v>9.6034539375814099</v>
      </c>
      <c r="B22" s="48">
        <f>'New Vestas G27 105L'!T27</f>
        <v>114.28476694963702</v>
      </c>
      <c r="C22" s="50">
        <f t="shared" si="0"/>
        <v>0.98242745764931783</v>
      </c>
      <c r="D22" s="50">
        <f t="shared" si="0"/>
        <v>2.057988347012996</v>
      </c>
      <c r="E22" s="51">
        <f t="shared" si="6"/>
        <v>0.96516370954330222</v>
      </c>
      <c r="F22" s="51">
        <f t="shared" si="6"/>
        <v>4.2353160364412838</v>
      </c>
      <c r="G22" s="52">
        <f t="shared" si="7"/>
        <v>2.0218242596278997</v>
      </c>
      <c r="H22" s="61" t="s">
        <v>76</v>
      </c>
      <c r="I22" s="69">
        <f>I19*SQRT(I17)*(1/I2+I11^2/I8)^(1/2)</f>
        <v>6.9280396027749467E-3</v>
      </c>
      <c r="J22" s="51">
        <f t="shared" si="1"/>
        <v>1.5079054839616428</v>
      </c>
      <c r="K22" s="51">
        <f t="shared" si="2"/>
        <v>1.9946009278277033</v>
      </c>
      <c r="L22" s="55">
        <f t="shared" si="3"/>
        <v>7.8843831369776116E-3</v>
      </c>
      <c r="M22" s="51">
        <f t="shared" si="4"/>
        <v>1.9867165446907256</v>
      </c>
      <c r="N22" s="94">
        <f t="shared" si="8"/>
        <v>32.203678624243281</v>
      </c>
      <c r="O22" s="56">
        <f t="shared" si="9"/>
        <v>98.76451327821249</v>
      </c>
      <c r="P22" s="57">
        <f t="shared" si="5"/>
        <v>96.9876741498868</v>
      </c>
      <c r="R22" s="47"/>
      <c r="S22" s="47"/>
      <c r="T22" s="47"/>
    </row>
    <row r="23" spans="1:20" ht="12.75" customHeight="1" x14ac:dyDescent="0.35">
      <c r="A23" s="49">
        <f>'New Vestas G27 105L'!R28</f>
        <v>10.563799331339549</v>
      </c>
      <c r="B23" s="48">
        <f>'New Vestas G27 105L'!T28</f>
        <v>111.64836854649269</v>
      </c>
      <c r="C23" s="50">
        <f t="shared" si="0"/>
        <v>1.0238201428075429</v>
      </c>
      <c r="D23" s="50">
        <f t="shared" si="0"/>
        <v>2.0478523813579059</v>
      </c>
      <c r="E23" s="51">
        <f t="shared" si="6"/>
        <v>1.0482076848184574</v>
      </c>
      <c r="F23" s="51">
        <f t="shared" si="6"/>
        <v>4.1936993758332459</v>
      </c>
      <c r="G23" s="52">
        <f t="shared" si="7"/>
        <v>2.096632517530618</v>
      </c>
      <c r="H23" s="63" t="s">
        <v>77</v>
      </c>
      <c r="I23" s="70"/>
      <c r="J23" s="51">
        <f t="shared" si="1"/>
        <v>1.5025407588085464</v>
      </c>
      <c r="K23" s="51">
        <f t="shared" si="2"/>
        <v>1.9951117462096988</v>
      </c>
      <c r="L23" s="55">
        <f t="shared" si="3"/>
        <v>7.8436949979866066E-3</v>
      </c>
      <c r="M23" s="51">
        <f t="shared" si="4"/>
        <v>1.9872680512117122</v>
      </c>
      <c r="N23" s="94">
        <f t="shared" si="8"/>
        <v>31.808321974113131</v>
      </c>
      <c r="O23" s="56">
        <f t="shared" si="9"/>
        <v>98.880748719266947</v>
      </c>
      <c r="P23" s="57">
        <f t="shared" si="5"/>
        <v>97.110916130073974</v>
      </c>
      <c r="R23" s="47"/>
      <c r="S23" s="47"/>
      <c r="T23" s="47"/>
    </row>
    <row r="24" spans="1:20" ht="12.75" customHeight="1" x14ac:dyDescent="0.35">
      <c r="A24" s="49">
        <f>'New Vestas G27 105L'!R29</f>
        <v>11.52414472509769</v>
      </c>
      <c r="B24" s="48">
        <f>'New Vestas G27 105L'!T29</f>
        <v>108.77229755650337</v>
      </c>
      <c r="C24" s="50">
        <f t="shared" si="0"/>
        <v>1.0616087036969426</v>
      </c>
      <c r="D24" s="50">
        <f t="shared" si="0"/>
        <v>2.0365183020693021</v>
      </c>
      <c r="E24" s="51">
        <f t="shared" si="6"/>
        <v>1.1270130397651028</v>
      </c>
      <c r="F24" s="51">
        <f t="shared" si="6"/>
        <v>4.1474067946632331</v>
      </c>
      <c r="G24" s="52">
        <f t="shared" si="7"/>
        <v>2.1619855547148905</v>
      </c>
      <c r="H24" s="66" t="s">
        <v>78</v>
      </c>
      <c r="I24" s="71">
        <f>10^(MAX(C:C))</f>
        <v>40.110811626846065</v>
      </c>
      <c r="J24" s="51">
        <f t="shared" si="1"/>
        <v>1.4971089349039775</v>
      </c>
      <c r="K24" s="51">
        <f t="shared" si="2"/>
        <v>1.9956289536003913</v>
      </c>
      <c r="L24" s="55">
        <f t="shared" si="3"/>
        <v>7.8026026682306683E-3</v>
      </c>
      <c r="M24" s="51">
        <f t="shared" si="4"/>
        <v>1.9878263509321605</v>
      </c>
      <c r="N24" s="94">
        <f t="shared" si="8"/>
        <v>31.412965323983002</v>
      </c>
      <c r="O24" s="56">
        <f t="shared" si="9"/>
        <v>98.998577337946912</v>
      </c>
      <c r="P24" s="57">
        <f t="shared" si="5"/>
        <v>97.235835656767449</v>
      </c>
      <c r="R24" s="47"/>
      <c r="S24" s="47"/>
      <c r="T24" s="47"/>
    </row>
    <row r="25" spans="1:20" ht="12.75" customHeight="1" thickBot="1" x14ac:dyDescent="0.4">
      <c r="A25" s="49">
        <f>'New Vestas G27 105L'!R30</f>
        <v>14.405180906372113</v>
      </c>
      <c r="B25" s="48">
        <f>'New Vestas G27 105L'!T30</f>
        <v>107.07062222328031</v>
      </c>
      <c r="C25" s="50">
        <f t="shared" si="0"/>
        <v>1.1585187167049991</v>
      </c>
      <c r="D25" s="50">
        <f t="shared" si="0"/>
        <v>2.0296703265134846</v>
      </c>
      <c r="E25" s="51">
        <f t="shared" si="6"/>
        <v>1.3421656169557978</v>
      </c>
      <c r="F25" s="51">
        <f t="shared" si="6"/>
        <v>4.1195616343293553</v>
      </c>
      <c r="G25" s="52">
        <f t="shared" si="7"/>
        <v>2.3514110620066186</v>
      </c>
      <c r="H25" s="72" t="s">
        <v>79</v>
      </c>
      <c r="I25" s="73">
        <f>10^(MIN(C:C))</f>
        <v>0.57514661383205934</v>
      </c>
      <c r="J25" s="51">
        <f t="shared" si="1"/>
        <v>1.4916083125045811</v>
      </c>
      <c r="K25" s="51">
        <f t="shared" si="2"/>
        <v>1.9961527118459383</v>
      </c>
      <c r="L25" s="55">
        <f t="shared" si="3"/>
        <v>7.7610989491004902E-3</v>
      </c>
      <c r="M25" s="51">
        <f t="shared" si="4"/>
        <v>1.9883916128968377</v>
      </c>
      <c r="N25" s="94">
        <f t="shared" si="8"/>
        <v>31.017608673852862</v>
      </c>
      <c r="O25" s="56">
        <f t="shared" si="9"/>
        <v>99.118041439393949</v>
      </c>
      <c r="P25" s="57">
        <f t="shared" si="5"/>
        <v>97.362476695760606</v>
      </c>
      <c r="R25" s="47"/>
      <c r="S25" s="47"/>
      <c r="T25" s="47"/>
    </row>
    <row r="26" spans="1:20" ht="12.75" customHeight="1" x14ac:dyDescent="0.35">
      <c r="A26" s="49">
        <f>'New Vestas G27 105L'!R31</f>
        <v>19.20690787516282</v>
      </c>
      <c r="B26" s="48">
        <f>'New Vestas G27 105L'!T31</f>
        <v>106.04003012696514</v>
      </c>
      <c r="C26" s="50">
        <f t="shared" si="0"/>
        <v>1.283457453313299</v>
      </c>
      <c r="D26" s="50">
        <f t="shared" si="0"/>
        <v>2.0254698424482007</v>
      </c>
      <c r="E26" s="51">
        <f t="shared" si="6"/>
        <v>1.6472630344654591</v>
      </c>
      <c r="F26" s="51">
        <f t="shared" si="6"/>
        <v>4.1025280826671393</v>
      </c>
      <c r="G26" s="52">
        <f t="shared" si="7"/>
        <v>2.5996043657514565</v>
      </c>
      <c r="H26" s="63" t="s">
        <v>80</v>
      </c>
      <c r="I26" s="70"/>
      <c r="J26" s="51">
        <f t="shared" si="1"/>
        <v>1.4860371264507926</v>
      </c>
      <c r="K26" s="51">
        <f t="shared" si="2"/>
        <v>1.9966831890212973</v>
      </c>
      <c r="L26" s="55">
        <f t="shared" si="3"/>
        <v>7.7191764987870294E-3</v>
      </c>
      <c r="M26" s="51">
        <f t="shared" si="4"/>
        <v>1.9889640125225103</v>
      </c>
      <c r="N26" s="94">
        <f t="shared" si="8"/>
        <v>30.622252023722726</v>
      </c>
      <c r="O26" s="56">
        <f t="shared" si="9"/>
        <v>99.239185009598685</v>
      </c>
      <c r="P26" s="57">
        <f t="shared" si="5"/>
        <v>97.490884929985867</v>
      </c>
      <c r="R26" s="47" t="s">
        <v>81</v>
      </c>
      <c r="S26" s="47"/>
      <c r="T26" s="47"/>
    </row>
    <row r="27" spans="1:20" ht="12.75" customHeight="1" x14ac:dyDescent="0.35">
      <c r="A27" s="49">
        <f>'New Vestas G27 105L'!R32</f>
        <v>3.8413815750325635</v>
      </c>
      <c r="B27" s="48">
        <f>'New Vestas G27 105L'!T32</f>
        <v>122.25432118368342</v>
      </c>
      <c r="C27" s="50">
        <f t="shared" si="0"/>
        <v>0.58448744897728011</v>
      </c>
      <c r="D27" s="50">
        <f t="shared" si="0"/>
        <v>2.0872642185773547</v>
      </c>
      <c r="E27" s="51">
        <f t="shared" si="6"/>
        <v>0.34162557801196863</v>
      </c>
      <c r="F27" s="51">
        <f t="shared" si="6"/>
        <v>4.3566719181533351</v>
      </c>
      <c r="G27" s="52">
        <f t="shared" si="7"/>
        <v>1.2199797384578339</v>
      </c>
      <c r="H27" s="53" t="str">
        <f>"m lower " &amp; TEXT(I18,"##%") &amp; " conf"</f>
        <v>m lower 95% conf</v>
      </c>
      <c r="I27" s="74">
        <f>-I13-I21</f>
        <v>8.7862356592623453E-2</v>
      </c>
      <c r="J27" s="51">
        <f t="shared" si="1"/>
        <v>1.4803935427663608</v>
      </c>
      <c r="K27" s="51">
        <f t="shared" si="2"/>
        <v>1.9972205597540129</v>
      </c>
      <c r="L27" s="55">
        <f t="shared" si="3"/>
        <v>7.6768278326582468E-3</v>
      </c>
      <c r="M27" s="51">
        <f t="shared" si="4"/>
        <v>1.9895437319213547</v>
      </c>
      <c r="N27" s="94">
        <f t="shared" si="8"/>
        <v>30.226895373592569</v>
      </c>
      <c r="O27" s="56">
        <f t="shared" si="9"/>
        <v>99.362053804910289</v>
      </c>
      <c r="P27" s="57">
        <f t="shared" si="5"/>
        <v>97.621107849087039</v>
      </c>
      <c r="R27" s="47"/>
      <c r="S27" s="47"/>
      <c r="T27" s="47"/>
    </row>
    <row r="28" spans="1:20" ht="12.75" customHeight="1" x14ac:dyDescent="0.35">
      <c r="A28" s="49">
        <f>'New Vestas G27 105L'!R33</f>
        <v>5.762072362548845</v>
      </c>
      <c r="B28" s="48">
        <f>'New Vestas G27 105L'!T33</f>
        <v>120.29311410924292</v>
      </c>
      <c r="C28" s="50">
        <f t="shared" si="0"/>
        <v>0.76057870803296135</v>
      </c>
      <c r="D28" s="50">
        <f t="shared" si="0"/>
        <v>2.0802407679055199</v>
      </c>
      <c r="E28" s="51">
        <f t="shared" si="6"/>
        <v>0.57847997111308869</v>
      </c>
      <c r="F28" s="51">
        <f t="shared" si="6"/>
        <v>4.3274016524561469</v>
      </c>
      <c r="G28" s="52">
        <f t="shared" si="7"/>
        <v>1.5821868356510758</v>
      </c>
      <c r="H28" s="75" t="s">
        <v>82</v>
      </c>
      <c r="I28" s="76">
        <f>-I13</f>
        <v>9.521799671333088E-2</v>
      </c>
      <c r="J28" s="51">
        <f t="shared" si="1"/>
        <v>1.4746756550340059</v>
      </c>
      <c r="K28" s="51">
        <f t="shared" si="2"/>
        <v>1.9977650055693195</v>
      </c>
      <c r="L28" s="55">
        <f t="shared" si="3"/>
        <v>7.6340453242273064E-3</v>
      </c>
      <c r="M28" s="51">
        <f t="shared" si="4"/>
        <v>1.9901309602450921</v>
      </c>
      <c r="N28" s="94">
        <f t="shared" si="8"/>
        <v>29.831538723462437</v>
      </c>
      <c r="O28" s="56">
        <f t="shared" si="9"/>
        <v>99.486695447553586</v>
      </c>
      <c r="P28" s="57">
        <f t="shared" si="5"/>
        <v>97.753194844861937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G27 105L'!R34</f>
        <v>6.722417756306986</v>
      </c>
      <c r="B29" s="48">
        <f>'New Vestas G27 105L'!T34</f>
        <v>116.89687746813868</v>
      </c>
      <c r="C29" s="50">
        <f t="shared" si="0"/>
        <v>0.82752549766357464</v>
      </c>
      <c r="D29" s="50">
        <f t="shared" si="0"/>
        <v>2.067802910507702</v>
      </c>
      <c r="E29" s="51">
        <f t="shared" si="6"/>
        <v>0.68479844928334688</v>
      </c>
      <c r="F29" s="51">
        <f t="shared" si="6"/>
        <v>4.275808876704124</v>
      </c>
      <c r="G29" s="52">
        <f t="shared" si="7"/>
        <v>1.7111596325880742</v>
      </c>
      <c r="H29" s="77" t="str">
        <f>"m upper " &amp; TEXT(I18,"##%") &amp; " conf"</f>
        <v>m upper 95% conf</v>
      </c>
      <c r="I29" s="74">
        <f>-I13+I21</f>
        <v>0.10257363683403831</v>
      </c>
      <c r="J29" s="51">
        <f t="shared" si="1"/>
        <v>1.4688814805292845</v>
      </c>
      <c r="K29" s="51">
        <f t="shared" si="2"/>
        <v>1.9983167152582666</v>
      </c>
      <c r="L29" s="55">
        <f t="shared" si="3"/>
        <v>7.590821206808364E-3</v>
      </c>
      <c r="M29" s="51">
        <f t="shared" si="4"/>
        <v>1.9907258940514583</v>
      </c>
      <c r="N29" s="94">
        <f t="shared" si="8"/>
        <v>29.436182073332297</v>
      </c>
      <c r="O29" s="56">
        <f t="shared" si="9"/>
        <v>99.613159527645024</v>
      </c>
      <c r="P29" s="57">
        <f t="shared" si="5"/>
        <v>97.887197313041611</v>
      </c>
      <c r="R29" s="47"/>
      <c r="S29" s="47"/>
      <c r="T29" s="47"/>
    </row>
    <row r="30" spans="1:20" ht="12.75" customHeight="1" x14ac:dyDescent="0.35">
      <c r="A30" s="49">
        <f>'New Vestas G27 105L'!R35</f>
        <v>9.6034539375814099</v>
      </c>
      <c r="B30" s="48">
        <f>'New Vestas G27 105L'!T35</f>
        <v>111.82643966592674</v>
      </c>
      <c r="C30" s="50">
        <f t="shared" si="0"/>
        <v>0.98242745764931783</v>
      </c>
      <c r="D30" s="50">
        <f t="shared" si="0"/>
        <v>2.0485444980357794</v>
      </c>
      <c r="E30" s="51">
        <f t="shared" si="6"/>
        <v>0.96516370954330222</v>
      </c>
      <c r="F30" s="51">
        <f t="shared" si="6"/>
        <v>4.1965345604326636</v>
      </c>
      <c r="G30" s="52">
        <f t="shared" si="7"/>
        <v>2.0125463630867886</v>
      </c>
      <c r="H30" s="77" t="str">
        <f>"C lower " &amp; TEXT(I18,"##%") &amp; " conf"</f>
        <v>C lower 95% conf</v>
      </c>
      <c r="I30" s="78">
        <f>10^(I14-I22)</f>
        <v>135.28592880564574</v>
      </c>
      <c r="J30" s="51">
        <f t="shared" si="1"/>
        <v>1.4630089560930497</v>
      </c>
      <c r="K30" s="51">
        <f t="shared" si="2"/>
        <v>1.9988758852707349</v>
      </c>
      <c r="L30" s="55">
        <f t="shared" si="3"/>
        <v>7.5471475759700726E-3</v>
      </c>
      <c r="M30" s="51">
        <f t="shared" si="4"/>
        <v>1.9913287376947648</v>
      </c>
      <c r="N30" s="94">
        <f t="shared" si="8"/>
        <v>29.040825423202161</v>
      </c>
      <c r="O30" s="56">
        <f t="shared" si="9"/>
        <v>99.741497712240871</v>
      </c>
      <c r="P30" s="57">
        <f t="shared" si="5"/>
        <v>98.023168761912999</v>
      </c>
      <c r="R30" s="47"/>
      <c r="S30" s="47"/>
      <c r="T30" s="47"/>
    </row>
    <row r="31" spans="1:20" ht="12.75" customHeight="1" x14ac:dyDescent="0.35">
      <c r="A31" s="49">
        <f>'New Vestas G27 105L'!R36</f>
        <v>14.405180906372113</v>
      </c>
      <c r="B31" s="48">
        <f>'New Vestas G27 105L'!T36</f>
        <v>111.41984795537198</v>
      </c>
      <c r="C31" s="50">
        <f t="shared" si="0"/>
        <v>1.1585187167049991</v>
      </c>
      <c r="D31" s="50">
        <f t="shared" si="0"/>
        <v>2.0469625614812772</v>
      </c>
      <c r="E31" s="51">
        <f t="shared" si="6"/>
        <v>1.3421656169557978</v>
      </c>
      <c r="F31" s="51">
        <f t="shared" si="6"/>
        <v>4.1900557281059916</v>
      </c>
      <c r="G31" s="52">
        <f t="shared" si="7"/>
        <v>2.371444439870467</v>
      </c>
      <c r="H31" s="75" t="s">
        <v>83</v>
      </c>
      <c r="I31" s="79">
        <f>10^I14</f>
        <v>137.46136977231015</v>
      </c>
      <c r="J31" s="51">
        <f t="shared" si="1"/>
        <v>1.4570559337209996</v>
      </c>
      <c r="K31" s="51">
        <f t="shared" si="2"/>
        <v>1.9994427201353913</v>
      </c>
      <c r="L31" s="55">
        <f t="shared" si="3"/>
        <v>7.5030163929128736E-3</v>
      </c>
      <c r="M31" s="51">
        <f t="shared" si="4"/>
        <v>1.9919397037424784</v>
      </c>
      <c r="N31" s="94">
        <f t="shared" si="8"/>
        <v>28.645468773072011</v>
      </c>
      <c r="O31" s="56">
        <f t="shared" si="9"/>
        <v>99.871763862008436</v>
      </c>
      <c r="P31" s="57">
        <f t="shared" si="5"/>
        <v>98.16116492834449</v>
      </c>
      <c r="R31" s="47"/>
      <c r="S31" s="47"/>
      <c r="T31" s="47"/>
    </row>
    <row r="32" spans="1:20" ht="12.75" customHeight="1" thickBot="1" x14ac:dyDescent="0.4">
      <c r="A32" s="49">
        <f>'New Vestas G27 105L'!R37</f>
        <v>18.246562481404677</v>
      </c>
      <c r="B32" s="48">
        <f>'New Vestas G27 105L'!T37</f>
        <v>110.00873554815261</v>
      </c>
      <c r="C32" s="50">
        <f t="shared" si="0"/>
        <v>1.2611810586021468</v>
      </c>
      <c r="D32" s="50">
        <f t="shared" si="0"/>
        <v>2.0414271728830111</v>
      </c>
      <c r="E32" s="51">
        <f t="shared" si="6"/>
        <v>1.5905776625768315</v>
      </c>
      <c r="F32" s="51">
        <f t="shared" si="6"/>
        <v>4.1674249021851235</v>
      </c>
      <c r="G32" s="52">
        <f t="shared" si="7"/>
        <v>2.5746092829557838</v>
      </c>
      <c r="H32" s="61" t="str">
        <f>"C upper " &amp; TEXT(I18,"##%") &amp; " conf"</f>
        <v>C upper 95% conf</v>
      </c>
      <c r="I32" s="80">
        <f>10^(I14+I22)</f>
        <v>139.67179252489439</v>
      </c>
      <c r="J32" s="51">
        <f t="shared" si="1"/>
        <v>1.4510201758467252</v>
      </c>
      <c r="K32" s="51">
        <f t="shared" si="2"/>
        <v>2.0000174329088263</v>
      </c>
      <c r="L32" s="55">
        <f t="shared" si="3"/>
        <v>7.4584194889146405E-3</v>
      </c>
      <c r="M32" s="51">
        <f t="shared" si="4"/>
        <v>1.9925590134199116</v>
      </c>
      <c r="N32" s="94">
        <f t="shared" si="8"/>
        <v>28.250112122941886</v>
      </c>
      <c r="O32" s="56">
        <f t="shared" si="9"/>
        <v>100.00401415616425</v>
      </c>
      <c r="P32" s="57">
        <f t="shared" si="5"/>
        <v>98.301243901819802</v>
      </c>
      <c r="R32" s="47"/>
      <c r="S32" s="47"/>
      <c r="T32" s="47"/>
    </row>
    <row r="33" spans="1:20" ht="12.75" customHeight="1" x14ac:dyDescent="0.35">
      <c r="A33" s="49">
        <f>'New Vestas G27 105L'!R38</f>
        <v>0.57514661383205934</v>
      </c>
      <c r="B33" s="48">
        <f>'New Vestas G27 105L'!T38</f>
        <v>140.09555954729694</v>
      </c>
      <c r="C33" s="50">
        <f t="shared" si="0"/>
        <v>-0.24022143276802024</v>
      </c>
      <c r="D33" s="50">
        <f t="shared" si="0"/>
        <v>2.1464243701560961</v>
      </c>
      <c r="E33" s="51">
        <f t="shared" si="6"/>
        <v>5.7706336761120469E-2</v>
      </c>
      <c r="F33" s="51">
        <f t="shared" si="6"/>
        <v>4.6071375767999942</v>
      </c>
      <c r="G33" s="52">
        <f t="shared" si="7"/>
        <v>-0.51561713752709282</v>
      </c>
      <c r="H33" s="63" t="s">
        <v>84</v>
      </c>
      <c r="I33" s="81"/>
      <c r="J33" s="51">
        <f t="shared" si="1"/>
        <v>1.4448993502923322</v>
      </c>
      <c r="K33" s="51">
        <f t="shared" si="2"/>
        <v>2.0006002456563472</v>
      </c>
      <c r="L33" s="55">
        <f t="shared" si="3"/>
        <v>7.4133485710103537E-3</v>
      </c>
      <c r="M33" s="51">
        <f t="shared" si="4"/>
        <v>1.9931868970853368</v>
      </c>
      <c r="N33" s="94">
        <f t="shared" si="8"/>
        <v>27.854755472811746</v>
      </c>
      <c r="O33" s="56">
        <f t="shared" si="9"/>
        <v>100.13830722639091</v>
      </c>
      <c r="P33" s="57">
        <f t="shared" si="5"/>
        <v>98.443466257154398</v>
      </c>
      <c r="R33" s="47"/>
      <c r="S33" s="47"/>
      <c r="T33" s="47"/>
    </row>
    <row r="34" spans="1:20" ht="12.75" customHeight="1" thickBot="1" x14ac:dyDescent="0.4">
      <c r="A34" s="49">
        <f>'New Vestas G27 105L'!R39</f>
        <v>1.1502932276641187</v>
      </c>
      <c r="B34" s="48">
        <f>'New Vestas G27 105L'!T39</f>
        <v>125.70535893441595</v>
      </c>
      <c r="C34" s="50">
        <f t="shared" si="0"/>
        <v>6.0808562895960969E-2</v>
      </c>
      <c r="D34" s="50">
        <f t="shared" si="0"/>
        <v>2.0993537924515615</v>
      </c>
      <c r="E34" s="51">
        <f t="shared" si="6"/>
        <v>3.6976813214720412E-3</v>
      </c>
      <c r="F34" s="51">
        <f t="shared" si="6"/>
        <v>4.4072863458807543</v>
      </c>
      <c r="G34" s="52">
        <f t="shared" si="7"/>
        <v>0.12765868712916498</v>
      </c>
      <c r="H34" s="82" t="str">
        <f>"G27 Fit: S = " &amp; TEXT(I31,"0,00 E+00 ") &amp; " * N ^ -" &amp; TEXT(I28,"0,00")</f>
        <v>G27 Fit: S = 137 E+00  * N ^ -000</v>
      </c>
      <c r="I34" s="62"/>
      <c r="J34" s="51">
        <f t="shared" si="1"/>
        <v>1.4386910248581268</v>
      </c>
      <c r="K34" s="51">
        <f t="shared" si="2"/>
        <v>2.0011913899671367</v>
      </c>
      <c r="L34" s="55">
        <f t="shared" si="3"/>
        <v>7.3677952290959895E-3</v>
      </c>
      <c r="M34" s="51">
        <f t="shared" si="4"/>
        <v>1.9938235947380407</v>
      </c>
      <c r="N34" s="94">
        <f t="shared" si="8"/>
        <v>27.459398822681582</v>
      </c>
      <c r="O34" s="56">
        <f t="shared" si="9"/>
        <v>100.27470430051604</v>
      </c>
      <c r="P34" s="57">
        <f t="shared" si="5"/>
        <v>98.587895196624046</v>
      </c>
      <c r="R34" s="47"/>
      <c r="S34" s="47"/>
      <c r="T34" s="47"/>
    </row>
    <row r="35" spans="1:20" ht="12.75" customHeight="1" thickBot="1" x14ac:dyDescent="0.4">
      <c r="A35" s="49">
        <f>'New Vestas G27 105L'!R40</f>
        <v>1.725439841496178</v>
      </c>
      <c r="B35" s="48">
        <f>'New Vestas G27 105L'!T40</f>
        <v>123.2687711812389</v>
      </c>
      <c r="C35" s="50">
        <f t="shared" si="0"/>
        <v>0.23689982195164222</v>
      </c>
      <c r="D35" s="50">
        <f t="shared" si="0"/>
        <v>2.0908530666891902</v>
      </c>
      <c r="E35" s="51">
        <f t="shared" si="6"/>
        <v>5.6121525640719788E-2</v>
      </c>
      <c r="F35" s="51">
        <f t="shared" si="6"/>
        <v>4.3716665464835911</v>
      </c>
      <c r="G35" s="52">
        <f t="shared" si="7"/>
        <v>0.4953227192257143</v>
      </c>
      <c r="H35" s="82" t="str">
        <f>"G27 Fit: N = " &amp; TEXT((1/I31)^(-1/I28),"0,00 E+00 ") &amp; " * S ^ -" &amp; TEXT(1/I28,"0,00")</f>
        <v>G27 Fit: N = 286 E+20  * S ^ -011</v>
      </c>
      <c r="I35" s="84"/>
      <c r="J35" s="51">
        <f t="shared" si="1"/>
        <v>1.4323926615199518</v>
      </c>
      <c r="K35" s="51">
        <f t="shared" si="2"/>
        <v>2.0017911075067705</v>
      </c>
      <c r="L35" s="55">
        <f t="shared" si="3"/>
        <v>7.3217509446748957E-3</v>
      </c>
      <c r="M35" s="51">
        <f t="shared" si="4"/>
        <v>1.9944693565620957</v>
      </c>
      <c r="N35" s="94">
        <f t="shared" si="8"/>
        <v>27.064042172551449</v>
      </c>
      <c r="O35" s="56">
        <f t="shared" si="9"/>
        <v>100.41326935681482</v>
      </c>
      <c r="P35" s="57">
        <f t="shared" si="5"/>
        <v>98.734596702316935</v>
      </c>
      <c r="R35" s="47"/>
      <c r="S35" s="47"/>
      <c r="T35" s="47"/>
    </row>
    <row r="36" spans="1:20" ht="12.75" customHeight="1" x14ac:dyDescent="0.35">
      <c r="A36" s="49">
        <f>'New Vestas G27 105L'!R41</f>
        <v>2.3005864553282374</v>
      </c>
      <c r="B36" s="48">
        <f>'New Vestas G27 105L'!T41</f>
        <v>121.06150933424321</v>
      </c>
      <c r="C36" s="50">
        <f t="shared" si="0"/>
        <v>0.36183855855994218</v>
      </c>
      <c r="D36" s="50">
        <f t="shared" si="0"/>
        <v>2.0830060841762932</v>
      </c>
      <c r="E36" s="51">
        <f t="shared" si="6"/>
        <v>0.1309271424607367</v>
      </c>
      <c r="F36" s="51">
        <f t="shared" si="6"/>
        <v>4.3389143467154545</v>
      </c>
      <c r="G36" s="52">
        <f t="shared" si="7"/>
        <v>0.7537119189699395</v>
      </c>
      <c r="H36" s="83"/>
      <c r="I36" s="83"/>
      <c r="J36" s="51">
        <f t="shared" si="1"/>
        <v>1.4260016101995256</v>
      </c>
      <c r="K36" s="51">
        <f t="shared" si="2"/>
        <v>2.0023996506103936</v>
      </c>
      <c r="L36" s="55">
        <f t="shared" si="3"/>
        <v>7.2752071014975002E-3</v>
      </c>
      <c r="M36" s="51">
        <f t="shared" si="4"/>
        <v>1.9951244435088962</v>
      </c>
      <c r="N36" s="94">
        <f t="shared" si="8"/>
        <v>26.668685522421317</v>
      </c>
      <c r="O36" s="56">
        <f t="shared" si="9"/>
        <v>100.55406928989353</v>
      </c>
      <c r="P36" s="57">
        <f t="shared" si="5"/>
        <v>98.883639699598049</v>
      </c>
      <c r="R36" s="47"/>
      <c r="S36" s="47"/>
      <c r="T36" s="47"/>
    </row>
    <row r="37" spans="1:20" ht="12.75" customHeight="1" x14ac:dyDescent="0.35">
      <c r="A37" s="49">
        <f>'New Vestas G27 105L'!R42</f>
        <v>2.8757330691602965</v>
      </c>
      <c r="B37" s="48">
        <f>'New Vestas G27 105L'!T42</f>
        <v>120.63152326015314</v>
      </c>
      <c r="C37" s="50">
        <f t="shared" si="0"/>
        <v>0.45874857156799853</v>
      </c>
      <c r="D37" s="50">
        <f t="shared" si="0"/>
        <v>2.0814608118589013</v>
      </c>
      <c r="E37" s="51">
        <f t="shared" si="6"/>
        <v>0.21045025191567907</v>
      </c>
      <c r="F37" s="51">
        <f t="shared" si="6"/>
        <v>4.3324791113043162</v>
      </c>
      <c r="G37" s="52">
        <f t="shared" si="7"/>
        <v>0.95486717421503753</v>
      </c>
      <c r="H37" s="95">
        <f>1/I28</f>
        <v>10.502216330077403</v>
      </c>
      <c r="I37" s="85">
        <f>I31-I30</f>
        <v>2.1754409666644108</v>
      </c>
      <c r="J37" s="51">
        <f t="shared" si="1"/>
        <v>1.4195151020695198</v>
      </c>
      <c r="K37" s="51">
        <f t="shared" si="2"/>
        <v>2.0030172829201973</v>
      </c>
      <c r="L37" s="55">
        <f t="shared" si="3"/>
        <v>7.2281549983827607E-3</v>
      </c>
      <c r="M37" s="51">
        <f t="shared" si="4"/>
        <v>1.9957891279218145</v>
      </c>
      <c r="N37" s="94">
        <f t="shared" si="8"/>
        <v>26.27332887229117</v>
      </c>
      <c r="O37" s="56">
        <f t="shared" si="9"/>
        <v>100.69717408920459</v>
      </c>
      <c r="P37" s="57">
        <f t="shared" si="5"/>
        <v>99.035096232666191</v>
      </c>
      <c r="R37" s="47"/>
      <c r="S37" s="47"/>
      <c r="T37" s="47"/>
    </row>
    <row r="38" spans="1:20" ht="12.75" customHeight="1" x14ac:dyDescent="0.35">
      <c r="A38" s="49">
        <f>'New Vestas G27 105L'!R43</f>
        <v>3.450879682992356</v>
      </c>
      <c r="B38" s="48">
        <f>'New Vestas G27 105L'!T43</f>
        <v>120.05820849469971</v>
      </c>
      <c r="C38" s="50">
        <f t="shared" si="0"/>
        <v>0.53792981761562342</v>
      </c>
      <c r="D38" s="50">
        <f t="shared" si="0"/>
        <v>2.0793918585378366</v>
      </c>
      <c r="E38" s="51">
        <f t="shared" si="6"/>
        <v>0.28936848867997789</v>
      </c>
      <c r="F38" s="51">
        <f t="shared" si="6"/>
        <v>4.3238705013534382</v>
      </c>
      <c r="G38" s="52">
        <f t="shared" si="7"/>
        <v>1.1185668832146707</v>
      </c>
      <c r="H38" s="95">
        <f>((1/I27)-(1/I29))/2</f>
        <v>0.81617233798256539</v>
      </c>
      <c r="I38" s="85">
        <f>I32-I31</f>
        <v>2.2104227525842362</v>
      </c>
      <c r="J38" s="51">
        <f t="shared" si="1"/>
        <v>1.4129302423510397</v>
      </c>
      <c r="K38" s="51">
        <f t="shared" si="2"/>
        <v>2.0036442800712293</v>
      </c>
      <c r="L38" s="55">
        <f t="shared" si="3"/>
        <v>7.1805858645533566E-3</v>
      </c>
      <c r="M38" s="51">
        <f t="shared" si="4"/>
        <v>1.996463694206676</v>
      </c>
      <c r="N38" s="94">
        <f t="shared" si="8"/>
        <v>25.877972222161031</v>
      </c>
      <c r="O38" s="56">
        <f t="shared" si="9"/>
        <v>100.84265703136593</v>
      </c>
      <c r="P38" s="57">
        <f t="shared" si="5"/>
        <v>99.189041653287788</v>
      </c>
      <c r="R38" s="47"/>
      <c r="S38" s="47"/>
      <c r="T38" s="47"/>
    </row>
    <row r="39" spans="1:20" ht="12.75" customHeight="1" x14ac:dyDescent="0.35">
      <c r="A39" s="49">
        <f>'New Vestas G27 105L'!R44</f>
        <v>4.0260262968244147</v>
      </c>
      <c r="B39" s="48">
        <f>'New Vestas G27 105L'!T44</f>
        <v>118.13760403043072</v>
      </c>
      <c r="C39" s="50">
        <f t="shared" si="0"/>
        <v>0.60487660724623649</v>
      </c>
      <c r="D39" s="50">
        <f t="shared" si="0"/>
        <v>2.0723881586081463</v>
      </c>
      <c r="E39" s="51">
        <f t="shared" si="6"/>
        <v>0.36587570999371782</v>
      </c>
      <c r="F39" s="51">
        <f t="shared" si="6"/>
        <v>4.2947926799392633</v>
      </c>
      <c r="G39" s="52">
        <f t="shared" si="7"/>
        <v>1.253539118276171</v>
      </c>
      <c r="H39" s="86"/>
      <c r="I39" s="86"/>
      <c r="J39" s="51">
        <f t="shared" si="1"/>
        <v>1.4062440025566165</v>
      </c>
      <c r="K39" s="51">
        <f t="shared" si="2"/>
        <v>2.0042809304299993</v>
      </c>
      <c r="L39" s="55">
        <f t="shared" si="3"/>
        <v>7.1324908778669909E-3</v>
      </c>
      <c r="M39" s="51">
        <f t="shared" si="4"/>
        <v>1.9971484395521324</v>
      </c>
      <c r="N39" s="94">
        <f t="shared" si="8"/>
        <v>25.482615572030898</v>
      </c>
      <c r="O39" s="56">
        <f t="shared" si="9"/>
        <v>100.99059488757729</v>
      </c>
      <c r="P39" s="57">
        <f t="shared" si="5"/>
        <v>99.345554823903441</v>
      </c>
      <c r="R39" s="47"/>
      <c r="S39" s="47"/>
      <c r="T39" s="47"/>
    </row>
    <row r="40" spans="1:20" ht="12.75" customHeight="1" x14ac:dyDescent="0.35">
      <c r="A40" s="49">
        <f>'New Vestas G27 105L'!R45</f>
        <v>5.1763195244885329</v>
      </c>
      <c r="B40" s="48">
        <f>'New Vestas G27 105L'!T45</f>
        <v>116.90497728470585</v>
      </c>
      <c r="C40" s="50">
        <f t="shared" si="0"/>
        <v>0.71402107667130454</v>
      </c>
      <c r="D40" s="50">
        <f t="shared" si="0"/>
        <v>2.067833001848463</v>
      </c>
      <c r="E40" s="51">
        <f t="shared" si="6"/>
        <v>0.50982609793084899</v>
      </c>
      <c r="F40" s="51">
        <f t="shared" si="6"/>
        <v>4.2759333235336259</v>
      </c>
      <c r="G40" s="52">
        <f t="shared" si="7"/>
        <v>1.4764763463562951</v>
      </c>
      <c r="H40" s="86" t="b">
        <f>H37=H38</f>
        <v>0</v>
      </c>
      <c r="I40" s="86"/>
      <c r="J40" s="51">
        <f t="shared" si="1"/>
        <v>1.3994532121266823</v>
      </c>
      <c r="K40" s="51">
        <f t="shared" si="2"/>
        <v>2.0049275358908378</v>
      </c>
      <c r="L40" s="55">
        <f t="shared" si="3"/>
        <v>7.0838611863848254E-3</v>
      </c>
      <c r="M40" s="51">
        <f t="shared" si="4"/>
        <v>1.997843674704453</v>
      </c>
      <c r="N40" s="94">
        <f t="shared" si="8"/>
        <v>25.087258921900752</v>
      </c>
      <c r="O40" s="56">
        <f t="shared" si="9"/>
        <v>101.14106814757645</v>
      </c>
      <c r="P40" s="57">
        <f t="shared" si="5"/>
        <v>99.504718336435388</v>
      </c>
      <c r="R40" s="47"/>
      <c r="S40" s="47"/>
      <c r="T40" s="47"/>
    </row>
    <row r="41" spans="1:20" ht="12.75" customHeight="1" x14ac:dyDescent="0.35">
      <c r="A41" s="49">
        <f>'New Vestas G27 105L'!R46</f>
        <v>0.57514661383205934</v>
      </c>
      <c r="B41" s="48">
        <f>'New Vestas G27 105L'!T46</f>
        <v>151.18427342926574</v>
      </c>
      <c r="C41" s="50">
        <f t="shared" si="0"/>
        <v>-0.24022143276802024</v>
      </c>
      <c r="D41" s="50">
        <f t="shared" si="0"/>
        <v>2.1795066171036015</v>
      </c>
      <c r="E41" s="51">
        <f t="shared" si="6"/>
        <v>5.7706336761120469E-2</v>
      </c>
      <c r="F41" s="51">
        <f t="shared" si="6"/>
        <v>4.7502490939983852</v>
      </c>
      <c r="G41" s="52">
        <f t="shared" si="7"/>
        <v>-0.52356420228800804</v>
      </c>
      <c r="H41" s="86"/>
      <c r="I41" s="86"/>
      <c r="J41" s="51">
        <f t="shared" si="1"/>
        <v>1.392554549401716</v>
      </c>
      <c r="K41" s="51">
        <f t="shared" si="2"/>
        <v>2.00558441273551</v>
      </c>
      <c r="L41" s="55">
        <f t="shared" si="3"/>
        <v>7.0346879337860784E-3</v>
      </c>
      <c r="M41" s="51">
        <f t="shared" si="4"/>
        <v>1.9985497248017239</v>
      </c>
      <c r="N41" s="94">
        <f t="shared" si="8"/>
        <v>24.691902271770612</v>
      </c>
      <c r="O41" s="56">
        <f t="shared" si="9"/>
        <v>101.29416126173662</v>
      </c>
      <c r="P41" s="57">
        <f t="shared" si="5"/>
        <v>99.666618748262977</v>
      </c>
      <c r="R41" s="47"/>
      <c r="S41" s="47"/>
      <c r="T41" s="47"/>
    </row>
    <row r="42" spans="1:20" ht="12.75" customHeight="1" x14ac:dyDescent="0.35">
      <c r="A42" s="49">
        <f>'New Vestas G27 105L'!R47</f>
        <v>1.1502932276641187</v>
      </c>
      <c r="B42" s="48">
        <f>'New Vestas G27 105L'!T47</f>
        <v>140.46954198969809</v>
      </c>
      <c r="C42" s="50">
        <f t="shared" si="0"/>
        <v>6.0808562895960969E-2</v>
      </c>
      <c r="D42" s="50">
        <f t="shared" si="0"/>
        <v>2.1475821663778514</v>
      </c>
      <c r="E42" s="51">
        <f t="shared" si="6"/>
        <v>3.6976813214720412E-3</v>
      </c>
      <c r="F42" s="51">
        <f t="shared" si="6"/>
        <v>4.6121091613441854</v>
      </c>
      <c r="G42" s="52">
        <f t="shared" si="7"/>
        <v>0.1305913852384317</v>
      </c>
      <c r="H42" s="86"/>
      <c r="I42" s="86"/>
      <c r="J42" s="51">
        <f t="shared" si="1"/>
        <v>1.385544531865714</v>
      </c>
      <c r="K42" s="51">
        <f t="shared" si="2"/>
        <v>2.0062518925622133</v>
      </c>
      <c r="L42" s="55">
        <f t="shared" si="3"/>
        <v>6.9849622892170721E-3</v>
      </c>
      <c r="M42" s="51">
        <f t="shared" si="4"/>
        <v>1.9992669302729962</v>
      </c>
      <c r="N42" s="94">
        <f t="shared" si="8"/>
        <v>24.296545621640458</v>
      </c>
      <c r="O42" s="56">
        <f t="shared" si="9"/>
        <v>101.44996290309169</v>
      </c>
      <c r="P42" s="57">
        <f t="shared" si="5"/>
        <v>99.831346837002187</v>
      </c>
      <c r="R42" s="47"/>
      <c r="S42" s="47"/>
      <c r="T42" s="47"/>
    </row>
    <row r="43" spans="1:20" ht="12.75" customHeight="1" thickBot="1" x14ac:dyDescent="0.4">
      <c r="A43" s="49">
        <f>'New Vestas G27 105L'!R48</f>
        <v>1.725439841496178</v>
      </c>
      <c r="B43" s="48">
        <f>'New Vestas G27 105L'!T48</f>
        <v>133.86260302177348</v>
      </c>
      <c r="C43" s="50">
        <f t="shared" si="0"/>
        <v>0.23689982195164222</v>
      </c>
      <c r="D43" s="50">
        <f t="shared" si="0"/>
        <v>2.1266592658116701</v>
      </c>
      <c r="E43" s="51">
        <f t="shared" si="6"/>
        <v>5.6121525640719788E-2</v>
      </c>
      <c r="F43" s="51">
        <f t="shared" si="6"/>
        <v>4.5226796328626317</v>
      </c>
      <c r="G43" s="52">
        <f t="shared" si="7"/>
        <v>0.50380520142259477</v>
      </c>
      <c r="H43" s="86"/>
      <c r="I43" s="82" t="str">
        <f>"G27 Fit: N = " &amp; TEXT((1/J39)^(-1/J36),"0,00 E+00 ") &amp; " * S ^ -" &amp; TEXT(1/J36,"0,00")</f>
        <v>G27 Fit: N = 001 E+00  * S ^ -001</v>
      </c>
      <c r="J43" s="51">
        <f t="shared" si="1"/>
        <v>1.3784195055892476</v>
      </c>
      <c r="K43" s="51">
        <f t="shared" si="2"/>
        <v>2.0069303232907885</v>
      </c>
      <c r="L43" s="55">
        <f t="shared" si="3"/>
        <v>6.934675482255348E-3</v>
      </c>
      <c r="M43" s="51">
        <f t="shared" si="4"/>
        <v>1.9999956478085332</v>
      </c>
      <c r="N43" s="94">
        <f t="shared" si="8"/>
        <v>23.901188971510326</v>
      </c>
      <c r="O43" s="56">
        <f t="shared" si="9"/>
        <v>101.60856625128423</v>
      </c>
      <c r="P43" s="57">
        <f t="shared" si="5"/>
        <v>99.998997875902006</v>
      </c>
      <c r="R43" s="47"/>
      <c r="S43" s="47"/>
      <c r="T43" s="47"/>
    </row>
    <row r="44" spans="1:20" ht="12.75" customHeight="1" x14ac:dyDescent="0.35">
      <c r="A44" s="49">
        <f>'New Vestas G27 105L'!R49</f>
        <v>2.3005864553282374</v>
      </c>
      <c r="B44" s="48">
        <f>'New Vestas G27 105L'!T49</f>
        <v>126.30771195903883</v>
      </c>
      <c r="C44" s="50">
        <f t="shared" si="0"/>
        <v>0.36183855855994218</v>
      </c>
      <c r="D44" s="50">
        <f t="shared" si="0"/>
        <v>2.1014298680454764</v>
      </c>
      <c r="E44" s="51">
        <f t="shared" si="6"/>
        <v>0.1309271424607367</v>
      </c>
      <c r="F44" s="51">
        <f t="shared" si="6"/>
        <v>4.4160074903136284</v>
      </c>
      <c r="G44" s="52">
        <f t="shared" si="7"/>
        <v>0.76037835436838463</v>
      </c>
      <c r="H44" s="86" t="s">
        <v>83</v>
      </c>
      <c r="I44" s="86">
        <f>(1/$I$31)^(-1/$I$28)</f>
        <v>2.8551959583194889E+22</v>
      </c>
      <c r="J44" s="51">
        <f t="shared" si="1"/>
        <v>1.3711756337919927</v>
      </c>
      <c r="K44" s="51">
        <f t="shared" si="2"/>
        <v>2.0076200702517712</v>
      </c>
      <c r="L44" s="55">
        <f t="shared" si="3"/>
        <v>6.8838188437773109E-3</v>
      </c>
      <c r="M44" s="51">
        <f t="shared" si="4"/>
        <v>2.0007362514079938</v>
      </c>
      <c r="N44" s="94">
        <f t="shared" si="8"/>
        <v>23.50583232138019</v>
      </c>
      <c r="O44" s="56">
        <f t="shared" si="9"/>
        <v>101.77006930066614</v>
      </c>
      <c r="P44" s="57">
        <f t="shared" si="5"/>
        <v>100.16967193188314</v>
      </c>
      <c r="R44" s="47"/>
      <c r="S44" s="47"/>
      <c r="T44" s="47"/>
    </row>
    <row r="45" spans="1:20" ht="12.75" customHeight="1" x14ac:dyDescent="0.35">
      <c r="A45" s="49">
        <f>'New Vestas G27 105L'!R50</f>
        <v>3.450879682992356</v>
      </c>
      <c r="B45" s="48">
        <f>'New Vestas G27 105L'!T50</f>
        <v>121.05088661287125</v>
      </c>
      <c r="C45" s="50">
        <f t="shared" ref="C45:C52" si="10">IF(ISNA(A45),"",LOG10(A45))</f>
        <v>0.53792981761562342</v>
      </c>
      <c r="D45" s="50">
        <f t="shared" ref="D45:D52" si="11">IF(ISNA(B45),"",LOG10(B45))</f>
        <v>2.0829679746919809</v>
      </c>
      <c r="E45" s="51">
        <f t="shared" ref="E45:E52" si="12">IF(C45="","",C45^2)</f>
        <v>0.28936848867997789</v>
      </c>
      <c r="F45" s="51">
        <f t="shared" ref="F45:F52" si="13">IF(D45="","",D45^2)</f>
        <v>4.3387555835924125</v>
      </c>
      <c r="G45" s="52">
        <f t="shared" ref="G45:G52" si="14">IF(OR(C45="",D45=""),"",C45*D45)</f>
        <v>1.1204905827252418</v>
      </c>
      <c r="H45" s="86" t="s">
        <v>82</v>
      </c>
      <c r="I45" s="86">
        <f>1/$I$28</f>
        <v>10.502216330077403</v>
      </c>
      <c r="J45" s="51">
        <f t="shared" si="1"/>
        <v>1.3638088844351066</v>
      </c>
      <c r="K45" s="51">
        <f t="shared" si="2"/>
        <v>2.0083215173678233</v>
      </c>
      <c r="L45" s="55">
        <f t="shared" si="3"/>
        <v>6.83238385364387E-3</v>
      </c>
      <c r="M45" s="51">
        <f t="shared" si="4"/>
        <v>2.0014891335141796</v>
      </c>
      <c r="N45" s="94">
        <f t="shared" si="8"/>
        <v>23.110475671250047</v>
      </c>
      <c r="O45" s="56">
        <f t="shared" si="9"/>
        <v>101.93457519505286</v>
      </c>
      <c r="P45" s="57">
        <f t="shared" si="5"/>
        <v>100.3434741884768</v>
      </c>
      <c r="R45" s="47"/>
      <c r="S45" s="47"/>
      <c r="T45" s="47"/>
    </row>
    <row r="46" spans="1:20" ht="12.75" customHeight="1" x14ac:dyDescent="0.35">
      <c r="A46" s="49">
        <f>'New Vestas G27 105L'!R51</f>
        <v>5.7514661383205929</v>
      </c>
      <c r="B46" s="48">
        <f>'New Vestas G27 105L'!T51</f>
        <v>119.21243402712456</v>
      </c>
      <c r="C46" s="50">
        <f t="shared" si="10"/>
        <v>0.75977856723197978</v>
      </c>
      <c r="D46" s="50">
        <f t="shared" si="11"/>
        <v>2.0763215553013894</v>
      </c>
      <c r="E46" s="51">
        <f t="shared" si="12"/>
        <v>0.57726347122508004</v>
      </c>
      <c r="F46" s="51">
        <f t="shared" si="13"/>
        <v>4.3111112010091803</v>
      </c>
      <c r="G46" s="52">
        <f t="shared" si="14"/>
        <v>1.5775446163997655</v>
      </c>
      <c r="H46" s="86"/>
      <c r="I46" s="86"/>
      <c r="J46" s="51">
        <f t="shared" si="1"/>
        <v>1.3563150167429927</v>
      </c>
      <c r="K46" s="51">
        <f t="shared" si="2"/>
        <v>2.0090350684371008</v>
      </c>
      <c r="L46" s="55">
        <f t="shared" si="3"/>
        <v>6.7803621962661776E-3</v>
      </c>
      <c r="M46" s="51">
        <f t="shared" si="4"/>
        <v>2.0022547062408345</v>
      </c>
      <c r="N46" s="94">
        <f t="shared" si="8"/>
        <v>22.715119021119911</v>
      </c>
      <c r="O46" s="56">
        <f t="shared" si="9"/>
        <v>102.10219259193603</v>
      </c>
      <c r="P46" s="57">
        <f t="shared" si="5"/>
        <v>100.52051529618524</v>
      </c>
      <c r="R46" s="47"/>
      <c r="S46" s="47"/>
      <c r="T46" s="47"/>
    </row>
    <row r="47" spans="1:20" ht="12.75" customHeight="1" x14ac:dyDescent="0.35">
      <c r="A47" s="49">
        <f>'New Vestas G27 105L'!R52</f>
        <v>1.1502932276641187</v>
      </c>
      <c r="B47" s="48">
        <f>'New Vestas G27 105L'!T52</f>
        <v>138.21626111911107</v>
      </c>
      <c r="C47" s="50">
        <f t="shared" si="10"/>
        <v>6.0808562895960969E-2</v>
      </c>
      <c r="D47" s="50">
        <f t="shared" si="11"/>
        <v>2.1405591407144096</v>
      </c>
      <c r="E47" s="51">
        <f t="shared" si="12"/>
        <v>3.6976813214720412E-3</v>
      </c>
      <c r="F47" s="51">
        <f t="shared" si="13"/>
        <v>4.5819934348960114</v>
      </c>
      <c r="G47" s="52">
        <f t="shared" si="14"/>
        <v>0.13016432514065635</v>
      </c>
      <c r="H47" s="86"/>
      <c r="I47" s="86"/>
      <c r="J47" s="51">
        <f t="shared" si="1"/>
        <v>1.3486895665416498</v>
      </c>
      <c r="K47" s="51">
        <f t="shared" si="2"/>
        <v>2.0097611485293103</v>
      </c>
      <c r="L47" s="55">
        <f t="shared" si="3"/>
        <v>6.7277458252866986E-3</v>
      </c>
      <c r="M47" s="51">
        <f t="shared" si="4"/>
        <v>2.0030334027040237</v>
      </c>
      <c r="N47" s="94">
        <f t="shared" si="8"/>
        <v>22.319762370989764</v>
      </c>
      <c r="O47" s="56">
        <f t="shared" si="9"/>
        <v>102.27303605931037</v>
      </c>
      <c r="P47" s="57">
        <f t="shared" si="5"/>
        <v>100.70091175309601</v>
      </c>
      <c r="R47" s="47"/>
      <c r="S47" s="47"/>
      <c r="T47" s="47"/>
    </row>
    <row r="48" spans="1:20" ht="12.75" customHeight="1" x14ac:dyDescent="0.35">
      <c r="A48" s="49">
        <f>'New Vestas G27 105L'!R53</f>
        <v>1.725439841496178</v>
      </c>
      <c r="B48" s="48">
        <f>'New Vestas G27 105L'!T53</f>
        <v>129.98058130777247</v>
      </c>
      <c r="C48" s="50">
        <f t="shared" si="10"/>
        <v>0.23689982195164222</v>
      </c>
      <c r="D48" s="50">
        <f t="shared" si="11"/>
        <v>2.113878474915968</v>
      </c>
      <c r="E48" s="51">
        <f t="shared" si="12"/>
        <v>5.6121525640719788E-2</v>
      </c>
      <c r="F48" s="51">
        <f t="shared" si="13"/>
        <v>4.468482206713059</v>
      </c>
      <c r="G48" s="52">
        <f t="shared" si="14"/>
        <v>0.50077743433500177</v>
      </c>
      <c r="H48" s="86"/>
      <c r="I48" s="86"/>
      <c r="J48" s="51">
        <f t="shared" si="1"/>
        <v>1.3409278302866874</v>
      </c>
      <c r="K48" s="51">
        <f t="shared" si="2"/>
        <v>2.0105002055065251</v>
      </c>
      <c r="L48" s="55">
        <f t="shared" si="3"/>
        <v>6.6745270388142144E-3</v>
      </c>
      <c r="M48" s="51">
        <f t="shared" si="4"/>
        <v>2.0038256784677109</v>
      </c>
      <c r="N48" s="94">
        <f t="shared" si="8"/>
        <v>21.924405720859639</v>
      </c>
      <c r="O48" s="56">
        <f t="shared" si="9"/>
        <v>102.44722650867125</v>
      </c>
      <c r="P48" s="57">
        <f t="shared" si="5"/>
        <v>100.88478631891488</v>
      </c>
      <c r="R48" s="47"/>
      <c r="S48" s="47"/>
      <c r="T48" s="47"/>
    </row>
    <row r="49" spans="1:20" ht="12.75" customHeight="1" x14ac:dyDescent="0.35">
      <c r="A49" s="49">
        <f>'New Vestas G27 105L'!R54</f>
        <v>2.3005864553282374</v>
      </c>
      <c r="B49" s="48">
        <f>'New Vestas G27 105L'!T54</f>
        <v>127.25448519557391</v>
      </c>
      <c r="C49" s="50">
        <f t="shared" si="10"/>
        <v>0.36183855855994218</v>
      </c>
      <c r="D49" s="50">
        <f t="shared" si="11"/>
        <v>2.1046730983672242</v>
      </c>
      <c r="E49" s="51">
        <f t="shared" si="12"/>
        <v>0.1309271424607367</v>
      </c>
      <c r="F49" s="51">
        <f t="shared" si="13"/>
        <v>4.4296488509906915</v>
      </c>
      <c r="G49" s="52">
        <f t="shared" si="14"/>
        <v>0.76155188015308384</v>
      </c>
      <c r="H49" s="86"/>
      <c r="I49" s="86"/>
      <c r="J49" s="51">
        <f t="shared" si="1"/>
        <v>1.3330248476379143</v>
      </c>
      <c r="K49" s="51">
        <f t="shared" si="2"/>
        <v>2.0112527116824013</v>
      </c>
      <c r="L49" s="55">
        <f t="shared" si="3"/>
        <v>6.6206985668907474E-3</v>
      </c>
      <c r="M49" s="51">
        <f t="shared" si="4"/>
        <v>2.0046320131155104</v>
      </c>
      <c r="N49" s="94">
        <f t="shared" si="8"/>
        <v>21.529049070729485</v>
      </c>
      <c r="O49" s="56">
        <f t="shared" si="9"/>
        <v>102.6248916681996</v>
      </c>
      <c r="P49" s="57">
        <f t="shared" si="5"/>
        <v>101.0722684659912</v>
      </c>
      <c r="R49" s="47"/>
      <c r="S49" s="47"/>
      <c r="T49" s="47"/>
    </row>
    <row r="50" spans="1:20" ht="12.75" customHeight="1" x14ac:dyDescent="0.35">
      <c r="A50" s="49">
        <f>'New Vestas G27 105L'!R55</f>
        <v>3.450879682992356</v>
      </c>
      <c r="B50" s="48">
        <f>'New Vestas G27 105L'!T55</f>
        <v>124.93012956898552</v>
      </c>
      <c r="C50" s="50">
        <f t="shared" si="10"/>
        <v>0.53792981761562342</v>
      </c>
      <c r="D50" s="50">
        <f t="shared" si="11"/>
        <v>2.0966671903961478</v>
      </c>
      <c r="E50" s="51">
        <f t="shared" si="12"/>
        <v>0.28936848867997789</v>
      </c>
      <c r="F50" s="51">
        <f t="shared" si="13"/>
        <v>4.3960133072836767</v>
      </c>
      <c r="G50" s="52">
        <f t="shared" si="14"/>
        <v>1.1278597993304613</v>
      </c>
      <c r="H50" s="86"/>
      <c r="I50" s="86"/>
      <c r="J50" s="51">
        <f t="shared" si="1"/>
        <v>1.3249753824188488</v>
      </c>
      <c r="K50" s="51">
        <f t="shared" si="2"/>
        <v>2.0120191656351745</v>
      </c>
      <c r="L50" s="55">
        <f t="shared" si="3"/>
        <v>6.5662536731505494E-3</v>
      </c>
      <c r="M50" s="51">
        <f t="shared" si="4"/>
        <v>2.0054529119620241</v>
      </c>
      <c r="N50" s="94">
        <f t="shared" si="8"/>
        <v>21.133692420599345</v>
      </c>
      <c r="O50" s="56">
        <f t="shared" si="9"/>
        <v>102.80616660067797</v>
      </c>
      <c r="P50" s="57">
        <f t="shared" si="5"/>
        <v>101.26349487134556</v>
      </c>
      <c r="R50" s="47"/>
      <c r="S50" s="47"/>
      <c r="T50" s="47"/>
    </row>
    <row r="51" spans="1:20" ht="12.75" customHeight="1" x14ac:dyDescent="0.35">
      <c r="A51" s="49">
        <f>'New Vestas G27 105L'!R56</f>
        <v>4.6011729106564747</v>
      </c>
      <c r="B51" s="48">
        <f>'New Vestas G27 105L'!T56</f>
        <v>121.94577173299243</v>
      </c>
      <c r="C51" s="50">
        <f t="shared" si="10"/>
        <v>0.66286855422392332</v>
      </c>
      <c r="D51" s="50">
        <f t="shared" si="11"/>
        <v>2.0861667464712781</v>
      </c>
      <c r="E51" s="51">
        <f t="shared" si="12"/>
        <v>0.4393947201789144</v>
      </c>
      <c r="F51" s="51">
        <f t="shared" si="13"/>
        <v>4.3520916940825582</v>
      </c>
      <c r="G51" s="52">
        <f t="shared" si="14"/>
        <v>1.3828543351034421</v>
      </c>
      <c r="H51" s="86"/>
      <c r="I51" s="86"/>
      <c r="J51" s="51">
        <f t="shared" si="1"/>
        <v>1.3167739017781108</v>
      </c>
      <c r="K51" s="51">
        <f t="shared" si="2"/>
        <v>2.0128000941918684</v>
      </c>
      <c r="L51" s="55">
        <f t="shared" si="3"/>
        <v>6.5111862729644362E-3</v>
      </c>
      <c r="M51" s="51">
        <f t="shared" si="4"/>
        <v>2.0062889079189041</v>
      </c>
      <c r="N51" s="94">
        <f t="shared" si="8"/>
        <v>20.73833577046921</v>
      </c>
      <c r="O51" s="56">
        <f t="shared" si="9"/>
        <v>102.99119427129128</v>
      </c>
      <c r="P51" s="57">
        <f t="shared" si="5"/>
        <v>101.45860995423828</v>
      </c>
      <c r="R51" s="47"/>
      <c r="S51" s="47"/>
      <c r="T51" s="47"/>
    </row>
    <row r="52" spans="1:20" ht="12.75" customHeight="1" x14ac:dyDescent="0.35">
      <c r="A52" s="49">
        <f>'New Vestas G27 105L'!R57</f>
        <v>5.1763195244885329</v>
      </c>
      <c r="B52" s="48">
        <f>'New Vestas G27 105L'!T57</f>
        <v>120.56837580196087</v>
      </c>
      <c r="C52" s="50">
        <f t="shared" si="10"/>
        <v>0.71402107667130454</v>
      </c>
      <c r="D52" s="50">
        <f t="shared" si="11"/>
        <v>2.081233410492878</v>
      </c>
      <c r="E52" s="51">
        <f t="shared" si="12"/>
        <v>0.50982609793084899</v>
      </c>
      <c r="F52" s="51">
        <f t="shared" si="13"/>
        <v>4.3315325089518169</v>
      </c>
      <c r="G52" s="52">
        <f t="shared" si="14"/>
        <v>1.4860445205644159</v>
      </c>
      <c r="H52" s="86"/>
      <c r="I52" s="86"/>
      <c r="J52" s="51">
        <f t="shared" si="1"/>
        <v>1.308414553345004</v>
      </c>
      <c r="K52" s="51">
        <f t="shared" si="2"/>
        <v>2.0135960546034979</v>
      </c>
      <c r="L52" s="55">
        <f t="shared" si="3"/>
        <v>6.4554910707569071E-3</v>
      </c>
      <c r="M52" s="51">
        <f t="shared" si="4"/>
        <v>2.0071405635327411</v>
      </c>
      <c r="N52" s="94">
        <f t="shared" si="8"/>
        <v>20.34297912033907</v>
      </c>
      <c r="O52" s="56">
        <f t="shared" si="9"/>
        <v>103.18012617117456</v>
      </c>
      <c r="P52" s="57">
        <f t="shared" si="5"/>
        <v>101.65776646440817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1.2998911401430491</v>
      </c>
      <c r="K53" s="51">
        <f t="shared" si="2"/>
        <v>2.0144076369337478</v>
      </c>
      <c r="L53" s="55">
        <f t="shared" si="3"/>
        <v>6.3991637196505087E-3</v>
      </c>
      <c r="M53" s="51">
        <f t="shared" si="4"/>
        <v>2.0080084732140975</v>
      </c>
      <c r="N53" s="94">
        <f t="shared" si="8"/>
        <v>19.947622470208938</v>
      </c>
      <c r="O53" s="56">
        <f t="shared" si="9"/>
        <v>103.37312300337805</v>
      </c>
      <c r="P53" s="57">
        <f t="shared" si="5"/>
        <v>101.86112612679459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1.2911970929921164</v>
      </c>
      <c r="K54" s="51">
        <f t="shared" si="2"/>
        <v>2.0152354666867907</v>
      </c>
      <c r="L54" s="55">
        <f t="shared" si="3"/>
        <v>6.3422010071462268E-3</v>
      </c>
      <c r="M54" s="51">
        <f t="shared" si="4"/>
        <v>2.0088932656796445</v>
      </c>
      <c r="N54" s="94">
        <f t="shared" si="8"/>
        <v>19.552265820078791</v>
      </c>
      <c r="O54" s="56">
        <f t="shared" si="9"/>
        <v>103.57035543887996</v>
      </c>
      <c r="P54" s="57">
        <f t="shared" si="5"/>
        <v>102.06886034935754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1.2823254400912896</v>
      </c>
      <c r="K55" s="51">
        <f t="shared" si="2"/>
        <v>2.0160802077035438</v>
      </c>
      <c r="L55" s="55">
        <f t="shared" si="3"/>
        <v>6.2846010712080879E-3</v>
      </c>
      <c r="M55" s="51">
        <f t="shared" si="4"/>
        <v>2.0097956066323359</v>
      </c>
      <c r="N55" s="94">
        <f t="shared" si="8"/>
        <v>19.156909169948644</v>
      </c>
      <c r="O55" s="56">
        <f t="shared" si="9"/>
        <v>103.77200495137534</v>
      </c>
      <c r="P55" s="57">
        <f t="shared" si="5"/>
        <v>102.28115100152363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1.2732687734296289</v>
      </c>
      <c r="K56" s="51">
        <f t="shared" si="2"/>
        <v>2.0169425653599675</v>
      </c>
      <c r="L56" s="55">
        <f t="shared" si="3"/>
        <v>6.2263636519054302E-3</v>
      </c>
      <c r="M56" s="51">
        <f t="shared" si="4"/>
        <v>2.0107162017080622</v>
      </c>
      <c r="N56" s="94">
        <f t="shared" si="8"/>
        <v>18.761552519818508</v>
      </c>
      <c r="O56" s="56">
        <f t="shared" si="9"/>
        <v>103.97826474086608</v>
      </c>
      <c r="P56" s="57">
        <f t="shared" si="5"/>
        <v>102.49819127186208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1.2640192116193987</v>
      </c>
      <c r="K57" s="51">
        <f t="shared" si="2"/>
        <v>2.0178232901060138</v>
      </c>
      <c r="L57" s="55">
        <f t="shared" si="3"/>
        <v>6.1674903847037258E-3</v>
      </c>
      <c r="M57" s="51">
        <f t="shared" si="4"/>
        <v>2.0116557997213103</v>
      </c>
      <c r="N57" s="94">
        <f t="shared" si="8"/>
        <v>18.366195869688365</v>
      </c>
      <c r="O57" s="56">
        <f t="shared" si="9"/>
        <v>104.18934075759535</v>
      </c>
      <c r="P57" s="57">
        <f t="shared" si="5"/>
        <v>102.72018661484501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1.254568358684542</v>
      </c>
      <c r="K58" s="51">
        <f t="shared" si="2"/>
        <v>2.0187231813897029</v>
      </c>
      <c r="L58" s="55">
        <f t="shared" si="3"/>
        <v>6.1079851426153716E-3</v>
      </c>
      <c r="M58" s="51">
        <f t="shared" si="4"/>
        <v>2.0126151962470873</v>
      </c>
      <c r="N58" s="94">
        <f t="shared" si="8"/>
        <v>17.970839219558222</v>
      </c>
      <c r="O58" s="56">
        <f t="shared" si="9"/>
        <v>104.40545283965133</v>
      </c>
      <c r="P58" s="57">
        <f t="shared" si="5"/>
        <v>102.9473557980081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1.2449072582644105</v>
      </c>
      <c r="K59" s="51">
        <f t="shared" si="2"/>
        <v>2.0196430920177542</v>
      </c>
      <c r="L59" s="55">
        <f t="shared" si="3"/>
        <v>6.0478544357637108E-3</v>
      </c>
      <c r="M59" s="51">
        <f t="shared" si="4"/>
        <v>2.0135952375819905</v>
      </c>
      <c r="N59" s="94">
        <f t="shared" si="8"/>
        <v>17.57548256942809</v>
      </c>
      <c r="O59" s="56">
        <f t="shared" si="9"/>
        <v>104.62683597967283</v>
      </c>
      <c r="P59" s="57">
        <f t="shared" si="5"/>
        <v>103.17993206255379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1.23502634260674</v>
      </c>
      <c r="K60" s="51">
        <f t="shared" si="2"/>
        <v>2.0205839330123712</v>
      </c>
      <c r="L60" s="55">
        <f t="shared" si="3"/>
        <v>5.9871078785232916E-3</v>
      </c>
      <c r="M60" s="51">
        <f t="shared" si="4"/>
        <v>2.014596825133848</v>
      </c>
      <c r="N60" s="94">
        <f t="shared" si="8"/>
        <v>17.18012591929795</v>
      </c>
      <c r="O60" s="56">
        <f t="shared" si="9"/>
        <v>104.8537417385828</v>
      </c>
      <c r="P60" s="57">
        <f t="shared" si="5"/>
        <v>103.41816441246119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1.2249153756218056</v>
      </c>
      <c r="K61" s="51">
        <f t="shared" si="2"/>
        <v>2.021546679033511</v>
      </c>
      <c r="L61" s="55">
        <f t="shared" si="3"/>
        <v>5.9257587363331409E-3</v>
      </c>
      <c r="M61" s="51">
        <f t="shared" si="4"/>
        <v>2.0156209202971778</v>
      </c>
      <c r="N61" s="94">
        <f t="shared" si="8"/>
        <v>16.784769269167803</v>
      </c>
      <c r="O61" s="56">
        <f t="shared" si="9"/>
        <v>105.08643982724215</v>
      </c>
      <c r="P61" s="57">
        <f t="shared" si="5"/>
        <v>103.66231904958276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1.2145633891481764</v>
      </c>
      <c r="K62" s="51">
        <f t="shared" si="2"/>
        <v>2.0225323744475334</v>
      </c>
      <c r="L62" s="55">
        <f t="shared" si="3"/>
        <v>5.8638245666066766E-3</v>
      </c>
      <c r="M62" s="51">
        <f t="shared" si="4"/>
        <v>2.0166685498809267</v>
      </c>
      <c r="N62" s="94">
        <f t="shared" si="8"/>
        <v>16.389412619037664</v>
      </c>
      <c r="O62" s="56">
        <f t="shared" si="9"/>
        <v>105.32521988045561</v>
      </c>
      <c r="P62" s="57">
        <f t="shared" si="5"/>
        <v>103.91268097505444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1.2039586114352245</v>
      </c>
      <c r="K63" s="51">
        <f t="shared" si="2"/>
        <v>2.0235421401369509</v>
      </c>
      <c r="L63" s="55">
        <f t="shared" si="3"/>
        <v>5.8013279709654888E-3</v>
      </c>
      <c r="M63" s="51">
        <f t="shared" si="4"/>
        <v>2.0177408121659854</v>
      </c>
      <c r="N63" s="94">
        <f t="shared" si="8"/>
        <v>15.994055968907521</v>
      </c>
      <c r="O63" s="56">
        <f t="shared" si="9"/>
        <v>105.57039345199514</v>
      </c>
      <c r="P63" s="57">
        <f t="shared" si="5"/>
        <v>104.16955578076794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1.1930883866731827</v>
      </c>
      <c r="K64" s="51">
        <f t="shared" si="2"/>
        <v>2.0245771811626163</v>
      </c>
      <c r="L64" s="55">
        <f t="shared" si="3"/>
        <v>5.7382974794062264E-3</v>
      </c>
      <c r="M64" s="51">
        <f t="shared" si="4"/>
        <v>2.0188388836832103</v>
      </c>
      <c r="N64" s="94">
        <f t="shared" si="8"/>
        <v>15.598699318777388</v>
      </c>
      <c r="O64" s="56">
        <f t="shared" si="9"/>
        <v>105.82229626441232</v>
      </c>
      <c r="P64" s="57">
        <f t="shared" si="5"/>
        <v>104.43327165874943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1.1819390841913531</v>
      </c>
      <c r="K65" s="51">
        <f t="shared" si="2"/>
        <v>2.0256387954096868</v>
      </c>
      <c r="L65" s="55">
        <f t="shared" si="3"/>
        <v>5.6747685910941608E-3</v>
      </c>
      <c r="M65" s="51">
        <f t="shared" si="4"/>
        <v>2.0199640268185926</v>
      </c>
      <c r="N65" s="94">
        <f t="shared" si="8"/>
        <v>15.203342668647249</v>
      </c>
      <c r="O65" s="56">
        <f t="shared" si="9"/>
        <v>106.08129075356587</v>
      </c>
      <c r="P65" s="57">
        <f t="shared" si="5"/>
        <v>104.70418166123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5">LOG($I$24+($I$25-$I$24)*(ROW()-2)/100)</f>
        <v>1.1704959956905705</v>
      </c>
      <c r="K66" s="51">
        <f t="shared" ref="K66:K129" si="16">+$I$14+$I$13*J66</f>
        <v>2.0267283833729448</v>
      </c>
      <c r="L66" s="55">
        <f t="shared" ref="L66:L129" si="17">SQRT(2*$I$20*$I$17)*SQRT((1/$I$2)+((J66-$I$11)^2/$I$8))</f>
        <v>5.6107850014133782E-3</v>
      </c>
      <c r="M66" s="51">
        <f t="shared" ref="M66:M102" si="18">+$I$14+$I$13*J66-L66</f>
        <v>2.0211175983715313</v>
      </c>
      <c r="N66" s="94">
        <f t="shared" si="8"/>
        <v>14.807986018517109</v>
      </c>
      <c r="O66" s="56">
        <f t="shared" si="9"/>
        <v>106.34776895527088</v>
      </c>
      <c r="P66" s="57">
        <f t="shared" ref="P66:P102" si="19">10^M66</f>
        <v>104.98266625018668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5"/>
        <v>1.1587432185663762</v>
      </c>
      <c r="K67" s="51">
        <f t="shared" si="16"/>
        <v>2.0278474592665288</v>
      </c>
      <c r="L67" s="55">
        <f t="shared" si="17"/>
        <v>5.5464000508729117E-3</v>
      </c>
      <c r="M67" s="51">
        <f t="shared" si="18"/>
        <v>2.0223010592156561</v>
      </c>
      <c r="N67" s="94">
        <f t="shared" ref="N67:N101" si="20">10^$J67</f>
        <v>14.412629368386964</v>
      </c>
      <c r="O67" s="56">
        <f t="shared" ref="O67:O102" si="21">10^K67</f>
        <v>106.62215579058918</v>
      </c>
      <c r="P67" s="57">
        <f t="shared" si="19"/>
        <v>105.26913618243155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5"/>
        <v>1.146663523000806</v>
      </c>
      <c r="K68" s="51">
        <f t="shared" si="16"/>
        <v>2.0289976636791893</v>
      </c>
      <c r="L68" s="55">
        <f t="shared" si="17"/>
        <v>5.4816784386884669E-3</v>
      </c>
      <c r="M68" s="51">
        <f t="shared" si="18"/>
        <v>2.0235159852405009</v>
      </c>
      <c r="N68" s="94">
        <f t="shared" si="20"/>
        <v>14.017272718256821</v>
      </c>
      <c r="O68" s="56">
        <f t="shared" si="21"/>
        <v>106.90491281745842</v>
      </c>
      <c r="P68" s="57">
        <f t="shared" si="19"/>
        <v>105.56403578529411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5"/>
        <v>1.1342382000354363</v>
      </c>
      <c r="K69" s="51">
        <f t="shared" si="16"/>
        <v>2.0301807780404681</v>
      </c>
      <c r="L69" s="55">
        <f t="shared" si="17"/>
        <v>5.4166982525907159E-3</v>
      </c>
      <c r="M69" s="51">
        <f t="shared" si="18"/>
        <v>2.0247640797878774</v>
      </c>
      <c r="N69" s="94">
        <f t="shared" si="20"/>
        <v>13.621916068126687</v>
      </c>
      <c r="O69" s="56">
        <f t="shared" si="21"/>
        <v>107.19654253011949</v>
      </c>
      <c r="P69" s="57">
        <f t="shared" si="19"/>
        <v>105.8678466889944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5"/>
        <v>1.1214468872634011</v>
      </c>
      <c r="K70" s="51">
        <f t="shared" si="16"/>
        <v>2.0313987412179548</v>
      </c>
      <c r="L70" s="55">
        <f t="shared" si="17"/>
        <v>5.3515533769626479E-3</v>
      </c>
      <c r="M70" s="51">
        <f t="shared" si="18"/>
        <v>2.0260471878409922</v>
      </c>
      <c r="N70" s="94">
        <f t="shared" si="20"/>
        <v>13.226559417996542</v>
      </c>
      <c r="O70" s="56">
        <f t="shared" si="21"/>
        <v>107.49759330485941</v>
      </c>
      <c r="P70" s="57">
        <f t="shared" si="19"/>
        <v>106.18109209554775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5"/>
        <v>1.1082673680635033</v>
      </c>
      <c r="K71" s="51">
        <f t="shared" si="16"/>
        <v>2.0326536686338139</v>
      </c>
      <c r="L71" s="55">
        <f t="shared" si="17"/>
        <v>5.2863563541431687E-3</v>
      </c>
      <c r="M71" s="51">
        <f t="shared" si="18"/>
        <v>2.0273673122796709</v>
      </c>
      <c r="N71" s="94">
        <f t="shared" si="20"/>
        <v>12.831202767866404</v>
      </c>
      <c r="O71" s="56">
        <f t="shared" si="21"/>
        <v>107.80866511183604</v>
      </c>
      <c r="P71" s="57">
        <f t="shared" si="19"/>
        <v>106.50434168124478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5"/>
        <v>1.0946753394059334</v>
      </c>
      <c r="K72" s="51">
        <f t="shared" si="16"/>
        <v>2.0339478743738582</v>
      </c>
      <c r="L72" s="55">
        <f t="shared" si="17"/>
        <v>5.2212417890731356E-3</v>
      </c>
      <c r="M72" s="51">
        <f t="shared" si="18"/>
        <v>2.0287266325847848</v>
      </c>
      <c r="N72" s="94">
        <f t="shared" si="20"/>
        <v>12.435846117736261</v>
      </c>
      <c r="O72" s="56">
        <f t="shared" si="21"/>
        <v>108.13041613940059</v>
      </c>
      <c r="P72" s="57">
        <f t="shared" si="19"/>
        <v>106.83821725143378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5"/>
        <v>1.080644142134398</v>
      </c>
      <c r="K73" s="51">
        <f t="shared" si="16"/>
        <v>2.0352838968695433</v>
      </c>
      <c r="L73" s="55">
        <f t="shared" si="17"/>
        <v>5.1563704058839093E-3</v>
      </c>
      <c r="M73" s="51">
        <f t="shared" si="18"/>
        <v>2.0301275264636591</v>
      </c>
      <c r="N73" s="94">
        <f t="shared" si="20"/>
        <v>12.040489467606125</v>
      </c>
      <c r="O73" s="56">
        <f t="shared" si="21"/>
        <v>108.46357051096359</v>
      </c>
      <c r="P73" s="57">
        <f t="shared" si="19"/>
        <v>107.18339929390562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5"/>
        <v>1.0661444462041452</v>
      </c>
      <c r="K74" s="51">
        <f t="shared" si="16"/>
        <v>2.0366645288689744</v>
      </c>
      <c r="L74" s="55">
        <f t="shared" si="17"/>
        <v>5.0919338870740061E-3</v>
      </c>
      <c r="M74" s="51">
        <f t="shared" si="18"/>
        <v>2.0315725949819003</v>
      </c>
      <c r="N74" s="94">
        <f t="shared" si="20"/>
        <v>11.645132817475986</v>
      </c>
      <c r="O74" s="56">
        <f t="shared" si="21"/>
        <v>108.80892731719256</v>
      </c>
      <c r="P74" s="57">
        <f t="shared" si="19"/>
        <v>107.54063461251373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5"/>
        <v>1.0511438815359473</v>
      </c>
      <c r="K75" s="51">
        <f t="shared" si="16"/>
        <v>2.0380928525862489</v>
      </c>
      <c r="L75" s="55">
        <f t="shared" si="17"/>
        <v>5.0281606521692919E-3</v>
      </c>
      <c r="M75" s="51">
        <f t="shared" si="18"/>
        <v>2.0330646919340798</v>
      </c>
      <c r="N75" s="94">
        <f t="shared" si="20"/>
        <v>11.249776167345845</v>
      </c>
      <c r="O75" s="56">
        <f t="shared" si="21"/>
        <v>109.16737124104458</v>
      </c>
      <c r="P75" s="57">
        <f t="shared" si="19"/>
        <v>107.91074526834535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5"/>
        <v>1.0356066028055495</v>
      </c>
      <c r="K76" s="51">
        <f t="shared" si="16"/>
        <v>2.0395722811413339</v>
      </c>
      <c r="L76" s="55">
        <f t="shared" si="17"/>
        <v>4.9653227638277756E-3</v>
      </c>
      <c r="M76" s="51">
        <f t="shared" si="18"/>
        <v>2.0346069583775059</v>
      </c>
      <c r="N76" s="94">
        <f t="shared" si="20"/>
        <v>10.854419517215701</v>
      </c>
      <c r="O76" s="56">
        <f t="shared" si="21"/>
        <v>109.53988512374484</v>
      </c>
      <c r="P76" s="57">
        <f t="shared" si="19"/>
        <v>108.29463911536986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5"/>
        <v>1.0194927734522641</v>
      </c>
      <c r="K77" s="51">
        <f t="shared" si="16"/>
        <v>2.0411066076917344</v>
      </c>
      <c r="L77" s="55">
        <f t="shared" si="17"/>
        <v>4.9037441858450839E-3</v>
      </c>
      <c r="M77" s="51">
        <f t="shared" si="18"/>
        <v>2.0362028635058893</v>
      </c>
      <c r="N77" s="94">
        <f t="shared" si="20"/>
        <v>10.459062867085564</v>
      </c>
      <c r="O77" s="56">
        <f t="shared" si="21"/>
        <v>109.92756491168086</v>
      </c>
      <c r="P77" s="57">
        <f t="shared" si="19"/>
        <v>108.69332229598247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5"/>
        <v>1.0027579502179049</v>
      </c>
      <c r="K78" s="51">
        <f t="shared" si="16"/>
        <v>2.0427000640354618</v>
      </c>
      <c r="L78" s="55">
        <f t="shared" si="17"/>
        <v>4.843810660030169E-3</v>
      </c>
      <c r="M78" s="51">
        <f t="shared" si="18"/>
        <v>2.0378562533754314</v>
      </c>
      <c r="N78" s="94">
        <f t="shared" si="20"/>
        <v>10.063706216955426</v>
      </c>
      <c r="O78" s="56">
        <f t="shared" si="21"/>
        <v>110.33163754477692</v>
      </c>
      <c r="P78" s="57">
        <f t="shared" si="19"/>
        <v>109.10791416624511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5"/>
        <v>0.98535234427995988</v>
      </c>
      <c r="K79" s="51">
        <f t="shared" si="16"/>
        <v>2.0443573909644543</v>
      </c>
      <c r="L79" s="55">
        <f t="shared" si="17"/>
        <v>4.7859815180063183E-3</v>
      </c>
      <c r="M79" s="51">
        <f t="shared" si="18"/>
        <v>2.0395714094464479</v>
      </c>
      <c r="N79" s="94">
        <f t="shared" si="20"/>
        <v>9.6683495668252828</v>
      </c>
      <c r="O79" s="56">
        <f t="shared" si="21"/>
        <v>110.7534825067363</v>
      </c>
      <c r="P79" s="57">
        <f t="shared" si="19"/>
        <v>109.5396652608043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5"/>
        <v>0.96721992804120216</v>
      </c>
      <c r="K80" s="51">
        <f t="shared" si="16"/>
        <v>2.0460839233142813</v>
      </c>
      <c r="L80" s="55">
        <f t="shared" si="17"/>
        <v>4.7308038002201848E-3</v>
      </c>
      <c r="M80" s="51">
        <f t="shared" si="18"/>
        <v>2.0413531195140613</v>
      </c>
      <c r="N80" s="94">
        <f t="shared" si="20"/>
        <v>9.2729929166951433</v>
      </c>
      <c r="O80" s="56">
        <f t="shared" si="21"/>
        <v>111.19465797153826</v>
      </c>
      <c r="P80" s="57">
        <f t="shared" si="19"/>
        <v>109.98997909760637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5"/>
        <v>0.94829734719309078</v>
      </c>
      <c r="K81" s="51">
        <f t="shared" si="16"/>
        <v>2.0478856935552843</v>
      </c>
      <c r="L81" s="55">
        <f t="shared" si="17"/>
        <v>4.6789291186094227E-3</v>
      </c>
      <c r="M81" s="51">
        <f t="shared" si="18"/>
        <v>2.0432067644366749</v>
      </c>
      <c r="N81" s="94">
        <f t="shared" si="20"/>
        <v>8.8776362665650055</v>
      </c>
      <c r="O81" s="56">
        <f t="shared" si="21"/>
        <v>111.65693277028493</v>
      </c>
      <c r="P81" s="57">
        <f t="shared" si="19"/>
        <v>110.46043888313341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5"/>
        <v>0.92851258477933019</v>
      </c>
      <c r="K82" s="51">
        <f t="shared" si="16"/>
        <v>2.049769558997772</v>
      </c>
      <c r="L82" s="55">
        <f t="shared" si="17"/>
        <v>4.6311337730759843E-3</v>
      </c>
      <c r="M82" s="51">
        <f t="shared" si="18"/>
        <v>2.045138425224696</v>
      </c>
      <c r="N82" s="94">
        <f t="shared" si="20"/>
        <v>8.4822796164348588</v>
      </c>
      <c r="O82" s="56">
        <f t="shared" si="21"/>
        <v>112.14232579938893</v>
      </c>
      <c r="P82" s="57">
        <f t="shared" si="19"/>
        <v>110.95284053977257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5"/>
        <v>0.90778330616636949</v>
      </c>
      <c r="K83" s="51">
        <f t="shared" si="16"/>
        <v>2.0517433593806107</v>
      </c>
      <c r="L83" s="55">
        <f t="shared" si="17"/>
        <v>4.5883427187906082E-3</v>
      </c>
      <c r="M83" s="51">
        <f t="shared" si="18"/>
        <v>2.04715501666182</v>
      </c>
      <c r="N83" s="94">
        <f t="shared" si="20"/>
        <v>8.0869229663047211</v>
      </c>
      <c r="O83" s="56">
        <f t="shared" si="21"/>
        <v>112.65315504186368</v>
      </c>
      <c r="P83" s="57">
        <f t="shared" si="19"/>
        <v>111.46923398212435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5"/>
        <v>0.88601478885270546</v>
      </c>
      <c r="K84" s="51">
        <f t="shared" si="16"/>
        <v>2.0538161139906372</v>
      </c>
      <c r="L84" s="55">
        <f t="shared" si="17"/>
        <v>4.5516580897589972E-3</v>
      </c>
      <c r="M84" s="51">
        <f t="shared" si="18"/>
        <v>2.0492644559008784</v>
      </c>
      <c r="N84" s="94">
        <f t="shared" si="20"/>
        <v>7.6915663161745877</v>
      </c>
      <c r="O84" s="56">
        <f t="shared" si="21"/>
        <v>113.19209914855539</v>
      </c>
      <c r="P84" s="57">
        <f t="shared" si="19"/>
        <v>112.01197528422624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5"/>
        <v>0.86309730551468711</v>
      </c>
      <c r="K85" s="51">
        <f t="shared" si="16"/>
        <v>2.0559982708437943</v>
      </c>
      <c r="L85" s="55">
        <f t="shared" si="17"/>
        <v>4.5223931321168327E-3</v>
      </c>
      <c r="M85" s="51">
        <f t="shared" si="18"/>
        <v>2.0514758777116775</v>
      </c>
      <c r="N85" s="94">
        <f t="shared" si="20"/>
        <v>7.2962096660444402</v>
      </c>
      <c r="O85" s="56">
        <f t="shared" si="21"/>
        <v>113.76227563360746</v>
      </c>
      <c r="P85" s="57">
        <f t="shared" si="19"/>
        <v>112.58379340421708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5"/>
        <v>0.83890277728903595</v>
      </c>
      <c r="K86" s="51">
        <f t="shared" si="16"/>
        <v>2.058302025352865</v>
      </c>
      <c r="L86" s="55">
        <f t="shared" si="17"/>
        <v>4.5021126254433629E-3</v>
      </c>
      <c r="M86" s="51">
        <f t="shared" si="18"/>
        <v>2.0537999127274218</v>
      </c>
      <c r="N86" s="94">
        <f t="shared" si="20"/>
        <v>6.9008530159143007</v>
      </c>
      <c r="O86" s="56">
        <f t="shared" si="21"/>
        <v>114.36734134743486</v>
      </c>
      <c r="P86" s="57">
        <f t="shared" si="19"/>
        <v>113.18787662014832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5"/>
        <v>0.81328043859121957</v>
      </c>
      <c r="K87" s="51">
        <f t="shared" si="16"/>
        <v>2.0607417331147815</v>
      </c>
      <c r="L87" s="55">
        <f t="shared" si="17"/>
        <v>4.4926812444960329E-3</v>
      </c>
      <c r="M87" s="51">
        <f t="shared" si="18"/>
        <v>2.0562490518702856</v>
      </c>
      <c r="N87" s="94">
        <f t="shared" si="20"/>
        <v>6.5054963657841611</v>
      </c>
      <c r="O87" s="56">
        <f t="shared" si="21"/>
        <v>115.01162327137307</v>
      </c>
      <c r="P87" s="57">
        <f t="shared" si="19"/>
        <v>113.82798602163872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5"/>
        <v>0.78605114101895968</v>
      </c>
      <c r="K88" s="51">
        <f t="shared" si="16"/>
        <v>2.0633344522815231</v>
      </c>
      <c r="L88" s="55">
        <f t="shared" si="17"/>
        <v>4.4963219726478262E-3</v>
      </c>
      <c r="M88" s="51">
        <f t="shared" si="18"/>
        <v>2.0588381303088754</v>
      </c>
      <c r="N88" s="94">
        <f t="shared" si="20"/>
        <v>6.1101397156540225</v>
      </c>
      <c r="O88" s="56">
        <f t="shared" si="21"/>
        <v>115.70029127336244</v>
      </c>
      <c r="P88" s="57">
        <f t="shared" si="19"/>
        <v>114.50860668648964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5"/>
        <v>0.75699974912603862</v>
      </c>
      <c r="K89" s="51">
        <f t="shared" si="16"/>
        <v>2.0661006676193012</v>
      </c>
      <c r="L89" s="55">
        <f t="shared" si="17"/>
        <v>4.5156878661695215E-3</v>
      </c>
      <c r="M89" s="51">
        <f t="shared" si="18"/>
        <v>2.0615849797531318</v>
      </c>
      <c r="N89" s="94">
        <f t="shared" si="20"/>
        <v>5.7147830655238829</v>
      </c>
      <c r="O89" s="56">
        <f t="shared" si="21"/>
        <v>116.4395900163931</v>
      </c>
      <c r="P89" s="57">
        <f t="shared" si="19"/>
        <v>115.23515219759554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5"/>
        <v>0.72586480559219446</v>
      </c>
      <c r="K90" s="51">
        <f t="shared" si="16"/>
        <v>2.0690652745703764</v>
      </c>
      <c r="L90" s="55">
        <f t="shared" si="17"/>
        <v>4.5539526141008544E-3</v>
      </c>
      <c r="M90" s="51">
        <f t="shared" si="18"/>
        <v>2.0645113219562754</v>
      </c>
      <c r="N90" s="94">
        <f t="shared" si="20"/>
        <v>5.3194264153937434</v>
      </c>
      <c r="O90" s="56">
        <f t="shared" si="21"/>
        <v>117.2371560048494</v>
      </c>
      <c r="P90" s="57">
        <f t="shared" si="19"/>
        <v>116.01424603983142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5"/>
        <v>0.69232419747909413</v>
      </c>
      <c r="K91" s="51">
        <f t="shared" si="16"/>
        <v>2.0722589440834529</v>
      </c>
      <c r="L91" s="55">
        <f t="shared" si="17"/>
        <v>4.6149291850714202E-3</v>
      </c>
      <c r="M91" s="51">
        <f t="shared" si="18"/>
        <v>2.0676440148983817</v>
      </c>
      <c r="N91" s="94">
        <f t="shared" si="20"/>
        <v>4.9240697652636038</v>
      </c>
      <c r="O91" s="56">
        <f t="shared" si="21"/>
        <v>118.10246008013389</v>
      </c>
      <c r="P91" s="57">
        <f t="shared" si="19"/>
        <v>116.8541161533004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5"/>
        <v>0.65597480987246093</v>
      </c>
      <c r="K92" s="51">
        <f t="shared" si="16"/>
        <v>2.0757200599531127</v>
      </c>
      <c r="L92" s="55">
        <f t="shared" si="17"/>
        <v>4.7032326981442021E-3</v>
      </c>
      <c r="M92" s="51">
        <f t="shared" si="18"/>
        <v>2.0710168272549687</v>
      </c>
      <c r="N92" s="94">
        <f t="shared" si="20"/>
        <v>4.5287131151334643</v>
      </c>
      <c r="O92" s="56">
        <f t="shared" si="21"/>
        <v>119.04743977916773</v>
      </c>
      <c r="P92" s="57">
        <f t="shared" si="19"/>
        <v>117.76516021453807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5"/>
        <v>0.61630286090915021</v>
      </c>
      <c r="K93" s="51">
        <f t="shared" si="16"/>
        <v>2.0794975434591128</v>
      </c>
      <c r="L93" s="55">
        <f t="shared" si="17"/>
        <v>4.8245158438550073E-3</v>
      </c>
      <c r="M93" s="51">
        <f t="shared" si="18"/>
        <v>2.0746730276152578</v>
      </c>
      <c r="N93" s="94">
        <f t="shared" si="20"/>
        <v>4.1333564650033168</v>
      </c>
      <c r="O93" s="56">
        <f t="shared" si="21"/>
        <v>120.08742803768742</v>
      </c>
      <c r="P93" s="57">
        <f t="shared" si="19"/>
        <v>118.76077625686897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5"/>
        <v>0.57263927553410365</v>
      </c>
      <c r="K94" s="51">
        <f t="shared" si="16"/>
        <v>2.083655102587846</v>
      </c>
      <c r="L94" s="55">
        <f t="shared" si="17"/>
        <v>4.9858272108502816E-3</v>
      </c>
      <c r="M94" s="51">
        <f t="shared" si="18"/>
        <v>2.0786692753769955</v>
      </c>
      <c r="N94" s="94">
        <f t="shared" si="20"/>
        <v>3.7379998148731852</v>
      </c>
      <c r="O94" s="56">
        <f t="shared" si="21"/>
        <v>121.24256133967648</v>
      </c>
      <c r="P94" s="57">
        <f t="shared" si="19"/>
        <v>119.85862062522861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5"/>
        <v>0.52409001707879477</v>
      </c>
      <c r="K95" s="51">
        <f t="shared" si="16"/>
        <v>2.0882778657198782</v>
      </c>
      <c r="L95" s="55">
        <f t="shared" si="17"/>
        <v>5.1961840763329646E-3</v>
      </c>
      <c r="M95" s="51">
        <f t="shared" si="18"/>
        <v>2.0830816816435451</v>
      </c>
      <c r="N95" s="94">
        <f t="shared" si="20"/>
        <v>3.3426431647430457</v>
      </c>
      <c r="O95" s="56">
        <f t="shared" si="21"/>
        <v>122.53999710052044</v>
      </c>
      <c r="P95" s="57">
        <f t="shared" si="19"/>
        <v>121.08258429709113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5"/>
        <v>0.46942235697886275</v>
      </c>
      <c r="K96" s="51">
        <f t="shared" si="16"/>
        <v>2.0934832107995991</v>
      </c>
      <c r="L96" s="55">
        <f t="shared" si="17"/>
        <v>5.4675327040393752E-3</v>
      </c>
      <c r="M96" s="51">
        <f t="shared" si="18"/>
        <v>2.0880156780955597</v>
      </c>
      <c r="N96" s="94">
        <f t="shared" si="20"/>
        <v>2.9472865146128981</v>
      </c>
      <c r="O96" s="56">
        <f t="shared" si="21"/>
        <v>124.01756807830155</v>
      </c>
      <c r="P96" s="57">
        <f t="shared" si="19"/>
        <v>122.46604088904421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5"/>
        <v>0.40686873435685073</v>
      </c>
      <c r="K97" s="51">
        <f t="shared" si="16"/>
        <v>2.0994394414328288</v>
      </c>
      <c r="L97" s="55">
        <f t="shared" si="17"/>
        <v>5.816443113165262E-3</v>
      </c>
      <c r="M97" s="51">
        <f t="shared" si="18"/>
        <v>2.0936229983196637</v>
      </c>
      <c r="N97" s="94">
        <f t="shared" si="20"/>
        <v>2.551929864482759</v>
      </c>
      <c r="O97" s="56">
        <f t="shared" si="21"/>
        <v>125.73015224427199</v>
      </c>
      <c r="P97" s="57">
        <f t="shared" si="19"/>
        <v>124.05749236773556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5"/>
        <v>0.33376420676650476</v>
      </c>
      <c r="K98" s="51">
        <f t="shared" si="16"/>
        <v>2.1064003081006559</v>
      </c>
      <c r="L98" s="55">
        <f t="shared" si="17"/>
        <v>6.2672936872921609E-3</v>
      </c>
      <c r="M98" s="51">
        <f t="shared" si="18"/>
        <v>2.1001330144133639</v>
      </c>
      <c r="N98" s="94">
        <f t="shared" si="20"/>
        <v>2.1565732143526266</v>
      </c>
      <c r="O98" s="56">
        <f t="shared" si="21"/>
        <v>127.76159003469387</v>
      </c>
      <c r="P98" s="57">
        <f t="shared" si="19"/>
        <v>125.93110507524285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5"/>
        <v>0.24581276134153721</v>
      </c>
      <c r="K99" s="51">
        <f t="shared" si="16"/>
        <v>2.1147748685420633</v>
      </c>
      <c r="L99" s="55">
        <f t="shared" si="17"/>
        <v>6.8587804319542303E-3</v>
      </c>
      <c r="M99" s="51">
        <f t="shared" si="18"/>
        <v>2.1079160881101089</v>
      </c>
      <c r="N99" s="94">
        <f t="shared" si="20"/>
        <v>1.7612165642224797</v>
      </c>
      <c r="O99" s="56">
        <f t="shared" si="21"/>
        <v>130.24914122679834</v>
      </c>
      <c r="P99" s="57">
        <f t="shared" si="19"/>
        <v>128.20828420269964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5"/>
        <v>0.13540615933346656</v>
      </c>
      <c r="K100" s="51">
        <f t="shared" si="16"/>
        <v>2.1252875640091977</v>
      </c>
      <c r="L100" s="55">
        <f t="shared" si="17"/>
        <v>7.6589133308521979E-3</v>
      </c>
      <c r="M100" s="51">
        <f t="shared" si="18"/>
        <v>2.1176286506783457</v>
      </c>
      <c r="N100" s="94">
        <f t="shared" si="20"/>
        <v>1.36585991409234</v>
      </c>
      <c r="O100" s="56">
        <f t="shared" si="21"/>
        <v>133.44047032382267</v>
      </c>
      <c r="P100" s="57">
        <f t="shared" si="19"/>
        <v>131.10783644558015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5"/>
        <v>-1.3002999669344175E-2</v>
      </c>
      <c r="K101" s="51">
        <f t="shared" si="16"/>
        <v>2.1394187868233558</v>
      </c>
      <c r="L101" s="55">
        <f t="shared" si="17"/>
        <v>8.8064234681036677E-3</v>
      </c>
      <c r="M101" s="51">
        <f t="shared" si="18"/>
        <v>2.1306123633552523</v>
      </c>
      <c r="N101" s="94">
        <f t="shared" si="20"/>
        <v>0.97050326396220032</v>
      </c>
      <c r="O101" s="56">
        <f t="shared" si="21"/>
        <v>137.85381418872177</v>
      </c>
      <c r="P101" s="57">
        <f t="shared" si="19"/>
        <v>135.08662871293072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5"/>
        <v>-0.24022143276801905</v>
      </c>
      <c r="K102" s="51">
        <f t="shared" si="16"/>
        <v>2.1610540708393535</v>
      </c>
      <c r="L102" s="55">
        <f t="shared" si="17"/>
        <v>1.0666217832446513E-2</v>
      </c>
      <c r="M102" s="51">
        <f t="shared" si="18"/>
        <v>2.1503878530069072</v>
      </c>
      <c r="N102" s="94">
        <f>10^$J102</f>
        <v>0.57514661383206078</v>
      </c>
      <c r="O102" s="56">
        <f t="shared" si="21"/>
        <v>144.89522407938779</v>
      </c>
      <c r="P102" s="57">
        <f t="shared" si="19"/>
        <v>141.37995952946724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1.6032614498523621</v>
      </c>
      <c r="K104" s="51">
        <f t="shared" si="16"/>
        <v>1.9855213237809242</v>
      </c>
      <c r="L104" s="55">
        <f t="shared" si="17"/>
        <v>8.6231303070933522E-3</v>
      </c>
      <c r="M104" s="51">
        <f>+$I$14+$I$13*J104+L104</f>
        <v>1.9941444540880175</v>
      </c>
      <c r="N104" s="94">
        <f t="shared" ref="N104:N167" si="22">10^$J104</f>
        <v>40.110811626846086</v>
      </c>
      <c r="O104" s="56">
        <f t="shared" ref="O104:O167" si="23">10^K104</f>
        <v>96.721121538082215</v>
      </c>
      <c r="P104" s="57">
        <f t="shared" ref="P104:P167" si="24">10^M104</f>
        <v>98.660759433756823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5">LOG($I$24+($I$25-$I$24)*(ROW()-104)/100)</f>
        <v>1.5989595421528229</v>
      </c>
      <c r="K105" s="51">
        <f t="shared" si="16"/>
        <v>1.9859309428141201</v>
      </c>
      <c r="L105" s="55">
        <f t="shared" si="17"/>
        <v>8.5892239378219486E-3</v>
      </c>
      <c r="M105" s="51">
        <f t="shared" ref="M105:M168" si="26">+$I$14+$I$13*J105+L105</f>
        <v>1.9945201667519421</v>
      </c>
      <c r="N105" s="94">
        <f t="shared" si="22"/>
        <v>39.715454976715939</v>
      </c>
      <c r="O105" s="56">
        <f t="shared" si="23"/>
        <v>96.812390259445195</v>
      </c>
      <c r="P105" s="57">
        <f t="shared" si="24"/>
        <v>98.746148811055619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5"/>
        <v>1.5946145951885884</v>
      </c>
      <c r="K106" s="51">
        <f t="shared" si="16"/>
        <v>1.9863446599598802</v>
      </c>
      <c r="L106" s="55">
        <f t="shared" si="17"/>
        <v>8.5550294307535687E-3</v>
      </c>
      <c r="M106" s="51">
        <f t="shared" si="26"/>
        <v>1.9948996893906337</v>
      </c>
      <c r="N106" s="94">
        <f t="shared" si="22"/>
        <v>39.3200983265858</v>
      </c>
      <c r="O106" s="56">
        <f t="shared" si="23"/>
        <v>96.904659517054228</v>
      </c>
      <c r="P106" s="57">
        <f t="shared" si="24"/>
        <v>98.832479124444035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5"/>
        <v>1.5902257390600134</v>
      </c>
      <c r="K107" s="51">
        <f t="shared" si="16"/>
        <v>1.9867625580483061</v>
      </c>
      <c r="L107" s="55">
        <f t="shared" si="17"/>
        <v>8.5205421085220116E-3</v>
      </c>
      <c r="M107" s="51">
        <f t="shared" si="26"/>
        <v>1.9952831001568281</v>
      </c>
      <c r="N107" s="94">
        <f t="shared" si="22"/>
        <v>38.924741676455668</v>
      </c>
      <c r="O107" s="56">
        <f t="shared" si="23"/>
        <v>96.997950506456334</v>
      </c>
      <c r="P107" s="57">
        <f t="shared" si="24"/>
        <v>98.919770512873981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5"/>
        <v>1.5857920772246596</v>
      </c>
      <c r="K108" s="51">
        <f t="shared" si="16"/>
        <v>1.9871847224463728</v>
      </c>
      <c r="L108" s="55">
        <f t="shared" si="17"/>
        <v>8.4857571899727927E-3</v>
      </c>
      <c r="M108" s="51">
        <f t="shared" si="26"/>
        <v>1.9956704796363456</v>
      </c>
      <c r="N108" s="94">
        <f t="shared" si="22"/>
        <v>38.529385026325507</v>
      </c>
      <c r="O108" s="56">
        <f t="shared" si="23"/>
        <v>97.092285093291778</v>
      </c>
      <c r="P108" s="57">
        <f t="shared" si="24"/>
        <v>99.008043760389896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5"/>
        <v>1.5813126853980637</v>
      </c>
      <c r="K109" s="51">
        <f t="shared" si="16"/>
        <v>1.9876112411625952</v>
      </c>
      <c r="L109" s="55">
        <f t="shared" si="17"/>
        <v>8.4506697876983155E-3</v>
      </c>
      <c r="M109" s="51">
        <f t="shared" si="26"/>
        <v>1.9960619109502935</v>
      </c>
      <c r="N109" s="94">
        <f t="shared" si="22"/>
        <v>38.134028376195381</v>
      </c>
      <c r="O109" s="56">
        <f t="shared" si="23"/>
        <v>97.187685841612947</v>
      </c>
      <c r="P109" s="57">
        <f t="shared" si="24"/>
        <v>99.09732032381099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5"/>
        <v>1.5767866103972219</v>
      </c>
      <c r="K110" s="51">
        <f t="shared" si="16"/>
        <v>1.9880422049571498</v>
      </c>
      <c r="L110" s="55">
        <f t="shared" si="17"/>
        <v>8.4152749055490805E-3</v>
      </c>
      <c r="M110" s="51">
        <f t="shared" si="26"/>
        <v>1.9964574798626988</v>
      </c>
      <c r="N110" s="94">
        <f t="shared" si="22"/>
        <v>37.738671726065242</v>
      </c>
      <c r="O110" s="56">
        <f t="shared" si="23"/>
        <v>97.284176043707419</v>
      </c>
      <c r="P110" s="57">
        <f t="shared" si="24"/>
        <v>99.187622361909902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5"/>
        <v>1.572212868923176</v>
      </c>
      <c r="K111" s="51">
        <f t="shared" si="16"/>
        <v>1.9884777074577931</v>
      </c>
      <c r="L111" s="55">
        <f t="shared" si="17"/>
        <v>8.3795674361265646E-3</v>
      </c>
      <c r="M111" s="51">
        <f t="shared" si="26"/>
        <v>1.9968572748939197</v>
      </c>
      <c r="N111" s="94">
        <f t="shared" si="22"/>
        <v>37.343315075935088</v>
      </c>
      <c r="O111" s="56">
        <f t="shared" si="23"/>
        <v>97.381779751522473</v>
      </c>
      <c r="P111" s="57">
        <f t="shared" si="24"/>
        <v>99.278972766184467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5"/>
        <v>1.5675904462788066</v>
      </c>
      <c r="K112" s="51">
        <f t="shared" si="16"/>
        <v>1.9889178452819523</v>
      </c>
      <c r="L112" s="55">
        <f t="shared" si="17"/>
        <v>8.3435421582644942E-3</v>
      </c>
      <c r="M112" s="51">
        <f t="shared" si="26"/>
        <v>1.9972613874402168</v>
      </c>
      <c r="N112" s="94">
        <f t="shared" si="22"/>
        <v>36.947958425804956</v>
      </c>
      <c r="O112" s="56">
        <f t="shared" si="23"/>
        <v>97.480521809794993</v>
      </c>
      <c r="P112" s="57">
        <f t="shared" si="24"/>
        <v>99.371395193329889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5"/>
        <v>1.5629182950176523</v>
      </c>
      <c r="K113" s="51">
        <f t="shared" si="16"/>
        <v>1.989362718165381</v>
      </c>
      <c r="L113" s="55">
        <f t="shared" si="17"/>
        <v>8.3071937345062484E-3</v>
      </c>
      <c r="M113" s="51">
        <f t="shared" si="26"/>
        <v>1.9976699118998873</v>
      </c>
      <c r="N113" s="94">
        <f t="shared" si="22"/>
        <v>36.552601775674809</v>
      </c>
      <c r="O113" s="56">
        <f t="shared" si="23"/>
        <v>97.580427890997569</v>
      </c>
      <c r="P113" s="57">
        <f t="shared" si="24"/>
        <v>99.464914099523682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5"/>
        <v>1.5581953335192575</v>
      </c>
      <c r="K114" s="51">
        <f t="shared" si="16"/>
        <v>1.9898124290978123</v>
      </c>
      <c r="L114" s="55">
        <f t="shared" si="17"/>
        <v>8.2705167085875466E-3</v>
      </c>
      <c r="M114" s="51">
        <f t="shared" si="26"/>
        <v>1.9980829458063998</v>
      </c>
      <c r="N114" s="94">
        <f t="shared" si="22"/>
        <v>36.157245125544677</v>
      </c>
      <c r="O114" s="56">
        <f t="shared" si="23"/>
        <v>97.68152453222298</v>
      </c>
      <c r="P114" s="57">
        <f t="shared" si="24"/>
        <v>99.55955477664574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5"/>
        <v>1.5534204444861965</v>
      </c>
      <c r="K115" s="51">
        <f t="shared" si="16"/>
        <v>1.990267084466069</v>
      </c>
      <c r="L115" s="55">
        <f t="shared" si="17"/>
        <v>8.2335055029349475E-3</v>
      </c>
      <c r="M115" s="51">
        <f t="shared" si="26"/>
        <v>1.998500589969004</v>
      </c>
      <c r="N115" s="94">
        <f t="shared" si="22"/>
        <v>35.76188847541453</v>
      </c>
      <c r="O115" s="56">
        <f t="shared" si="23"/>
        <v>97.783839174135281</v>
      </c>
      <c r="P115" s="57">
        <f t="shared" si="24"/>
        <v>99.655343390568206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5"/>
        <v>1.5485924733575531</v>
      </c>
      <c r="K116" s="51">
        <f t="shared" si="16"/>
        <v>1.9907267942051281</v>
      </c>
      <c r="L116" s="55">
        <f t="shared" si="17"/>
        <v>8.1961544161924371E-3</v>
      </c>
      <c r="M116" s="51">
        <f t="shared" si="26"/>
        <v>1.9989229486213205</v>
      </c>
      <c r="N116" s="94">
        <f t="shared" si="22"/>
        <v>35.366531825284397</v>
      </c>
      <c r="O116" s="56">
        <f t="shared" si="23"/>
        <v>97.887400202129214</v>
      </c>
      <c r="P116" s="57">
        <f t="shared" si="24"/>
        <v>99.752307021653991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5"/>
        <v>1.5437102266332186</v>
      </c>
      <c r="K117" s="51">
        <f t="shared" si="16"/>
        <v>1.9911916719576794</v>
      </c>
      <c r="L117" s="55">
        <f t="shared" si="17"/>
        <v>8.158457620790217E-3</v>
      </c>
      <c r="M117" s="51">
        <f t="shared" si="26"/>
        <v>1.9993501295784697</v>
      </c>
      <c r="N117" s="94">
        <f t="shared" si="22"/>
        <v>34.971175175154265</v>
      </c>
      <c r="O117" s="56">
        <f t="shared" si="23"/>
        <v>97.992236989848266</v>
      </c>
      <c r="P117" s="57">
        <f t="shared" si="24"/>
        <v>99.850473707623905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5"/>
        <v>1.5387724701029253</v>
      </c>
      <c r="K118" s="51">
        <f t="shared" si="16"/>
        <v>1.9916618352427522</v>
      </c>
      <c r="L118" s="55">
        <f t="shared" si="17"/>
        <v>8.1204091605720508E-3</v>
      </c>
      <c r="M118" s="51">
        <f t="shared" si="26"/>
        <v>1.9997822444033242</v>
      </c>
      <c r="N118" s="94">
        <f t="shared" si="22"/>
        <v>34.575818525024118</v>
      </c>
      <c r="O118" s="56">
        <f t="shared" si="23"/>
        <v>98.098379945224707</v>
      </c>
      <c r="P118" s="57">
        <f t="shared" si="24"/>
        <v>99.949872488954895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5"/>
        <v>1.5337779269734397</v>
      </c>
      <c r="K119" s="51">
        <f t="shared" si="16"/>
        <v>1.9921374056340402</v>
      </c>
      <c r="L119" s="55">
        <f t="shared" si="17"/>
        <v>8.0820029484998945E-3</v>
      </c>
      <c r="M119" s="51">
        <f t="shared" si="26"/>
        <v>2.0002194085825402</v>
      </c>
      <c r="N119" s="94">
        <f t="shared" si="22"/>
        <v>34.180461874893979</v>
      </c>
      <c r="O119" s="56">
        <f t="shared" si="23"/>
        <v>98.205860559219929</v>
      </c>
      <c r="P119" s="57">
        <f t="shared" si="24"/>
        <v>100.05053345699483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5"/>
        <v>1.5287252758868077</v>
      </c>
      <c r="K120" s="51">
        <f t="shared" si="16"/>
        <v>1.9926185089486006</v>
      </c>
      <c r="L120" s="55">
        <f t="shared" si="17"/>
        <v>8.0432327644574964E-3</v>
      </c>
      <c r="M120" s="51">
        <f t="shared" si="26"/>
        <v>2.0006617417130581</v>
      </c>
      <c r="N120" s="94">
        <f t="shared" si="22"/>
        <v>33.785105224763832</v>
      </c>
      <c r="O120" s="56">
        <f t="shared" si="23"/>
        <v>98.314711457455346</v>
      </c>
      <c r="P120" s="57">
        <f t="shared" si="24"/>
        <v>100.15248780498753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5"/>
        <v>1.5236131488219564</v>
      </c>
      <c r="K121" s="51">
        <f t="shared" si="16"/>
        <v>1.9931052754466598</v>
      </c>
      <c r="L121" s="55">
        <f t="shared" si="17"/>
        <v>8.0040922531776724E-3</v>
      </c>
      <c r="M121" s="51">
        <f t="shared" si="26"/>
        <v>2.0011093676998377</v>
      </c>
      <c r="N121" s="94">
        <f t="shared" si="22"/>
        <v>33.389748574633693</v>
      </c>
      <c r="O121" s="56">
        <f t="shared" si="23"/>
        <v>98.424966454941867</v>
      </c>
      <c r="P121" s="57">
        <f t="shared" si="24"/>
        <v>100.2557678822244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5"/>
        <v>1.5184401288713143</v>
      </c>
      <c r="K122" s="51">
        <f t="shared" si="16"/>
        <v>1.9935978400433181</v>
      </c>
      <c r="L122" s="55">
        <f t="shared" si="17"/>
        <v>7.9645749223217818E-3</v>
      </c>
      <c r="M122" s="51">
        <f t="shared" si="26"/>
        <v>2.0015624149656399</v>
      </c>
      <c r="N122" s="94">
        <f t="shared" si="22"/>
        <v>32.994391924503567</v>
      </c>
      <c r="O122" s="56">
        <f t="shared" si="23"/>
        <v>98.536660614132558</v>
      </c>
      <c r="P122" s="57">
        <f t="shared" si="24"/>
        <v>100.36040725155222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5"/>
        <v>1.5132047478834105</v>
      </c>
      <c r="K123" s="51">
        <f t="shared" si="16"/>
        <v>1.9940963425330174</v>
      </c>
      <c r="L123" s="55">
        <f t="shared" si="17"/>
        <v>7.9246741407439716E-3</v>
      </c>
      <c r="M123" s="51">
        <f t="shared" si="26"/>
        <v>2.0020210166737615</v>
      </c>
      <c r="N123" s="94">
        <f t="shared" si="22"/>
        <v>32.599035274373414</v>
      </c>
      <c r="O123" s="56">
        <f t="shared" si="23"/>
        <v>98.649830306544501</v>
      </c>
      <c r="P123" s="57">
        <f t="shared" si="24"/>
        <v>100.46644075049132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5"/>
        <v>1.5079054839616428</v>
      </c>
      <c r="K124" s="51">
        <f t="shared" si="16"/>
        <v>1.9946009278277033</v>
      </c>
      <c r="L124" s="55">
        <f t="shared" si="17"/>
        <v>7.8843831369776116E-3</v>
      </c>
      <c r="M124" s="51">
        <f t="shared" si="26"/>
        <v>2.0024853109646807</v>
      </c>
      <c r="N124" s="94">
        <f t="shared" si="22"/>
        <v>32.203678624243281</v>
      </c>
      <c r="O124" s="56">
        <f t="shared" si="23"/>
        <v>98.76451327821249</v>
      </c>
      <c r="P124" s="57">
        <f t="shared" si="24"/>
        <v>100.57390455623785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5"/>
        <v>1.5025407588085464</v>
      </c>
      <c r="K125" s="51">
        <f t="shared" si="16"/>
        <v>1.9951117462096988</v>
      </c>
      <c r="L125" s="55">
        <f t="shared" si="17"/>
        <v>7.8436949979866066E-3</v>
      </c>
      <c r="M125" s="51">
        <f t="shared" si="26"/>
        <v>2.0029554412076855</v>
      </c>
      <c r="N125" s="94">
        <f t="shared" si="22"/>
        <v>31.808321974113131</v>
      </c>
      <c r="O125" s="56">
        <f t="shared" si="23"/>
        <v>98.880748719266947</v>
      </c>
      <c r="P125" s="57">
        <f t="shared" si="24"/>
        <v>100.68283625485124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5"/>
        <v>1.4971089349039775</v>
      </c>
      <c r="K126" s="51">
        <f t="shared" si="16"/>
        <v>1.9956289536003913</v>
      </c>
      <c r="L126" s="55">
        <f t="shared" si="17"/>
        <v>7.8026026682306683E-3</v>
      </c>
      <c r="M126" s="51">
        <f t="shared" si="26"/>
        <v>2.0034315562686218</v>
      </c>
      <c r="N126" s="94">
        <f t="shared" si="22"/>
        <v>31.412965323983002</v>
      </c>
      <c r="O126" s="56">
        <f t="shared" si="23"/>
        <v>98.998577337946912</v>
      </c>
      <c r="P126" s="57">
        <f t="shared" si="24"/>
        <v>100.79327491494995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5"/>
        <v>1.4916083125045811</v>
      </c>
      <c r="K127" s="51">
        <f t="shared" si="16"/>
        <v>1.9961527118459383</v>
      </c>
      <c r="L127" s="55">
        <f t="shared" si="17"/>
        <v>7.7610989491004902E-3</v>
      </c>
      <c r="M127" s="51">
        <f t="shared" si="26"/>
        <v>2.0039138107950389</v>
      </c>
      <c r="N127" s="94">
        <f t="shared" si="22"/>
        <v>31.017608673852862</v>
      </c>
      <c r="O127" s="56">
        <f t="shared" si="23"/>
        <v>99.118041439393949</v>
      </c>
      <c r="P127" s="57">
        <f t="shared" si="24"/>
        <v>100.90526116627836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5"/>
        <v>1.4860371264507926</v>
      </c>
      <c r="K128" s="51">
        <f t="shared" si="16"/>
        <v>1.9966831890212973</v>
      </c>
      <c r="L128" s="55">
        <f t="shared" si="17"/>
        <v>7.7191764987870294E-3</v>
      </c>
      <c r="M128" s="51">
        <f t="shared" si="26"/>
        <v>2.0044023655200842</v>
      </c>
      <c r="N128" s="94">
        <f t="shared" si="22"/>
        <v>30.622252023722726</v>
      </c>
      <c r="O128" s="56">
        <f t="shared" si="23"/>
        <v>99.239185009598685</v>
      </c>
      <c r="P128" s="57">
        <f t="shared" si="24"/>
        <v>101.0188372835276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5"/>
        <v>1.4803935427663608</v>
      </c>
      <c r="K129" s="51">
        <f t="shared" si="16"/>
        <v>1.9972205597540129</v>
      </c>
      <c r="L129" s="55">
        <f t="shared" si="17"/>
        <v>7.6768278326582468E-3</v>
      </c>
      <c r="M129" s="51">
        <f t="shared" si="26"/>
        <v>2.0048973875866714</v>
      </c>
      <c r="N129" s="94">
        <f t="shared" si="22"/>
        <v>30.226895373592569</v>
      </c>
      <c r="O129" s="56">
        <f t="shared" si="23"/>
        <v>99.362053804910289</v>
      </c>
      <c r="P129" s="57">
        <f t="shared" si="24"/>
        <v>101.13404727584454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5"/>
        <v>1.4746756550340059</v>
      </c>
      <c r="K130" s="51">
        <f t="shared" ref="K130:K193" si="27">+$I$14+$I$13*J130</f>
        <v>1.9977650055693195</v>
      </c>
      <c r="L130" s="55">
        <f t="shared" ref="L130:L193" si="28">SQRT(2*$I$20*$I$17)*SQRT((1/$I$2)+((J130-$I$11)^2/$I$8))</f>
        <v>7.6340453242273064E-3</v>
      </c>
      <c r="M130" s="51">
        <f t="shared" si="26"/>
        <v>2.0053990508935469</v>
      </c>
      <c r="N130" s="94">
        <f t="shared" si="22"/>
        <v>29.831538723462437</v>
      </c>
      <c r="O130" s="56">
        <f t="shared" si="23"/>
        <v>99.486695447553586</v>
      </c>
      <c r="P130" s="57">
        <f t="shared" si="24"/>
        <v>101.25093698249107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5"/>
        <v>1.4688814805292845</v>
      </c>
      <c r="K131" s="51">
        <f t="shared" si="27"/>
        <v>1.9983167152582666</v>
      </c>
      <c r="L131" s="55">
        <f t="shared" si="28"/>
        <v>7.590821206808364E-3</v>
      </c>
      <c r="M131" s="51">
        <f t="shared" si="26"/>
        <v>2.0059075364650751</v>
      </c>
      <c r="N131" s="94">
        <f t="shared" si="22"/>
        <v>29.436182073332297</v>
      </c>
      <c r="O131" s="56">
        <f t="shared" si="23"/>
        <v>99.613159527645024</v>
      </c>
      <c r="P131" s="57">
        <f t="shared" si="24"/>
        <v>101.36955417517142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5"/>
        <v>1.4630089560930497</v>
      </c>
      <c r="K132" s="51">
        <f t="shared" si="27"/>
        <v>1.9988758852707349</v>
      </c>
      <c r="L132" s="55">
        <f t="shared" si="28"/>
        <v>7.5471475759700726E-3</v>
      </c>
      <c r="M132" s="51">
        <f t="shared" si="26"/>
        <v>2.0064230328467048</v>
      </c>
      <c r="N132" s="94">
        <f t="shared" si="22"/>
        <v>29.040825423202161</v>
      </c>
      <c r="O132" s="56">
        <f t="shared" si="23"/>
        <v>99.741497712240871</v>
      </c>
      <c r="P132" s="57">
        <f t="shared" si="24"/>
        <v>101.48994866758868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5"/>
        <v>1.4570559337209996</v>
      </c>
      <c r="K133" s="51">
        <f t="shared" si="27"/>
        <v>1.9994427201353913</v>
      </c>
      <c r="L133" s="55">
        <f t="shared" si="28"/>
        <v>7.5030163929128736E-3</v>
      </c>
      <c r="M133" s="51">
        <f t="shared" si="26"/>
        <v>2.0069457365283041</v>
      </c>
      <c r="N133" s="94">
        <f t="shared" si="22"/>
        <v>28.645468773072011</v>
      </c>
      <c r="O133" s="56">
        <f t="shared" si="23"/>
        <v>99.871763862008436</v>
      </c>
      <c r="P133" s="57">
        <f t="shared" si="24"/>
        <v>101.61217243285422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5"/>
        <v>1.4510201758467252</v>
      </c>
      <c r="K134" s="51">
        <f t="shared" si="27"/>
        <v>2.0000174329088263</v>
      </c>
      <c r="L134" s="55">
        <f t="shared" si="28"/>
        <v>7.4584194889146405E-3</v>
      </c>
      <c r="M134" s="51">
        <f t="shared" si="26"/>
        <v>2.0074758523977407</v>
      </c>
      <c r="N134" s="94">
        <f t="shared" si="22"/>
        <v>28.250112122941886</v>
      </c>
      <c r="O134" s="56">
        <f t="shared" si="23"/>
        <v>100.00401415616425</v>
      </c>
      <c r="P134" s="57">
        <f t="shared" si="24"/>
        <v>101.73627972942823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5"/>
        <v>1.4448993502923322</v>
      </c>
      <c r="K135" s="51">
        <f t="shared" si="27"/>
        <v>2.0006002456563472</v>
      </c>
      <c r="L135" s="55">
        <f t="shared" si="28"/>
        <v>7.4133485710103537E-3</v>
      </c>
      <c r="M135" s="51">
        <f t="shared" si="26"/>
        <v>2.0080135942273576</v>
      </c>
      <c r="N135" s="94">
        <f t="shared" si="22"/>
        <v>27.854755472811746</v>
      </c>
      <c r="O135" s="56">
        <f t="shared" si="23"/>
        <v>100.13830722639091</v>
      </c>
      <c r="P135" s="57">
        <f t="shared" si="24"/>
        <v>101.86232723635224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5"/>
        <v>1.4386910248581268</v>
      </c>
      <c r="K136" s="51">
        <f t="shared" si="27"/>
        <v>2.0011913899671367</v>
      </c>
      <c r="L136" s="55">
        <f t="shared" si="28"/>
        <v>7.3677952290959895E-3</v>
      </c>
      <c r="M136" s="51">
        <f t="shared" si="26"/>
        <v>2.0085591851962326</v>
      </c>
      <c r="N136" s="94">
        <f t="shared" si="22"/>
        <v>27.459398822681582</v>
      </c>
      <c r="O136" s="56">
        <f t="shared" si="23"/>
        <v>100.27470430051604</v>
      </c>
      <c r="P136" s="57">
        <f t="shared" si="24"/>
        <v>101.99037419859873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5"/>
        <v>1.4323926615199518</v>
      </c>
      <c r="K137" s="51">
        <f t="shared" si="27"/>
        <v>2.0017911075067705</v>
      </c>
      <c r="L137" s="55">
        <f t="shared" si="28"/>
        <v>7.3217509446748957E-3</v>
      </c>
      <c r="M137" s="51">
        <f t="shared" si="26"/>
        <v>2.0091128584514455</v>
      </c>
      <c r="N137" s="94">
        <f t="shared" si="22"/>
        <v>27.064042172551449</v>
      </c>
      <c r="O137" s="56">
        <f t="shared" si="23"/>
        <v>100.41326935681482</v>
      </c>
      <c r="P137" s="57">
        <f t="shared" si="24"/>
        <v>102.12048258346356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5"/>
        <v>1.4260016101995256</v>
      </c>
      <c r="K138" s="51">
        <f t="shared" si="27"/>
        <v>2.0023996506103936</v>
      </c>
      <c r="L138" s="55">
        <f t="shared" si="28"/>
        <v>7.2752071014975002E-3</v>
      </c>
      <c r="M138" s="51">
        <f t="shared" si="26"/>
        <v>2.0096748577118912</v>
      </c>
      <c r="N138" s="94">
        <f t="shared" si="22"/>
        <v>26.668685522421317</v>
      </c>
      <c r="O138" s="56">
        <f t="shared" si="23"/>
        <v>100.55406928989353</v>
      </c>
      <c r="P138" s="57">
        <f t="shared" si="24"/>
        <v>102.25271724901739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5"/>
        <v>1.4195151020695198</v>
      </c>
      <c r="K139" s="51">
        <f t="shared" si="27"/>
        <v>2.0030172829201973</v>
      </c>
      <c r="L139" s="55">
        <f t="shared" si="28"/>
        <v>7.2281549983827607E-3</v>
      </c>
      <c r="M139" s="51">
        <f t="shared" si="26"/>
        <v>2.0102454379185799</v>
      </c>
      <c r="N139" s="94">
        <f t="shared" si="22"/>
        <v>26.27332887229117</v>
      </c>
      <c r="O139" s="56">
        <f t="shared" si="23"/>
        <v>100.69717408920459</v>
      </c>
      <c r="P139" s="57">
        <f t="shared" si="24"/>
        <v>102.38714612574869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5"/>
        <v>1.4129302423510397</v>
      </c>
      <c r="K140" s="51">
        <f t="shared" si="27"/>
        <v>2.0036442800712293</v>
      </c>
      <c r="L140" s="55">
        <f t="shared" si="28"/>
        <v>7.1805858645533566E-3</v>
      </c>
      <c r="M140" s="51">
        <f t="shared" si="26"/>
        <v>2.0108248659357826</v>
      </c>
      <c r="N140" s="94">
        <f t="shared" si="22"/>
        <v>25.877972222161031</v>
      </c>
      <c r="O140" s="56">
        <f t="shared" si="23"/>
        <v>100.84265703136593</v>
      </c>
      <c r="P140" s="57">
        <f t="shared" si="24"/>
        <v>102.52384041265337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5"/>
        <v>1.4062440025566165</v>
      </c>
      <c r="K141" s="51">
        <f t="shared" si="27"/>
        <v>2.0042809304299993</v>
      </c>
      <c r="L141" s="55">
        <f t="shared" si="28"/>
        <v>7.1324908778669909E-3</v>
      </c>
      <c r="M141" s="51">
        <f t="shared" si="26"/>
        <v>2.0114134213078665</v>
      </c>
      <c r="N141" s="94">
        <f t="shared" si="22"/>
        <v>25.482615572030898</v>
      </c>
      <c r="O141" s="56">
        <f t="shared" si="23"/>
        <v>100.99059488757729</v>
      </c>
      <c r="P141" s="57">
        <f t="shared" si="24"/>
        <v>102.66287478916735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5"/>
        <v>1.3994532121266823</v>
      </c>
      <c r="K142" s="51">
        <f t="shared" si="27"/>
        <v>2.0049275358908378</v>
      </c>
      <c r="L142" s="55">
        <f t="shared" si="28"/>
        <v>7.0838611863848254E-3</v>
      </c>
      <c r="M142" s="51">
        <f t="shared" si="26"/>
        <v>2.0120113970772229</v>
      </c>
      <c r="N142" s="94">
        <f t="shared" si="22"/>
        <v>25.087258921900752</v>
      </c>
      <c r="O142" s="56">
        <f t="shared" si="23"/>
        <v>101.14106814757645</v>
      </c>
      <c r="P142" s="57">
        <f t="shared" si="24"/>
        <v>102.80432764450131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5"/>
        <v>1.392554549401716</v>
      </c>
      <c r="K143" s="51">
        <f t="shared" si="27"/>
        <v>2.00558441273551</v>
      </c>
      <c r="L143" s="55">
        <f t="shared" si="28"/>
        <v>7.0346879337860784E-3</v>
      </c>
      <c r="M143" s="51">
        <f t="shared" si="26"/>
        <v>2.0126191006692959</v>
      </c>
      <c r="N143" s="94">
        <f t="shared" si="22"/>
        <v>24.691902271770612</v>
      </c>
      <c r="O143" s="56">
        <f t="shared" si="23"/>
        <v>101.29416126173662</v>
      </c>
      <c r="P143" s="57">
        <f t="shared" si="24"/>
        <v>102.94828132611377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5"/>
        <v>1.385544531865714</v>
      </c>
      <c r="K144" s="51">
        <f t="shared" si="27"/>
        <v>2.0062518925622133</v>
      </c>
      <c r="L144" s="55">
        <f t="shared" si="28"/>
        <v>6.9849622892170721E-3</v>
      </c>
      <c r="M144" s="51">
        <f t="shared" si="26"/>
        <v>2.0132368548514301</v>
      </c>
      <c r="N144" s="94">
        <f t="shared" si="22"/>
        <v>24.296545621640458</v>
      </c>
      <c r="O144" s="56">
        <f t="shared" si="23"/>
        <v>101.44996290309169</v>
      </c>
      <c r="P144" s="57">
        <f t="shared" si="24"/>
        <v>103.09482240926701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5"/>
        <v>1.3784195055892476</v>
      </c>
      <c r="K145" s="51">
        <f t="shared" si="27"/>
        <v>2.0069303232907885</v>
      </c>
      <c r="L145" s="55">
        <f t="shared" si="28"/>
        <v>6.934675482255348E-3</v>
      </c>
      <c r="M145" s="51">
        <f t="shared" si="26"/>
        <v>2.0138649987730437</v>
      </c>
      <c r="N145" s="94">
        <f t="shared" si="22"/>
        <v>23.901188971510326</v>
      </c>
      <c r="O145" s="56">
        <f t="shared" si="23"/>
        <v>101.60856625128423</v>
      </c>
      <c r="P145" s="57">
        <f t="shared" si="24"/>
        <v>103.2440419898407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5"/>
        <v>1.3711756337919927</v>
      </c>
      <c r="K146" s="51">
        <f t="shared" si="27"/>
        <v>2.0076200702517712</v>
      </c>
      <c r="L146" s="55">
        <f t="shared" si="28"/>
        <v>6.8838188437773109E-3</v>
      </c>
      <c r="M146" s="51">
        <f t="shared" si="26"/>
        <v>2.0145038890955487</v>
      </c>
      <c r="N146" s="94">
        <f t="shared" si="22"/>
        <v>23.50583232138019</v>
      </c>
      <c r="O146" s="56">
        <f t="shared" si="23"/>
        <v>101.77006930066614</v>
      </c>
      <c r="P146" s="57">
        <f t="shared" si="24"/>
        <v>103.39603600284715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5"/>
        <v>1.3638088844351066</v>
      </c>
      <c r="K147" s="51">
        <f t="shared" si="27"/>
        <v>2.0083215173678233</v>
      </c>
      <c r="L147" s="55">
        <f t="shared" si="28"/>
        <v>6.83238385364387E-3</v>
      </c>
      <c r="M147" s="51">
        <f t="shared" si="26"/>
        <v>2.015153901221467</v>
      </c>
      <c r="N147" s="94">
        <f t="shared" si="22"/>
        <v>23.110475671250047</v>
      </c>
      <c r="O147" s="56">
        <f t="shared" si="23"/>
        <v>101.93457519505286</v>
      </c>
      <c r="P147" s="57">
        <f t="shared" si="24"/>
        <v>103.5509055693941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5"/>
        <v>1.3563150167429927</v>
      </c>
      <c r="K148" s="51">
        <f t="shared" si="27"/>
        <v>2.0090350684371008</v>
      </c>
      <c r="L148" s="55">
        <f t="shared" si="28"/>
        <v>6.7803621962661776E-3</v>
      </c>
      <c r="M148" s="51">
        <f t="shared" si="26"/>
        <v>2.0158154306333671</v>
      </c>
      <c r="N148" s="94">
        <f t="shared" si="22"/>
        <v>22.715119021119911</v>
      </c>
      <c r="O148" s="56">
        <f t="shared" si="23"/>
        <v>102.10219259193603</v>
      </c>
      <c r="P148" s="57">
        <f t="shared" si="24"/>
        <v>103.70875737518649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5"/>
        <v>1.3486895665416498</v>
      </c>
      <c r="K149" s="51">
        <f t="shared" si="27"/>
        <v>2.0097611485293103</v>
      </c>
      <c r="L149" s="55">
        <f t="shared" si="28"/>
        <v>6.7277458252866986E-3</v>
      </c>
      <c r="M149" s="51">
        <f t="shared" si="26"/>
        <v>2.0164888943545969</v>
      </c>
      <c r="N149" s="94">
        <f t="shared" si="22"/>
        <v>22.319762370989764</v>
      </c>
      <c r="O149" s="56">
        <f t="shared" si="23"/>
        <v>102.27303605931037</v>
      </c>
      <c r="P149" s="57">
        <f t="shared" si="24"/>
        <v>103.86970408405887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5"/>
        <v>1.3409278302866874</v>
      </c>
      <c r="K150" s="51">
        <f t="shared" si="27"/>
        <v>2.0105002055065251</v>
      </c>
      <c r="L150" s="55">
        <f t="shared" si="28"/>
        <v>6.6745270388142144E-3</v>
      </c>
      <c r="M150" s="51">
        <f t="shared" si="26"/>
        <v>2.0171747325453393</v>
      </c>
      <c r="N150" s="94">
        <f t="shared" si="22"/>
        <v>21.924405720859639</v>
      </c>
      <c r="O150" s="56">
        <f t="shared" si="23"/>
        <v>102.44722650867125</v>
      </c>
      <c r="P150" s="57">
        <f t="shared" si="24"/>
        <v>104.03386479048532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5"/>
        <v>1.3330248476379143</v>
      </c>
      <c r="K151" s="51">
        <f t="shared" si="27"/>
        <v>2.0112527116824013</v>
      </c>
      <c r="L151" s="55">
        <f t="shared" si="28"/>
        <v>6.6206985668907474E-3</v>
      </c>
      <c r="M151" s="51">
        <f t="shared" si="26"/>
        <v>2.0178734102492921</v>
      </c>
      <c r="N151" s="94">
        <f t="shared" si="22"/>
        <v>21.529049070729485</v>
      </c>
      <c r="O151" s="56">
        <f t="shared" si="23"/>
        <v>102.6248916681996</v>
      </c>
      <c r="P151" s="57">
        <f t="shared" si="24"/>
        <v>104.20136551554174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5"/>
        <v>1.3249753824188488</v>
      </c>
      <c r="K152" s="51">
        <f t="shared" si="27"/>
        <v>2.0120191656351745</v>
      </c>
      <c r="L152" s="55">
        <f t="shared" si="28"/>
        <v>6.5662536731505494E-3</v>
      </c>
      <c r="M152" s="51">
        <f t="shared" si="26"/>
        <v>2.0185854193083248</v>
      </c>
      <c r="N152" s="94">
        <f t="shared" si="22"/>
        <v>21.133692420599345</v>
      </c>
      <c r="O152" s="56">
        <f t="shared" si="23"/>
        <v>102.80616660067797</v>
      </c>
      <c r="P152" s="57">
        <f t="shared" si="24"/>
        <v>104.37233975140113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5"/>
        <v>1.3167739017781108</v>
      </c>
      <c r="K153" s="51">
        <f t="shared" si="27"/>
        <v>2.0128000941918684</v>
      </c>
      <c r="L153" s="55">
        <f t="shared" si="28"/>
        <v>6.5111862729644362E-3</v>
      </c>
      <c r="M153" s="51">
        <f t="shared" si="26"/>
        <v>2.0193112804648328</v>
      </c>
      <c r="N153" s="94">
        <f t="shared" si="22"/>
        <v>20.73833577046921</v>
      </c>
      <c r="O153" s="56">
        <f t="shared" si="23"/>
        <v>102.99119427129128</v>
      </c>
      <c r="P153" s="57">
        <f t="shared" si="24"/>
        <v>104.54692906014689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5"/>
        <v>1.308414553345004</v>
      </c>
      <c r="K154" s="51">
        <f t="shared" si="27"/>
        <v>2.0135960546034979</v>
      </c>
      <c r="L154" s="55">
        <f t="shared" si="28"/>
        <v>6.4554910707569071E-3</v>
      </c>
      <c r="M154" s="51">
        <f t="shared" si="26"/>
        <v>2.0200515456742547</v>
      </c>
      <c r="N154" s="94">
        <f t="shared" si="22"/>
        <v>20.34297912033907</v>
      </c>
      <c r="O154" s="56">
        <f t="shared" si="23"/>
        <v>103.18012617117456</v>
      </c>
      <c r="P154" s="57">
        <f t="shared" si="24"/>
        <v>104.72528373350468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5"/>
        <v>1.2998911401430491</v>
      </c>
      <c r="K155" s="51">
        <f t="shared" si="27"/>
        <v>2.0144076369337478</v>
      </c>
      <c r="L155" s="55">
        <f t="shared" si="28"/>
        <v>6.3991637196505087E-3</v>
      </c>
      <c r="M155" s="51">
        <f t="shared" si="26"/>
        <v>2.0208068006533981</v>
      </c>
      <c r="N155" s="94">
        <f t="shared" si="22"/>
        <v>19.947622470208938</v>
      </c>
      <c r="O155" s="56">
        <f t="shared" si="23"/>
        <v>103.37312300337805</v>
      </c>
      <c r="P155" s="57">
        <f t="shared" si="24"/>
        <v>104.90756352104147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5"/>
        <v>1.2911970929921164</v>
      </c>
      <c r="K156" s="51">
        <f t="shared" si="27"/>
        <v>2.0152354666867907</v>
      </c>
      <c r="L156" s="55">
        <f t="shared" si="28"/>
        <v>6.3422010071462268E-3</v>
      </c>
      <c r="M156" s="51">
        <f t="shared" si="26"/>
        <v>2.0215776676939368</v>
      </c>
      <c r="N156" s="94">
        <f t="shared" si="22"/>
        <v>19.552265820078791</v>
      </c>
      <c r="O156" s="56">
        <f t="shared" si="23"/>
        <v>103.57035543887996</v>
      </c>
      <c r="P156" s="57">
        <f t="shared" si="24"/>
        <v>105.09393843548926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5"/>
        <v>1.2823254400912896</v>
      </c>
      <c r="K157" s="51">
        <f t="shared" si="27"/>
        <v>2.0160802077035438</v>
      </c>
      <c r="L157" s="55">
        <f t="shared" si="28"/>
        <v>6.2846010712080879E-3</v>
      </c>
      <c r="M157" s="51">
        <f t="shared" si="26"/>
        <v>2.0223648087747517</v>
      </c>
      <c r="N157" s="94">
        <f t="shared" si="22"/>
        <v>19.156909169948644</v>
      </c>
      <c r="O157" s="56">
        <f t="shared" si="23"/>
        <v>103.77200495137534</v>
      </c>
      <c r="P157" s="57">
        <f t="shared" si="24"/>
        <v>105.28458964514257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5"/>
        <v>1.2732687734296289</v>
      </c>
      <c r="K158" s="51">
        <f t="shared" si="27"/>
        <v>2.0169425653599675</v>
      </c>
      <c r="L158" s="55">
        <f t="shared" si="28"/>
        <v>6.2263636519054302E-3</v>
      </c>
      <c r="M158" s="51">
        <f t="shared" si="26"/>
        <v>2.0231689290118728</v>
      </c>
      <c r="N158" s="94">
        <f t="shared" si="22"/>
        <v>18.761552519818508</v>
      </c>
      <c r="O158" s="56">
        <f t="shared" si="23"/>
        <v>103.97826474086608</v>
      </c>
      <c r="P158" s="57">
        <f t="shared" si="24"/>
        <v>105.47971046479931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5"/>
        <v>1.2640192116193987</v>
      </c>
      <c r="K159" s="51">
        <f t="shared" si="27"/>
        <v>2.0178232901060138</v>
      </c>
      <c r="L159" s="55">
        <f t="shared" si="28"/>
        <v>6.1674903847037258E-3</v>
      </c>
      <c r="M159" s="51">
        <f t="shared" si="26"/>
        <v>2.0239907804907173</v>
      </c>
      <c r="N159" s="94">
        <f t="shared" si="22"/>
        <v>18.366195869688365</v>
      </c>
      <c r="O159" s="56">
        <f t="shared" si="23"/>
        <v>104.18934075759535</v>
      </c>
      <c r="P159" s="57">
        <f t="shared" si="24"/>
        <v>105.67950745850288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5"/>
        <v>1.254568358684542</v>
      </c>
      <c r="K160" s="51">
        <f t="shared" si="27"/>
        <v>2.0187231813897029</v>
      </c>
      <c r="L160" s="55">
        <f t="shared" si="28"/>
        <v>6.1079851426153716E-3</v>
      </c>
      <c r="M160" s="51">
        <f t="shared" si="26"/>
        <v>2.0248311665323184</v>
      </c>
      <c r="N160" s="94">
        <f t="shared" si="22"/>
        <v>17.970839219558222</v>
      </c>
      <c r="O160" s="56">
        <f t="shared" si="23"/>
        <v>104.40545283965133</v>
      </c>
      <c r="P160" s="57">
        <f t="shared" si="24"/>
        <v>105.88420166944751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5"/>
        <v>1.2449072582644105</v>
      </c>
      <c r="K161" s="51">
        <f t="shared" si="27"/>
        <v>2.0196430920177542</v>
      </c>
      <c r="L161" s="55">
        <f t="shared" si="28"/>
        <v>6.0478544357637108E-3</v>
      </c>
      <c r="M161" s="51">
        <f t="shared" si="26"/>
        <v>2.0256909464535178</v>
      </c>
      <c r="N161" s="94">
        <f t="shared" si="22"/>
        <v>17.57548256942809</v>
      </c>
      <c r="O161" s="56">
        <f t="shared" si="23"/>
        <v>104.62683597967283</v>
      </c>
      <c r="P161" s="57">
        <f t="shared" si="24"/>
        <v>106.09402999491014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5"/>
        <v>1.23502634260674</v>
      </c>
      <c r="K162" s="51">
        <f t="shared" si="27"/>
        <v>2.0205839330123712</v>
      </c>
      <c r="L162" s="55">
        <f t="shared" si="28"/>
        <v>5.9871078785232916E-3</v>
      </c>
      <c r="M162" s="51">
        <f t="shared" si="26"/>
        <v>2.0265710408908943</v>
      </c>
      <c r="N162" s="94">
        <f t="shared" si="22"/>
        <v>17.18012591929795</v>
      </c>
      <c r="O162" s="56">
        <f t="shared" si="23"/>
        <v>104.8537417385828</v>
      </c>
      <c r="P162" s="57">
        <f t="shared" si="24"/>
        <v>106.30924672703502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5"/>
        <v>1.2249153756218056</v>
      </c>
      <c r="K163" s="51">
        <f t="shared" si="27"/>
        <v>2.021546679033511</v>
      </c>
      <c r="L163" s="55">
        <f t="shared" si="28"/>
        <v>5.9257587363331409E-3</v>
      </c>
      <c r="M163" s="51">
        <f t="shared" si="26"/>
        <v>2.0274724377698443</v>
      </c>
      <c r="N163" s="94">
        <f t="shared" si="22"/>
        <v>16.784769269167803</v>
      </c>
      <c r="O163" s="56">
        <f t="shared" si="23"/>
        <v>105.08643982724215</v>
      </c>
      <c r="P163" s="57">
        <f t="shared" si="24"/>
        <v>106.53012528383171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5"/>
        <v>1.2145633891481764</v>
      </c>
      <c r="K164" s="51">
        <f t="shared" si="27"/>
        <v>2.0225323744475334</v>
      </c>
      <c r="L164" s="55">
        <f t="shared" si="28"/>
        <v>5.8638245666066766E-3</v>
      </c>
      <c r="M164" s="51">
        <f t="shared" si="26"/>
        <v>2.0283961990141401</v>
      </c>
      <c r="N164" s="94">
        <f t="shared" si="22"/>
        <v>16.389412619037664</v>
      </c>
      <c r="O164" s="56">
        <f t="shared" si="23"/>
        <v>105.32521988045561</v>
      </c>
      <c r="P164" s="57">
        <f t="shared" si="24"/>
        <v>106.75696015897648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5"/>
        <v>1.2039586114352245</v>
      </c>
      <c r="K165" s="51">
        <f t="shared" si="27"/>
        <v>2.0235421401369509</v>
      </c>
      <c r="L165" s="55">
        <f t="shared" si="28"/>
        <v>5.8013279709654888E-3</v>
      </c>
      <c r="M165" s="51">
        <f t="shared" si="26"/>
        <v>2.0293434681079163</v>
      </c>
      <c r="N165" s="94">
        <f t="shared" si="22"/>
        <v>15.994055968907521</v>
      </c>
      <c r="O165" s="56">
        <f t="shared" si="23"/>
        <v>105.57039345199514</v>
      </c>
      <c r="P165" s="57">
        <f t="shared" si="24"/>
        <v>106.99006912407992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5"/>
        <v>1.1930883866731827</v>
      </c>
      <c r="K166" s="51">
        <f t="shared" si="27"/>
        <v>2.0245771811626163</v>
      </c>
      <c r="L166" s="55">
        <f t="shared" si="28"/>
        <v>5.7382974794062264E-3</v>
      </c>
      <c r="M166" s="51">
        <f t="shared" si="26"/>
        <v>2.0303154786420223</v>
      </c>
      <c r="N166" s="94">
        <f t="shared" si="22"/>
        <v>15.598699318777388</v>
      </c>
      <c r="O166" s="56">
        <f t="shared" si="23"/>
        <v>105.82229626441232</v>
      </c>
      <c r="P166" s="57">
        <f t="shared" si="24"/>
        <v>107.22979572319903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5"/>
        <v>1.1819390841913531</v>
      </c>
      <c r="K167" s="51">
        <f t="shared" si="27"/>
        <v>2.0256387954096868</v>
      </c>
      <c r="L167" s="55">
        <f t="shared" si="28"/>
        <v>5.6747685910941608E-3</v>
      </c>
      <c r="M167" s="51">
        <f t="shared" si="26"/>
        <v>2.0313135640007811</v>
      </c>
      <c r="N167" s="94">
        <f t="shared" si="22"/>
        <v>15.203342668647249</v>
      </c>
      <c r="O167" s="56">
        <f t="shared" si="23"/>
        <v>106.08129075356587</v>
      </c>
      <c r="P167" s="57">
        <f t="shared" si="24"/>
        <v>107.47651210676949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5"/>
        <v>1.1704959956905705</v>
      </c>
      <c r="K168" s="51">
        <f t="shared" si="27"/>
        <v>2.0267283833729448</v>
      </c>
      <c r="L168" s="55">
        <f t="shared" si="28"/>
        <v>5.6107850014133782E-3</v>
      </c>
      <c r="M168" s="51">
        <f t="shared" si="26"/>
        <v>2.0323391683743584</v>
      </c>
      <c r="N168" s="94">
        <f t="shared" ref="N168:N204" si="29">10^$J168</f>
        <v>14.807986018517109</v>
      </c>
      <c r="O168" s="56">
        <f t="shared" ref="O168:O204" si="30">10^K168</f>
        <v>106.34776895527088</v>
      </c>
      <c r="P168" s="57">
        <f t="shared" ref="P168:P204" si="31">10^M168</f>
        <v>107.73062226111614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32">LOG($I$24+($I$25-$I$24)*(ROW()-104)/100)</f>
        <v>1.1587432185663762</v>
      </c>
      <c r="K169" s="51">
        <f t="shared" si="27"/>
        <v>2.0278474592665288</v>
      </c>
      <c r="L169" s="55">
        <f t="shared" si="28"/>
        <v>5.5464000508729117E-3</v>
      </c>
      <c r="M169" s="51">
        <f t="shared" ref="M169:M204" si="33">+$I$14+$I$13*J169+L169</f>
        <v>2.0333938593174015</v>
      </c>
      <c r="N169" s="94">
        <f t="shared" si="29"/>
        <v>14.412629368386964</v>
      </c>
      <c r="O169" s="56">
        <f t="shared" si="30"/>
        <v>106.62215579058918</v>
      </c>
      <c r="P169" s="57">
        <f t="shared" si="31"/>
        <v>107.99256570065721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32"/>
        <v>1.146663523000806</v>
      </c>
      <c r="K170" s="51">
        <f t="shared" si="27"/>
        <v>2.0289976636791893</v>
      </c>
      <c r="L170" s="55">
        <f t="shared" si="28"/>
        <v>5.4816784386884669E-3</v>
      </c>
      <c r="M170" s="51">
        <f t="shared" si="33"/>
        <v>2.0344793421178777</v>
      </c>
      <c r="N170" s="94">
        <f t="shared" si="29"/>
        <v>14.017272718256821</v>
      </c>
      <c r="O170" s="56">
        <f t="shared" si="30"/>
        <v>106.90491281745842</v>
      </c>
      <c r="P170" s="57">
        <f t="shared" si="31"/>
        <v>108.26282170334073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32"/>
        <v>1.1342382000354363</v>
      </c>
      <c r="K171" s="51">
        <f t="shared" si="27"/>
        <v>2.0301807780404681</v>
      </c>
      <c r="L171" s="55">
        <f t="shared" si="28"/>
        <v>5.4166982525907159E-3</v>
      </c>
      <c r="M171" s="51">
        <f t="shared" si="33"/>
        <v>2.0355974762930589</v>
      </c>
      <c r="N171" s="94">
        <f t="shared" si="29"/>
        <v>13.621916068126687</v>
      </c>
      <c r="O171" s="56">
        <f t="shared" si="30"/>
        <v>107.19654253011949</v>
      </c>
      <c r="P171" s="57">
        <f t="shared" si="31"/>
        <v>108.54191418636159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32"/>
        <v>1.1214468872634011</v>
      </c>
      <c r="K172" s="51">
        <f t="shared" si="27"/>
        <v>2.0313987412179548</v>
      </c>
      <c r="L172" s="55">
        <f t="shared" si="28"/>
        <v>5.3515533769626479E-3</v>
      </c>
      <c r="M172" s="51">
        <f t="shared" si="33"/>
        <v>2.0367502945949174</v>
      </c>
      <c r="N172" s="94">
        <f t="shared" si="29"/>
        <v>13.226559417996542</v>
      </c>
      <c r="O172" s="56">
        <f t="shared" si="30"/>
        <v>107.49759330485941</v>
      </c>
      <c r="P172" s="57">
        <f t="shared" si="31"/>
        <v>108.83041733963746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32"/>
        <v>1.1082673680635033</v>
      </c>
      <c r="K173" s="51">
        <f t="shared" si="27"/>
        <v>2.0326536686338139</v>
      </c>
      <c r="L173" s="55">
        <f t="shared" si="28"/>
        <v>5.2863563541431687E-3</v>
      </c>
      <c r="M173" s="51">
        <f t="shared" si="33"/>
        <v>2.0379400249879569</v>
      </c>
      <c r="N173" s="94">
        <f t="shared" si="29"/>
        <v>12.831202767866404</v>
      </c>
      <c r="O173" s="56">
        <f t="shared" si="30"/>
        <v>107.80866511183604</v>
      </c>
      <c r="P173" s="57">
        <f t="shared" si="31"/>
        <v>109.12896215988479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32"/>
        <v>1.0946753394059334</v>
      </c>
      <c r="K174" s="51">
        <f t="shared" si="27"/>
        <v>2.0339478743738582</v>
      </c>
      <c r="L174" s="55">
        <f t="shared" si="28"/>
        <v>5.2212417890731356E-3</v>
      </c>
      <c r="M174" s="51">
        <f t="shared" si="33"/>
        <v>2.0391691161629315</v>
      </c>
      <c r="N174" s="94">
        <f t="shared" si="29"/>
        <v>12.435846117736261</v>
      </c>
      <c r="O174" s="56">
        <f t="shared" si="30"/>
        <v>108.13041613940059</v>
      </c>
      <c r="P174" s="57">
        <f t="shared" si="31"/>
        <v>109.43824405983371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32"/>
        <v>1.080644142134398</v>
      </c>
      <c r="K175" s="51">
        <f t="shared" si="27"/>
        <v>2.0352838968695433</v>
      </c>
      <c r="L175" s="55">
        <f t="shared" si="28"/>
        <v>5.1563704058839093E-3</v>
      </c>
      <c r="M175" s="51">
        <f t="shared" si="33"/>
        <v>2.0404402672754274</v>
      </c>
      <c r="N175" s="94">
        <f t="shared" si="29"/>
        <v>12.040489467606125</v>
      </c>
      <c r="O175" s="56">
        <f t="shared" si="30"/>
        <v>108.46357051096359</v>
      </c>
      <c r="P175" s="57">
        <f t="shared" si="31"/>
        <v>109.75903176692479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32"/>
        <v>1.0661444462041452</v>
      </c>
      <c r="K176" s="51">
        <f t="shared" si="27"/>
        <v>2.0366645288689744</v>
      </c>
      <c r="L176" s="55">
        <f t="shared" si="28"/>
        <v>5.0919338870740061E-3</v>
      </c>
      <c r="M176" s="51">
        <f t="shared" si="33"/>
        <v>2.0417564627560485</v>
      </c>
      <c r="N176" s="94">
        <f t="shared" si="29"/>
        <v>11.645132817475986</v>
      </c>
      <c r="O176" s="56">
        <f t="shared" si="30"/>
        <v>108.80892731719256</v>
      </c>
      <c r="P176" s="57">
        <f t="shared" si="31"/>
        <v>110.09217777612444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32"/>
        <v>1.0511438815359473</v>
      </c>
      <c r="K177" s="51">
        <f t="shared" si="27"/>
        <v>2.0380928525862489</v>
      </c>
      <c r="L177" s="55">
        <f t="shared" si="28"/>
        <v>5.0281606521692919E-3</v>
      </c>
      <c r="M177" s="51">
        <f t="shared" si="33"/>
        <v>2.0431210132384181</v>
      </c>
      <c r="N177" s="94">
        <f t="shared" si="29"/>
        <v>11.249776167345845</v>
      </c>
      <c r="O177" s="56">
        <f t="shared" si="30"/>
        <v>109.16737124104458</v>
      </c>
      <c r="P177" s="57">
        <f t="shared" si="31"/>
        <v>110.43863068542758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32"/>
        <v>1.0356066028055495</v>
      </c>
      <c r="K178" s="51">
        <f t="shared" si="27"/>
        <v>2.0395722811413339</v>
      </c>
      <c r="L178" s="55">
        <f t="shared" si="28"/>
        <v>4.9653227638277756E-3</v>
      </c>
      <c r="M178" s="51">
        <f t="shared" si="33"/>
        <v>2.0445376039051619</v>
      </c>
      <c r="N178" s="94">
        <f t="shared" si="29"/>
        <v>10.854419517215701</v>
      </c>
      <c r="O178" s="56">
        <f t="shared" si="30"/>
        <v>109.53988512374484</v>
      </c>
      <c r="P178" s="57">
        <f t="shared" si="31"/>
        <v>110.79944982447644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32"/>
        <v>1.0194927734522641</v>
      </c>
      <c r="K179" s="51">
        <f t="shared" si="27"/>
        <v>2.0411066076917344</v>
      </c>
      <c r="L179" s="55">
        <f t="shared" si="28"/>
        <v>4.9037441858450839E-3</v>
      </c>
      <c r="M179" s="51">
        <f t="shared" si="33"/>
        <v>2.0460103518775794</v>
      </c>
      <c r="N179" s="94">
        <f t="shared" si="29"/>
        <v>10.459062867085564</v>
      </c>
      <c r="O179" s="56">
        <f t="shared" si="30"/>
        <v>109.92756491168086</v>
      </c>
      <c r="P179" s="57">
        <f t="shared" si="31"/>
        <v>111.17582269226914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32"/>
        <v>1.0027579502179049</v>
      </c>
      <c r="K180" s="51">
        <f t="shared" si="27"/>
        <v>2.0427000640354618</v>
      </c>
      <c r="L180" s="55">
        <f t="shared" si="28"/>
        <v>4.843810660030169E-3</v>
      </c>
      <c r="M180" s="51">
        <f t="shared" si="33"/>
        <v>2.0475438746954921</v>
      </c>
      <c r="N180" s="94">
        <f t="shared" si="29"/>
        <v>10.063706216955426</v>
      </c>
      <c r="O180" s="56">
        <f t="shared" si="30"/>
        <v>110.33163754477692</v>
      </c>
      <c r="P180" s="57">
        <f t="shared" si="31"/>
        <v>111.56908585718369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32"/>
        <v>0.98535234427995988</v>
      </c>
      <c r="K181" s="51">
        <f t="shared" si="27"/>
        <v>2.0443573909644543</v>
      </c>
      <c r="L181" s="55">
        <f t="shared" si="28"/>
        <v>4.7859815180063183E-3</v>
      </c>
      <c r="M181" s="51">
        <f t="shared" si="33"/>
        <v>2.0491433724824608</v>
      </c>
      <c r="N181" s="94">
        <f t="shared" si="29"/>
        <v>9.6683495668252828</v>
      </c>
      <c r="O181" s="56">
        <f t="shared" si="30"/>
        <v>110.7534825067363</v>
      </c>
      <c r="P181" s="57">
        <f t="shared" si="31"/>
        <v>111.98075015260358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32"/>
        <v>0.96721992804120216</v>
      </c>
      <c r="K182" s="51">
        <f t="shared" si="27"/>
        <v>2.0460839233142813</v>
      </c>
      <c r="L182" s="55">
        <f t="shared" si="28"/>
        <v>4.7308038002201848E-3</v>
      </c>
      <c r="M182" s="51">
        <f t="shared" si="33"/>
        <v>2.0508147271145014</v>
      </c>
      <c r="N182" s="94">
        <f t="shared" si="29"/>
        <v>9.2729929166951433</v>
      </c>
      <c r="O182" s="56">
        <f t="shared" si="30"/>
        <v>111.19465797153826</v>
      </c>
      <c r="P182" s="57">
        <f t="shared" si="31"/>
        <v>112.41253124009789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32"/>
        <v>0.94829734719309078</v>
      </c>
      <c r="K183" s="51">
        <f t="shared" si="27"/>
        <v>2.0478856935552843</v>
      </c>
      <c r="L183" s="55">
        <f t="shared" si="28"/>
        <v>4.6789291186094227E-3</v>
      </c>
      <c r="M183" s="51">
        <f t="shared" si="33"/>
        <v>2.0525646226738936</v>
      </c>
      <c r="N183" s="94">
        <f t="shared" si="29"/>
        <v>8.8776362665650055</v>
      </c>
      <c r="O183" s="56">
        <f t="shared" si="30"/>
        <v>111.65693277028493</v>
      </c>
      <c r="P183" s="57">
        <f t="shared" si="31"/>
        <v>112.8663869320512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32"/>
        <v>0.92851258477933019</v>
      </c>
      <c r="K184" s="51">
        <f t="shared" si="27"/>
        <v>2.049769558997772</v>
      </c>
      <c r="L184" s="55">
        <f t="shared" si="28"/>
        <v>4.6311337730759843E-3</v>
      </c>
      <c r="M184" s="51">
        <f t="shared" si="33"/>
        <v>2.054400692770848</v>
      </c>
      <c r="N184" s="94">
        <f t="shared" si="29"/>
        <v>8.4822796164348588</v>
      </c>
      <c r="O184" s="56">
        <f t="shared" si="30"/>
        <v>112.14232579938893</v>
      </c>
      <c r="P184" s="57">
        <f t="shared" si="31"/>
        <v>113.34456310010637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32"/>
        <v>0.90778330616636949</v>
      </c>
      <c r="K185" s="51">
        <f t="shared" si="27"/>
        <v>2.0517433593806107</v>
      </c>
      <c r="L185" s="55">
        <f t="shared" si="28"/>
        <v>4.5883427187906082E-3</v>
      </c>
      <c r="M185" s="51">
        <f t="shared" si="33"/>
        <v>2.0563317020994014</v>
      </c>
      <c r="N185" s="94">
        <f t="shared" si="29"/>
        <v>8.0869229663047211</v>
      </c>
      <c r="O185" s="56">
        <f t="shared" si="30"/>
        <v>112.65315504186368</v>
      </c>
      <c r="P185" s="57">
        <f t="shared" si="31"/>
        <v>113.84965059436314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32"/>
        <v>0.88601478885270546</v>
      </c>
      <c r="K186" s="51">
        <f t="shared" si="27"/>
        <v>2.0538161139906372</v>
      </c>
      <c r="L186" s="55">
        <f t="shared" si="28"/>
        <v>4.5516580897589972E-3</v>
      </c>
      <c r="M186" s="51">
        <f t="shared" si="33"/>
        <v>2.0583677720803961</v>
      </c>
      <c r="N186" s="94">
        <f t="shared" si="29"/>
        <v>7.6915663161745877</v>
      </c>
      <c r="O186" s="56">
        <f t="shared" si="30"/>
        <v>113.19209914855539</v>
      </c>
      <c r="P186" s="57">
        <f t="shared" si="31"/>
        <v>114.38465643646826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32"/>
        <v>0.86309730551468711</v>
      </c>
      <c r="K187" s="51">
        <f t="shared" si="27"/>
        <v>2.0559982708437943</v>
      </c>
      <c r="L187" s="55">
        <f t="shared" si="28"/>
        <v>4.5223931321168327E-3</v>
      </c>
      <c r="M187" s="51">
        <f t="shared" si="33"/>
        <v>2.060520663975911</v>
      </c>
      <c r="N187" s="94">
        <f t="shared" si="29"/>
        <v>7.2962096660444402</v>
      </c>
      <c r="O187" s="56">
        <f t="shared" si="30"/>
        <v>113.76227563360746</v>
      </c>
      <c r="P187" s="57">
        <f t="shared" si="31"/>
        <v>114.95309374477073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32"/>
        <v>0.83890277728903595</v>
      </c>
      <c r="K188" s="51">
        <f t="shared" si="27"/>
        <v>2.058302025352865</v>
      </c>
      <c r="L188" s="55">
        <f t="shared" si="28"/>
        <v>4.5021126254433629E-3</v>
      </c>
      <c r="M188" s="51">
        <f t="shared" si="33"/>
        <v>2.0628041379783082</v>
      </c>
      <c r="N188" s="94">
        <f t="shared" si="29"/>
        <v>6.9008530159143007</v>
      </c>
      <c r="O188" s="56">
        <f t="shared" si="30"/>
        <v>114.36734134743486</v>
      </c>
      <c r="P188" s="57">
        <f t="shared" si="31"/>
        <v>115.55909658749046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32"/>
        <v>0.81328043859121957</v>
      </c>
      <c r="K189" s="51">
        <f t="shared" si="27"/>
        <v>2.0607417331147815</v>
      </c>
      <c r="L189" s="55">
        <f t="shared" si="28"/>
        <v>4.4926812444960329E-3</v>
      </c>
      <c r="M189" s="51">
        <f t="shared" si="33"/>
        <v>2.0652344143592773</v>
      </c>
      <c r="N189" s="94">
        <f t="shared" si="29"/>
        <v>6.5054963657841611</v>
      </c>
      <c r="O189" s="56">
        <f t="shared" si="30"/>
        <v>115.01162327137307</v>
      </c>
      <c r="P189" s="57">
        <f t="shared" si="31"/>
        <v>116.20756854119918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32"/>
        <v>0.78605114101895968</v>
      </c>
      <c r="K190" s="51">
        <f t="shared" si="27"/>
        <v>2.0633344522815231</v>
      </c>
      <c r="L190" s="55">
        <f t="shared" si="28"/>
        <v>4.4963219726478262E-3</v>
      </c>
      <c r="M190" s="51">
        <f t="shared" si="33"/>
        <v>2.0678307742541708</v>
      </c>
      <c r="N190" s="94">
        <f t="shared" si="29"/>
        <v>6.1101397156540225</v>
      </c>
      <c r="O190" s="56">
        <f t="shared" si="30"/>
        <v>115.70029127336244</v>
      </c>
      <c r="P190" s="57">
        <f t="shared" si="31"/>
        <v>116.90437765426361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32"/>
        <v>0.75699974912603862</v>
      </c>
      <c r="K191" s="51">
        <f t="shared" si="27"/>
        <v>2.0661006676193012</v>
      </c>
      <c r="L191" s="55">
        <f t="shared" si="28"/>
        <v>4.5156878661695215E-3</v>
      </c>
      <c r="M191" s="51">
        <f t="shared" si="33"/>
        <v>2.0706163554854706</v>
      </c>
      <c r="N191" s="94">
        <f t="shared" si="29"/>
        <v>5.7147830655238829</v>
      </c>
      <c r="O191" s="56">
        <f t="shared" si="30"/>
        <v>116.4395900163931</v>
      </c>
      <c r="P191" s="57">
        <f t="shared" si="31"/>
        <v>117.65661661935664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32"/>
        <v>0.72586480559219446</v>
      </c>
      <c r="K192" s="51">
        <f t="shared" si="27"/>
        <v>2.0690652745703764</v>
      </c>
      <c r="L192" s="55">
        <f t="shared" si="28"/>
        <v>4.5539526141008544E-3</v>
      </c>
      <c r="M192" s="51">
        <f t="shared" si="33"/>
        <v>2.0736192271844773</v>
      </c>
      <c r="N192" s="94">
        <f t="shared" si="29"/>
        <v>5.3194264153937434</v>
      </c>
      <c r="O192" s="56">
        <f t="shared" si="30"/>
        <v>117.2371560048494</v>
      </c>
      <c r="P192" s="57">
        <f t="shared" si="31"/>
        <v>118.47295670383845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32"/>
        <v>0.69232419747909413</v>
      </c>
      <c r="K193" s="51">
        <f t="shared" si="27"/>
        <v>2.0722589440834529</v>
      </c>
      <c r="L193" s="55">
        <f t="shared" si="28"/>
        <v>4.6149291850714202E-3</v>
      </c>
      <c r="M193" s="51">
        <f t="shared" si="33"/>
        <v>2.0768738732685241</v>
      </c>
      <c r="N193" s="94">
        <f t="shared" si="29"/>
        <v>4.9240697652636038</v>
      </c>
      <c r="O193" s="56">
        <f t="shared" si="30"/>
        <v>118.10246008013389</v>
      </c>
      <c r="P193" s="57">
        <f t="shared" si="31"/>
        <v>119.36413997330696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32"/>
        <v>0.65597480987246093</v>
      </c>
      <c r="K194" s="51">
        <f t="shared" ref="K194:K204" si="34">+$I$14+$I$13*J194</f>
        <v>2.0757200599531127</v>
      </c>
      <c r="L194" s="55">
        <f t="shared" ref="L194:L204" si="35">SQRT(2*$I$20*$I$17)*SQRT((1/$I$2)+((J194-$I$11)^2/$I$8))</f>
        <v>4.7032326981442021E-3</v>
      </c>
      <c r="M194" s="51">
        <f t="shared" si="33"/>
        <v>2.0804232926512567</v>
      </c>
      <c r="N194" s="94">
        <f t="shared" si="29"/>
        <v>4.5287131151334643</v>
      </c>
      <c r="O194" s="56">
        <f t="shared" si="30"/>
        <v>119.04743977916773</v>
      </c>
      <c r="P194" s="57">
        <f t="shared" si="31"/>
        <v>120.34368137534291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32"/>
        <v>0.61630286090915021</v>
      </c>
      <c r="K195" s="51">
        <f t="shared" si="34"/>
        <v>2.0794975434591128</v>
      </c>
      <c r="L195" s="55">
        <f t="shared" si="35"/>
        <v>4.8245158438550073E-3</v>
      </c>
      <c r="M195" s="51">
        <f t="shared" si="33"/>
        <v>2.0843220593029677</v>
      </c>
      <c r="N195" s="94">
        <f t="shared" si="29"/>
        <v>4.1333564650033168</v>
      </c>
      <c r="O195" s="56">
        <f t="shared" si="30"/>
        <v>120.08742803768742</v>
      </c>
      <c r="P195" s="57">
        <f t="shared" si="31"/>
        <v>121.4288995679468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32"/>
        <v>0.57263927553410365</v>
      </c>
      <c r="K196" s="51">
        <f t="shared" si="34"/>
        <v>2.083655102587846</v>
      </c>
      <c r="L196" s="55">
        <f t="shared" si="35"/>
        <v>4.9858272108502816E-3</v>
      </c>
      <c r="M196" s="51">
        <f t="shared" si="33"/>
        <v>2.0886409297986965</v>
      </c>
      <c r="N196" s="94">
        <f t="shared" si="29"/>
        <v>3.7379998148731852</v>
      </c>
      <c r="O196" s="56">
        <f t="shared" si="30"/>
        <v>121.24256133967648</v>
      </c>
      <c r="P196" s="57">
        <f t="shared" si="31"/>
        <v>122.64248164650675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32"/>
        <v>0.52409001707879477</v>
      </c>
      <c r="K197" s="51">
        <f t="shared" si="34"/>
        <v>2.0882778657198782</v>
      </c>
      <c r="L197" s="55">
        <f t="shared" si="35"/>
        <v>5.1961840763329646E-3</v>
      </c>
      <c r="M197" s="51">
        <f t="shared" si="33"/>
        <v>2.0934740497962112</v>
      </c>
      <c r="N197" s="94">
        <f t="shared" si="29"/>
        <v>3.3426431647430457</v>
      </c>
      <c r="O197" s="56">
        <f t="shared" si="30"/>
        <v>122.53999710052044</v>
      </c>
      <c r="P197" s="57">
        <f t="shared" si="31"/>
        <v>124.01495208057185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32"/>
        <v>0.46942235697886275</v>
      </c>
      <c r="K198" s="51">
        <f t="shared" si="34"/>
        <v>2.0934832107995991</v>
      </c>
      <c r="L198" s="55">
        <f t="shared" si="35"/>
        <v>5.4675327040393752E-3</v>
      </c>
      <c r="M198" s="51">
        <f t="shared" si="33"/>
        <v>2.0989507435036385</v>
      </c>
      <c r="N198" s="94">
        <f t="shared" si="29"/>
        <v>2.9472865146128981</v>
      </c>
      <c r="O198" s="56">
        <f t="shared" si="30"/>
        <v>124.01756807830155</v>
      </c>
      <c r="P198" s="57">
        <f t="shared" si="31"/>
        <v>125.58875162781622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32"/>
        <v>0.40686873435685073</v>
      </c>
      <c r="K199" s="51">
        <f t="shared" si="34"/>
        <v>2.0994394414328288</v>
      </c>
      <c r="L199" s="55">
        <f t="shared" si="35"/>
        <v>5.816443113165262E-3</v>
      </c>
      <c r="M199" s="51">
        <f t="shared" si="33"/>
        <v>2.1052558845459939</v>
      </c>
      <c r="N199" s="94">
        <f t="shared" si="29"/>
        <v>2.551929864482759</v>
      </c>
      <c r="O199" s="56">
        <f t="shared" si="30"/>
        <v>125.73015224427199</v>
      </c>
      <c r="P199" s="57">
        <f t="shared" si="31"/>
        <v>127.42536449559178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32"/>
        <v>0.33376420676650476</v>
      </c>
      <c r="K200" s="51">
        <f t="shared" si="34"/>
        <v>2.1064003081006559</v>
      </c>
      <c r="L200" s="55">
        <f t="shared" si="35"/>
        <v>6.2672936872921609E-3</v>
      </c>
      <c r="M200" s="51">
        <f t="shared" si="33"/>
        <v>2.112667601787948</v>
      </c>
      <c r="N200" s="94">
        <f t="shared" si="29"/>
        <v>2.1565732143526266</v>
      </c>
      <c r="O200" s="56">
        <f t="shared" si="30"/>
        <v>127.76159003469387</v>
      </c>
      <c r="P200" s="57">
        <f t="shared" si="31"/>
        <v>129.61868220278308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32"/>
        <v>0.24581276134153721</v>
      </c>
      <c r="K201" s="51">
        <f t="shared" si="34"/>
        <v>2.1147748685420633</v>
      </c>
      <c r="L201" s="55">
        <f t="shared" si="35"/>
        <v>6.8587804319542303E-3</v>
      </c>
      <c r="M201" s="51">
        <f t="shared" si="33"/>
        <v>2.1216336489740177</v>
      </c>
      <c r="N201" s="94">
        <f t="shared" si="29"/>
        <v>1.7612165642224797</v>
      </c>
      <c r="O201" s="56">
        <f t="shared" si="30"/>
        <v>130.24914122679834</v>
      </c>
      <c r="P201" s="57">
        <f t="shared" si="31"/>
        <v>132.32248521083659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32"/>
        <v>0.13540615933346656</v>
      </c>
      <c r="K202" s="51">
        <f t="shared" si="34"/>
        <v>2.1252875640091977</v>
      </c>
      <c r="L202" s="55">
        <f t="shared" si="35"/>
        <v>7.6589133308521979E-3</v>
      </c>
      <c r="M202" s="51">
        <f t="shared" si="33"/>
        <v>2.1329464773400497</v>
      </c>
      <c r="N202" s="94">
        <f t="shared" si="29"/>
        <v>1.36585991409234</v>
      </c>
      <c r="O202" s="56">
        <f t="shared" si="30"/>
        <v>133.44047032382267</v>
      </c>
      <c r="P202" s="57">
        <f t="shared" si="31"/>
        <v>135.8146057702204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32"/>
        <v>-1.3002999669344175E-2</v>
      </c>
      <c r="K203" s="51">
        <f t="shared" si="34"/>
        <v>2.1394187868233558</v>
      </c>
      <c r="L203" s="55">
        <f t="shared" si="35"/>
        <v>8.8064234681036677E-3</v>
      </c>
      <c r="M203" s="51">
        <f t="shared" si="33"/>
        <v>2.1482252102914594</v>
      </c>
      <c r="N203" s="94">
        <f t="shared" si="29"/>
        <v>0.97050326396220032</v>
      </c>
      <c r="O203" s="56">
        <f t="shared" si="30"/>
        <v>137.85381418872177</v>
      </c>
      <c r="P203" s="57">
        <f t="shared" si="31"/>
        <v>140.67768414565197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32"/>
        <v>-0.24022143276801905</v>
      </c>
      <c r="K204" s="51">
        <f t="shared" si="34"/>
        <v>2.1610540708393535</v>
      </c>
      <c r="L204" s="55">
        <f t="shared" si="35"/>
        <v>1.0666217832446513E-2</v>
      </c>
      <c r="M204" s="51">
        <f t="shared" si="33"/>
        <v>2.1717202886717999</v>
      </c>
      <c r="N204" s="97">
        <f t="shared" si="29"/>
        <v>0.57514661383206078</v>
      </c>
      <c r="O204" s="91">
        <f t="shared" si="30"/>
        <v>144.89522407938779</v>
      </c>
      <c r="P204" s="92">
        <f t="shared" si="31"/>
        <v>148.49789199890225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2" zoomScaleNormal="100" workbookViewId="0">
      <selection activeCell="B5" sqref="B5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G27 105L'!P7</f>
        <v>60977.214391678397</v>
      </c>
      <c r="B2" s="48">
        <f>'New Vestas G27 105L'!T7</f>
        <v>96.398686048416309</v>
      </c>
      <c r="C2" s="50">
        <f t="shared" ref="C2:D44" si="0">IF(ISNA(A2),"",LOG10(A2))</f>
        <v>4.7851675807057257</v>
      </c>
      <c r="D2" s="50">
        <f t="shared" si="0"/>
        <v>1.9840711143404728</v>
      </c>
      <c r="E2" s="51">
        <f>IF(C2="","",C2^2)</f>
        <v>22.897828775437088</v>
      </c>
      <c r="F2" s="51">
        <f>IF(D2="","",D2^2)</f>
        <v>3.9365381867602456</v>
      </c>
      <c r="G2" s="52">
        <f>IF(OR(C2="",D2=""),"",C2*D2)</f>
        <v>9.4941127741567133</v>
      </c>
      <c r="H2" s="53" t="s">
        <v>57</v>
      </c>
      <c r="I2" s="54">
        <f>COUNT(C:C)</f>
        <v>43</v>
      </c>
      <c r="J2" s="51">
        <f t="shared" ref="J2:J65" si="1">LOG($I$24+($I$25-$I$24)*(ROW()-2)/100)</f>
        <v>4.8991109330125626</v>
      </c>
      <c r="K2" s="51">
        <f t="shared" ref="K2:K65" si="2">+$I$14+$I$13*J2</f>
        <v>1.9853517199675579</v>
      </c>
      <c r="L2" s="55">
        <f t="shared" ref="L2:L65" si="3">SQRT(2*$I$20*$I$17)*SQRT((1/$I$2)+((J2-$I$11)^2/$I$8))</f>
        <v>9.2414960959647137E-3</v>
      </c>
      <c r="M2" s="51">
        <f t="shared" ref="M2:M65" si="4">+$I$14+$I$13*J2-L2</f>
        <v>1.9761102238715931</v>
      </c>
      <c r="N2" s="94">
        <f>10^$J2</f>
        <v>79270.378709181925</v>
      </c>
      <c r="O2" s="56">
        <f>10^K2</f>
        <v>96.683356682692278</v>
      </c>
      <c r="P2" s="57">
        <f t="shared" ref="P2:P65" si="5">10^M2</f>
        <v>94.647734668758702</v>
      </c>
      <c r="R2" s="47"/>
      <c r="S2" s="47"/>
      <c r="T2" s="47"/>
    </row>
    <row r="3" spans="1:20" ht="12.75" customHeight="1" x14ac:dyDescent="0.35">
      <c r="A3" s="49">
        <f>'New Vestas G27 105L'!P8</f>
        <v>67074.935830846225</v>
      </c>
      <c r="B3" s="48">
        <f>'New Vestas G27 105L'!T8</f>
        <v>93.377574558440898</v>
      </c>
      <c r="C3" s="50">
        <f t="shared" si="0"/>
        <v>4.826560265863951</v>
      </c>
      <c r="D3" s="50">
        <f t="shared" si="0"/>
        <v>1.9702425891325317</v>
      </c>
      <c r="E3" s="51">
        <f t="shared" ref="E3:F44" si="6">IF(C3="","",C3^2)</f>
        <v>23.295684000016692</v>
      </c>
      <c r="F3" s="51">
        <f t="shared" si="6"/>
        <v>3.8818558600316622</v>
      </c>
      <c r="G3" s="52">
        <f t="shared" ref="G3:G44" si="7">IF(OR(C3="",D3=""),"",C3*D3)</f>
        <v>9.5094945948199907</v>
      </c>
      <c r="H3" s="53" t="s">
        <v>58</v>
      </c>
      <c r="I3" s="58">
        <f>SUM(C:C)</f>
        <v>178.99134342319101</v>
      </c>
      <c r="J3" s="51">
        <f t="shared" si="1"/>
        <v>4.8948090253130232</v>
      </c>
      <c r="K3" s="51">
        <f t="shared" si="2"/>
        <v>1.985756120207355</v>
      </c>
      <c r="L3" s="55">
        <f t="shared" si="3"/>
        <v>9.2044649034731165E-3</v>
      </c>
      <c r="M3" s="51">
        <f t="shared" si="4"/>
        <v>1.976551655303882</v>
      </c>
      <c r="N3" s="94">
        <f t="shared" ref="N3:N66" si="8">10^$J3</f>
        <v>78489.041455960294</v>
      </c>
      <c r="O3" s="56">
        <f t="shared" ref="O3:O66" si="9">10^K3</f>
        <v>96.773426862331959</v>
      </c>
      <c r="P3" s="57">
        <f t="shared" si="5"/>
        <v>94.74398669948107</v>
      </c>
      <c r="R3" s="47"/>
      <c r="S3" s="47"/>
      <c r="T3" s="47"/>
    </row>
    <row r="4" spans="1:20" ht="12.75" customHeight="1" x14ac:dyDescent="0.35">
      <c r="A4" s="49">
        <f>'New Vestas G27 105L'!P9</f>
        <v>67074.935830846225</v>
      </c>
      <c r="B4" s="48">
        <f>'New Vestas G27 105L'!T9</f>
        <v>98.202523299837239</v>
      </c>
      <c r="C4" s="50">
        <f t="shared" si="0"/>
        <v>4.826560265863951</v>
      </c>
      <c r="D4" s="50">
        <f t="shared" si="0"/>
        <v>1.9921226470651214</v>
      </c>
      <c r="E4" s="51">
        <f t="shared" si="6"/>
        <v>23.295684000016692</v>
      </c>
      <c r="F4" s="51">
        <f t="shared" si="6"/>
        <v>3.9685526409497465</v>
      </c>
      <c r="G4" s="52">
        <f t="shared" si="7"/>
        <v>9.6151000130522313</v>
      </c>
      <c r="H4" s="59" t="s">
        <v>59</v>
      </c>
      <c r="I4" s="58">
        <f>SUM(D:D)</f>
        <v>88.347298050891951</v>
      </c>
      <c r="J4" s="51">
        <f t="shared" si="1"/>
        <v>4.8904640783487894</v>
      </c>
      <c r="K4" s="51">
        <f t="shared" si="2"/>
        <v>1.9861645663472918</v>
      </c>
      <c r="L4" s="55">
        <f t="shared" si="3"/>
        <v>9.1671329180840824E-3</v>
      </c>
      <c r="M4" s="51">
        <f t="shared" si="4"/>
        <v>1.9769974334292078</v>
      </c>
      <c r="N4" s="94">
        <f t="shared" si="8"/>
        <v>77707.704202738794</v>
      </c>
      <c r="O4" s="56">
        <f t="shared" si="9"/>
        <v>96.864483339484352</v>
      </c>
      <c r="P4" s="57">
        <f t="shared" si="5"/>
        <v>94.841285840367831</v>
      </c>
      <c r="R4" s="47"/>
      <c r="S4" s="47"/>
      <c r="T4" s="47"/>
    </row>
    <row r="5" spans="1:20" ht="12.75" customHeight="1" x14ac:dyDescent="0.35">
      <c r="A5" s="49">
        <f>'New Vestas G27 105L'!P10</f>
        <v>76221.517989597996</v>
      </c>
      <c r="B5" s="48">
        <f>'New Vestas G27 105L'!T10</f>
        <v>96.892645099435484</v>
      </c>
      <c r="C5" s="50">
        <f t="shared" si="0"/>
        <v>4.8820775937137828</v>
      </c>
      <c r="D5" s="50">
        <f t="shared" si="0"/>
        <v>1.9862908119944289</v>
      </c>
      <c r="E5" s="51">
        <f t="shared" si="6"/>
        <v>23.834681631042159</v>
      </c>
      <c r="F5" s="51">
        <f t="shared" si="6"/>
        <v>3.9453511898134876</v>
      </c>
      <c r="G5" s="52">
        <f t="shared" si="7"/>
        <v>9.6972258678375578</v>
      </c>
      <c r="H5" s="59" t="s">
        <v>60</v>
      </c>
      <c r="I5" s="58">
        <f>SUM(E:E)</f>
        <v>755.71111158222106</v>
      </c>
      <c r="J5" s="51">
        <f t="shared" si="1"/>
        <v>4.8860752222202137</v>
      </c>
      <c r="K5" s="51">
        <f t="shared" si="2"/>
        <v>1.9865771401621648</v>
      </c>
      <c r="L5" s="55">
        <f t="shared" si="3"/>
        <v>9.1294956404368993E-3</v>
      </c>
      <c r="M5" s="51">
        <f t="shared" si="4"/>
        <v>1.9774476445217279</v>
      </c>
      <c r="N5" s="94">
        <f t="shared" si="8"/>
        <v>76926.366949517076</v>
      </c>
      <c r="O5" s="56">
        <f t="shared" si="9"/>
        <v>96.956546995835353</v>
      </c>
      <c r="P5" s="57">
        <f t="shared" si="5"/>
        <v>94.939653975541887</v>
      </c>
      <c r="R5" s="47"/>
      <c r="S5" s="47"/>
      <c r="T5" s="47"/>
    </row>
    <row r="6" spans="1:20" ht="12.75" customHeight="1" x14ac:dyDescent="0.35">
      <c r="A6" s="49">
        <f>'New Vestas G27 105L'!P11</f>
        <v>79270.37870918191</v>
      </c>
      <c r="B6" s="48">
        <f>'New Vestas G27 105L'!T11</f>
        <v>91.075244856474768</v>
      </c>
      <c r="C6" s="50">
        <f t="shared" si="0"/>
        <v>4.8991109330125626</v>
      </c>
      <c r="D6" s="50">
        <f t="shared" si="0"/>
        <v>1.9594003475194754</v>
      </c>
      <c r="E6" s="51">
        <f t="shared" si="6"/>
        <v>24.001287933963223</v>
      </c>
      <c r="F6" s="51">
        <f t="shared" si="6"/>
        <v>3.8392497218594412</v>
      </c>
      <c r="G6" s="52">
        <f t="shared" si="7"/>
        <v>9.5993196646812766</v>
      </c>
      <c r="H6" s="59" t="s">
        <v>61</v>
      </c>
      <c r="I6" s="58">
        <f>SUM(F:F)</f>
        <v>181.61869708547337</v>
      </c>
      <c r="J6" s="51">
        <f t="shared" si="1"/>
        <v>4.8816415603848604</v>
      </c>
      <c r="K6" s="51">
        <f t="shared" si="2"/>
        <v>1.9869939259313221</v>
      </c>
      <c r="L6" s="55">
        <f t="shared" si="3"/>
        <v>9.0915484878792661E-3</v>
      </c>
      <c r="M6" s="51">
        <f t="shared" si="4"/>
        <v>1.9779023774434428</v>
      </c>
      <c r="N6" s="94">
        <f t="shared" si="8"/>
        <v>76145.029696295489</v>
      </c>
      <c r="O6" s="56">
        <f t="shared" si="9"/>
        <v>97.049639372978632</v>
      </c>
      <c r="P6" s="57">
        <f t="shared" si="5"/>
        <v>95.039113669116119</v>
      </c>
      <c r="R6" s="47"/>
      <c r="S6" s="47"/>
      <c r="T6" s="47"/>
    </row>
    <row r="7" spans="1:20" ht="12.75" customHeight="1" x14ac:dyDescent="0.35">
      <c r="A7" s="49">
        <f>'New Vestas G27 105L'!P12</f>
        <v>54879.492952510554</v>
      </c>
      <c r="B7" s="48">
        <f>'New Vestas G27 105L'!T12</f>
        <v>98.226747141076572</v>
      </c>
      <c r="C7" s="50">
        <f t="shared" si="0"/>
        <v>4.7394100901450509</v>
      </c>
      <c r="D7" s="50">
        <f t="shared" si="0"/>
        <v>1.9922297622685781</v>
      </c>
      <c r="E7" s="51">
        <f t="shared" si="6"/>
        <v>22.462008002568719</v>
      </c>
      <c r="F7" s="51">
        <f t="shared" si="6"/>
        <v>3.968979425668715</v>
      </c>
      <c r="G7" s="52">
        <f t="shared" si="7"/>
        <v>9.4419938371829755</v>
      </c>
      <c r="H7" s="59" t="s">
        <v>62</v>
      </c>
      <c r="I7" s="58">
        <f>SUM(G:G)</f>
        <v>366.75297031632692</v>
      </c>
      <c r="J7" s="51">
        <f t="shared" si="1"/>
        <v>4.8771621685582645</v>
      </c>
      <c r="K7" s="51">
        <f t="shared" si="2"/>
        <v>1.987415010541997</v>
      </c>
      <c r="L7" s="55">
        <f t="shared" si="3"/>
        <v>9.0532867935309482E-3</v>
      </c>
      <c r="M7" s="51">
        <f t="shared" si="4"/>
        <v>1.9783617237484661</v>
      </c>
      <c r="N7" s="94">
        <f t="shared" si="8"/>
        <v>75363.692443073902</v>
      </c>
      <c r="O7" s="56">
        <f t="shared" si="9"/>
        <v>97.143782700295219</v>
      </c>
      <c r="P7" s="57">
        <f t="shared" si="5"/>
        <v>95.13968819334508</v>
      </c>
      <c r="R7" s="47"/>
      <c r="S7" s="47"/>
      <c r="T7" s="47"/>
    </row>
    <row r="8" spans="1:20" ht="12.75" customHeight="1" x14ac:dyDescent="0.35">
      <c r="A8" s="49">
        <f>'New Vestas G27 105L'!P13</f>
        <v>57928.353672094476</v>
      </c>
      <c r="B8" s="48">
        <f>'New Vestas G27 105L'!T13</f>
        <v>96.129287571603214</v>
      </c>
      <c r="C8" s="50">
        <f t="shared" si="0"/>
        <v>4.7628911859945733</v>
      </c>
      <c r="D8" s="50">
        <f t="shared" si="0"/>
        <v>1.9828557237032332</v>
      </c>
      <c r="E8" s="51">
        <f t="shared" si="6"/>
        <v>22.685132449624792</v>
      </c>
      <c r="F8" s="51">
        <f t="shared" si="6"/>
        <v>3.9317168210226723</v>
      </c>
      <c r="G8" s="52">
        <f t="shared" si="7"/>
        <v>9.4441260495250194</v>
      </c>
      <c r="H8" s="53" t="s">
        <v>63</v>
      </c>
      <c r="I8" s="58">
        <f>+I5-I3^2/$I$2</f>
        <v>10.643645990623327</v>
      </c>
      <c r="J8" s="51">
        <f t="shared" si="1"/>
        <v>4.8726360935574222</v>
      </c>
      <c r="K8" s="51">
        <f t="shared" si="2"/>
        <v>1.9878404835980266</v>
      </c>
      <c r="L8" s="55">
        <f t="shared" si="3"/>
        <v>9.0147058054410832E-3</v>
      </c>
      <c r="M8" s="51">
        <f t="shared" si="4"/>
        <v>1.9788257777925855</v>
      </c>
      <c r="N8" s="94">
        <f t="shared" si="8"/>
        <v>74582.355189852184</v>
      </c>
      <c r="O8" s="56">
        <f t="shared" si="9"/>
        <v>97.238999924315095</v>
      </c>
      <c r="P8" s="57">
        <f t="shared" si="5"/>
        <v>95.241401558237641</v>
      </c>
      <c r="R8" s="47"/>
      <c r="S8" s="47"/>
      <c r="T8" s="47"/>
    </row>
    <row r="9" spans="1:20" ht="12.75" customHeight="1" x14ac:dyDescent="0.35">
      <c r="A9" s="49">
        <f>'New Vestas G27 105L'!P14</f>
        <v>76221.517989597996</v>
      </c>
      <c r="B9" s="48">
        <f>'New Vestas G27 105L'!T14</f>
        <v>95.109421909382206</v>
      </c>
      <c r="C9" s="50">
        <f t="shared" si="0"/>
        <v>4.8820775937137828</v>
      </c>
      <c r="D9" s="50">
        <f t="shared" si="0"/>
        <v>1.9782235419696752</v>
      </c>
      <c r="E9" s="51">
        <f t="shared" si="6"/>
        <v>23.834681631042159</v>
      </c>
      <c r="F9" s="51">
        <f t="shared" si="6"/>
        <v>3.9133683820030472</v>
      </c>
      <c r="G9" s="52">
        <f t="shared" si="7"/>
        <v>9.6578408296072684</v>
      </c>
      <c r="H9" s="59" t="s">
        <v>64</v>
      </c>
      <c r="I9" s="58">
        <f>+I6-I4^2/$I$2</f>
        <v>0.10136980888881908</v>
      </c>
      <c r="J9" s="51">
        <f t="shared" si="1"/>
        <v>4.8680623520833768</v>
      </c>
      <c r="K9" s="51">
        <f t="shared" si="2"/>
        <v>1.9882704375342934</v>
      </c>
      <c r="L9" s="55">
        <f t="shared" si="3"/>
        <v>8.9758006858546482E-3</v>
      </c>
      <c r="M9" s="51">
        <f t="shared" si="4"/>
        <v>1.9792946368484388</v>
      </c>
      <c r="N9" s="94">
        <f t="shared" si="8"/>
        <v>73801.017936630684</v>
      </c>
      <c r="O9" s="56">
        <f t="shared" si="9"/>
        <v>97.335314739652759</v>
      </c>
      <c r="P9" s="57">
        <f t="shared" si="5"/>
        <v>95.34427854272144</v>
      </c>
      <c r="R9" s="47"/>
      <c r="S9" s="47"/>
      <c r="T9" s="47"/>
    </row>
    <row r="10" spans="1:20" ht="12.75" customHeight="1" x14ac:dyDescent="0.35">
      <c r="A10" s="49">
        <f>'New Vestas G27 105L'!P15</f>
        <v>7591.6631917639588</v>
      </c>
      <c r="B10" s="48">
        <f>'New Vestas G27 105L'!T15</f>
        <v>119.13563169228982</v>
      </c>
      <c r="C10" s="50">
        <f t="shared" si="0"/>
        <v>3.8803369321374812</v>
      </c>
      <c r="D10" s="50">
        <f t="shared" si="0"/>
        <v>2.07604167191933</v>
      </c>
      <c r="E10" s="51">
        <f t="shared" si="6"/>
        <v>15.05701470691012</v>
      </c>
      <c r="F10" s="51">
        <f t="shared" si="6"/>
        <v>4.3099490235456068</v>
      </c>
      <c r="G10" s="52">
        <f t="shared" si="7"/>
        <v>8.0557411722050194</v>
      </c>
      <c r="H10" s="59" t="s">
        <v>65</v>
      </c>
      <c r="I10" s="58">
        <f>+I7-I3*I4/$I$2</f>
        <v>-1.0005544729339135</v>
      </c>
      <c r="J10" s="51">
        <f t="shared" si="1"/>
        <v>4.8634399294390072</v>
      </c>
      <c r="K10" s="51">
        <f t="shared" si="2"/>
        <v>1.9887049677372606</v>
      </c>
      <c r="L10" s="55">
        <f t="shared" si="3"/>
        <v>8.9365665106055162E-3</v>
      </c>
      <c r="M10" s="51">
        <f t="shared" si="4"/>
        <v>1.979768401226655</v>
      </c>
      <c r="N10" s="94">
        <f t="shared" si="8"/>
        <v>73019.680683409009</v>
      </c>
      <c r="O10" s="56">
        <f t="shared" si="9"/>
        <v>97.432751621623055</v>
      </c>
      <c r="P10" s="57">
        <f t="shared" si="5"/>
        <v>95.44834472745832</v>
      </c>
      <c r="R10" s="47"/>
      <c r="S10" s="47"/>
      <c r="T10" s="47"/>
    </row>
    <row r="11" spans="1:20" ht="12.75" customHeight="1" x14ac:dyDescent="0.35">
      <c r="A11" s="49">
        <f>'New Vestas G27 105L'!P16</f>
        <v>9489.578989704949</v>
      </c>
      <c r="B11" s="48">
        <f>'New Vestas G27 105L'!T16</f>
        <v>114.99363409754525</v>
      </c>
      <c r="C11" s="50">
        <f t="shared" si="0"/>
        <v>3.9772469451455374</v>
      </c>
      <c r="D11" s="50">
        <f t="shared" si="0"/>
        <v>2.060673799024642</v>
      </c>
      <c r="E11" s="51">
        <f t="shared" si="6"/>
        <v>15.818493262669509</v>
      </c>
      <c r="F11" s="51">
        <f t="shared" si="6"/>
        <v>4.2463765059866505</v>
      </c>
      <c r="G11" s="52">
        <f t="shared" si="7"/>
        <v>8.195808572112206</v>
      </c>
      <c r="H11" s="59" t="s">
        <v>66</v>
      </c>
      <c r="I11" s="58">
        <f>+I3/$I$2</f>
        <v>4.1625893819346746</v>
      </c>
      <c r="J11" s="51">
        <f t="shared" si="1"/>
        <v>4.8587677781778531</v>
      </c>
      <c r="K11" s="51">
        <f t="shared" si="2"/>
        <v>1.9891441726719878</v>
      </c>
      <c r="L11" s="55">
        <f t="shared" si="3"/>
        <v>8.8969982686558421E-3</v>
      </c>
      <c r="M11" s="51">
        <f t="shared" si="4"/>
        <v>1.9802471744033321</v>
      </c>
      <c r="N11" s="94">
        <f t="shared" si="8"/>
        <v>72238.343430187349</v>
      </c>
      <c r="O11" s="56">
        <f t="shared" si="9"/>
        <v>97.531335860643836</v>
      </c>
      <c r="P11" s="57">
        <f t="shared" si="5"/>
        <v>95.553626529414515</v>
      </c>
      <c r="R11" s="47"/>
      <c r="S11" s="47"/>
      <c r="T11" s="47"/>
    </row>
    <row r="12" spans="1:20" ht="12.75" customHeight="1" x14ac:dyDescent="0.35">
      <c r="A12" s="49">
        <f>'New Vestas G27 105L'!P17</f>
        <v>13285.410585586927</v>
      </c>
      <c r="B12" s="48">
        <f>'New Vestas G27 105L'!T17</f>
        <v>113.98806242714483</v>
      </c>
      <c r="C12" s="50">
        <f t="shared" si="0"/>
        <v>4.1233749808237752</v>
      </c>
      <c r="D12" s="50">
        <f t="shared" si="0"/>
        <v>2.0568593715690859</v>
      </c>
      <c r="E12" s="51">
        <f t="shared" si="6"/>
        <v>17.002221232483468</v>
      </c>
      <c r="F12" s="51">
        <f t="shared" si="6"/>
        <v>4.2306704744115748</v>
      </c>
      <c r="G12" s="52">
        <f t="shared" si="7"/>
        <v>8.4812024718008825</v>
      </c>
      <c r="H12" s="59" t="s">
        <v>67</v>
      </c>
      <c r="I12" s="58">
        <f>+I4/$I$2</f>
        <v>2.0545883267649292</v>
      </c>
      <c r="J12" s="51">
        <f t="shared" si="1"/>
        <v>4.8540448166794583</v>
      </c>
      <c r="K12" s="51">
        <f t="shared" si="2"/>
        <v>1.9895881540160569</v>
      </c>
      <c r="L12" s="55">
        <f t="shared" si="3"/>
        <v>8.8570908618037167E-3</v>
      </c>
      <c r="M12" s="51">
        <f t="shared" si="4"/>
        <v>1.9807310631542532</v>
      </c>
      <c r="N12" s="94">
        <f t="shared" si="8"/>
        <v>71457.006176965777</v>
      </c>
      <c r="O12" s="56">
        <f t="shared" si="9"/>
        <v>97.631093598546698</v>
      </c>
      <c r="P12" s="57">
        <f t="shared" si="5"/>
        <v>95.660151238300301</v>
      </c>
      <c r="R12" s="47"/>
      <c r="S12" s="47"/>
      <c r="T12" s="47"/>
    </row>
    <row r="13" spans="1:20" ht="12.75" customHeight="1" x14ac:dyDescent="0.35">
      <c r="A13" s="49">
        <f>'New Vestas G27 105L'!P18</f>
        <v>18979.157979409898</v>
      </c>
      <c r="B13" s="48">
        <f>'New Vestas G27 105L'!T18</f>
        <v>111.52201761640093</v>
      </c>
      <c r="C13" s="50">
        <f t="shared" si="0"/>
        <v>4.2782769408095183</v>
      </c>
      <c r="D13" s="50">
        <f t="shared" si="0"/>
        <v>2.0473606179252322</v>
      </c>
      <c r="E13" s="51">
        <f t="shared" si="6"/>
        <v>18.303653582262449</v>
      </c>
      <c r="F13" s="51">
        <f t="shared" si="6"/>
        <v>4.1916854998311885</v>
      </c>
      <c r="G13" s="52">
        <f t="shared" si="7"/>
        <v>8.7591757211910473</v>
      </c>
      <c r="H13" s="59" t="s">
        <v>68</v>
      </c>
      <c r="I13" s="60">
        <f>+I10/I8</f>
        <v>-9.4004862038381057E-2</v>
      </c>
      <c r="J13" s="51">
        <f t="shared" si="1"/>
        <v>4.8492699276463975</v>
      </c>
      <c r="K13" s="51">
        <f t="shared" si="2"/>
        <v>1.9900370168008585</v>
      </c>
      <c r="L13" s="55">
        <f t="shared" si="3"/>
        <v>8.8168391045838936E-3</v>
      </c>
      <c r="M13" s="51">
        <f t="shared" si="4"/>
        <v>1.9812201776962746</v>
      </c>
      <c r="N13" s="94">
        <f t="shared" si="8"/>
        <v>70675.668923744146</v>
      </c>
      <c r="O13" s="56">
        <f t="shared" si="9"/>
        <v>97.732051866921182</v>
      </c>
      <c r="P13" s="57">
        <f t="shared" si="5"/>
        <v>95.767947055000235</v>
      </c>
      <c r="R13" s="47"/>
      <c r="S13" s="47"/>
      <c r="T13" s="47"/>
    </row>
    <row r="14" spans="1:20" ht="12.75" customHeight="1" x14ac:dyDescent="0.35">
      <c r="A14" s="49">
        <f>'New Vestas G27 105L'!P19</f>
        <v>20877.073777350884</v>
      </c>
      <c r="B14" s="48">
        <f>'New Vestas G27 105L'!T19</f>
        <v>109.94183356291457</v>
      </c>
      <c r="C14" s="50">
        <f t="shared" si="0"/>
        <v>4.3196696259677436</v>
      </c>
      <c r="D14" s="50">
        <f t="shared" si="0"/>
        <v>2.0411629756678757</v>
      </c>
      <c r="E14" s="51">
        <f t="shared" si="6"/>
        <v>18.659545677508305</v>
      </c>
      <c r="F14" s="51">
        <f t="shared" si="6"/>
        <v>4.1663462932373374</v>
      </c>
      <c r="G14" s="52">
        <f t="shared" si="7"/>
        <v>8.817149707642459</v>
      </c>
      <c r="H14" s="59" t="s">
        <v>69</v>
      </c>
      <c r="I14" s="60">
        <f>+I12-I13*I11</f>
        <v>2.4458919673361281</v>
      </c>
      <c r="J14" s="51">
        <f t="shared" si="1"/>
        <v>4.8444419565177537</v>
      </c>
      <c r="K14" s="51">
        <f t="shared" si="2"/>
        <v>1.990490869560732</v>
      </c>
      <c r="L14" s="55">
        <f t="shared" si="3"/>
        <v>8.7762377243893151E-3</v>
      </c>
      <c r="M14" s="51">
        <f t="shared" si="4"/>
        <v>1.9817146318363426</v>
      </c>
      <c r="N14" s="94">
        <f t="shared" si="8"/>
        <v>69894.331670522515</v>
      </c>
      <c r="O14" s="56">
        <f t="shared" si="9"/>
        <v>97.834238627633042</v>
      </c>
      <c r="P14" s="57">
        <f t="shared" si="5"/>
        <v>95.877043132125308</v>
      </c>
      <c r="R14" s="47"/>
      <c r="S14" s="47"/>
      <c r="T14" s="47"/>
    </row>
    <row r="15" spans="1:20" ht="12.75" customHeight="1" thickBot="1" x14ac:dyDescent="0.4">
      <c r="A15" s="49">
        <f>'New Vestas G27 105L'!P20</f>
        <v>30366.652767055835</v>
      </c>
      <c r="B15" s="48">
        <f>'New Vestas G27 105L'!T20</f>
        <v>109.0080884403999</v>
      </c>
      <c r="C15" s="50">
        <f t="shared" si="0"/>
        <v>4.4823969234654433</v>
      </c>
      <c r="D15" s="50">
        <f t="shared" si="0"/>
        <v>2.0374587239470956</v>
      </c>
      <c r="E15" s="51">
        <f t="shared" si="6"/>
        <v>20.091882179492472</v>
      </c>
      <c r="F15" s="51">
        <f t="shared" si="6"/>
        <v>4.1512380517881269</v>
      </c>
      <c r="G15" s="52">
        <f t="shared" si="7"/>
        <v>9.1326987159082886</v>
      </c>
      <c r="H15" s="61" t="s">
        <v>70</v>
      </c>
      <c r="I15" s="62">
        <f>+I10^2/(I8*I9)</f>
        <v>0.92785994391286586</v>
      </c>
      <c r="J15" s="51">
        <f t="shared" si="1"/>
        <v>4.8395597097934191</v>
      </c>
      <c r="K15" s="51">
        <f t="shared" si="2"/>
        <v>1.9909498244904902</v>
      </c>
      <c r="L15" s="55">
        <f t="shared" si="3"/>
        <v>8.7352813618447114E-3</v>
      </c>
      <c r="M15" s="51">
        <f t="shared" si="4"/>
        <v>1.9822145431286455</v>
      </c>
      <c r="N15" s="94">
        <f t="shared" si="8"/>
        <v>69112.994417300928</v>
      </c>
      <c r="O15" s="56">
        <f t="shared" si="9"/>
        <v>97.937682815662853</v>
      </c>
      <c r="P15" s="57">
        <f t="shared" si="5"/>
        <v>95.987469616828051</v>
      </c>
      <c r="R15" s="47"/>
      <c r="S15" s="47"/>
      <c r="T15" s="47"/>
    </row>
    <row r="16" spans="1:20" ht="12.75" customHeight="1" x14ac:dyDescent="0.35">
      <c r="A16" s="49">
        <f>'New Vestas G27 105L'!P21</f>
        <v>34162.484362937816</v>
      </c>
      <c r="B16" s="48">
        <f>'New Vestas G27 105L'!T21</f>
        <v>108.07434331788519</v>
      </c>
      <c r="C16" s="50">
        <f t="shared" si="0"/>
        <v>4.5335494459128247</v>
      </c>
      <c r="D16" s="50">
        <f t="shared" si="0"/>
        <v>2.0337226053504009</v>
      </c>
      <c r="E16" s="51">
        <f t="shared" si="6"/>
        <v>20.553070578536481</v>
      </c>
      <c r="F16" s="51">
        <f t="shared" si="6"/>
        <v>4.1360276355132228</v>
      </c>
      <c r="G16" s="52">
        <f t="shared" si="7"/>
        <v>9.219981990626696</v>
      </c>
      <c r="H16" s="63" t="s">
        <v>71</v>
      </c>
      <c r="I16" s="64"/>
      <c r="J16" s="51">
        <f t="shared" si="1"/>
        <v>4.8346219532631256</v>
      </c>
      <c r="K16" s="51">
        <f t="shared" si="2"/>
        <v>1.9914139976118996</v>
      </c>
      <c r="L16" s="55">
        <f t="shared" si="3"/>
        <v>8.6939645714671655E-3</v>
      </c>
      <c r="M16" s="51">
        <f t="shared" si="4"/>
        <v>1.9827200330404324</v>
      </c>
      <c r="N16" s="94">
        <f t="shared" si="8"/>
        <v>68331.65716407921</v>
      </c>
      <c r="O16" s="56">
        <f t="shared" si="9"/>
        <v>98.042414384428298</v>
      </c>
      <c r="P16" s="57">
        <f t="shared" si="5"/>
        <v>96.099257696033462</v>
      </c>
      <c r="R16" s="47"/>
      <c r="S16" s="47"/>
      <c r="T16" s="47"/>
    </row>
    <row r="17" spans="1:20" ht="12.75" customHeight="1" x14ac:dyDescent="0.35">
      <c r="A17" s="49">
        <f>'New Vestas G27 105L'!P22</f>
        <v>36060.400160878802</v>
      </c>
      <c r="B17" s="48">
        <f>'New Vestas G27 105L'!T22</f>
        <v>105.75195160291281</v>
      </c>
      <c r="C17" s="50">
        <f t="shared" si="0"/>
        <v>4.5570305417623471</v>
      </c>
      <c r="D17" s="50">
        <f t="shared" si="0"/>
        <v>2.0242883908230147</v>
      </c>
      <c r="E17" s="51">
        <f t="shared" si="6"/>
        <v>20.766527358554832</v>
      </c>
      <c r="F17" s="51">
        <f t="shared" si="6"/>
        <v>4.0977434892208304</v>
      </c>
      <c r="G17" s="52">
        <f t="shared" si="7"/>
        <v>9.2247440223154324</v>
      </c>
      <c r="H17" s="53" t="s">
        <v>72</v>
      </c>
      <c r="I17" s="65">
        <f>(+I9-(+I10^2/I8))/($I$2-2)</f>
        <v>1.7836155362881641E-4</v>
      </c>
      <c r="J17" s="51">
        <f t="shared" si="1"/>
        <v>4.8296274101336403</v>
      </c>
      <c r="K17" s="51">
        <f t="shared" si="2"/>
        <v>1.9918835089497318</v>
      </c>
      <c r="L17" s="55">
        <f t="shared" si="3"/>
        <v>8.6522818226531049E-3</v>
      </c>
      <c r="M17" s="51">
        <f t="shared" si="4"/>
        <v>1.9832312271270787</v>
      </c>
      <c r="N17" s="94">
        <f t="shared" si="8"/>
        <v>67550.31991085771</v>
      </c>
      <c r="O17" s="56">
        <f t="shared" si="9"/>
        <v>98.148464353762037</v>
      </c>
      <c r="P17" s="57">
        <f t="shared" si="5"/>
        <v>96.212439644249741</v>
      </c>
      <c r="R17" s="47"/>
      <c r="S17" s="47"/>
      <c r="T17" s="47"/>
    </row>
    <row r="18" spans="1:20" ht="12.75" customHeight="1" x14ac:dyDescent="0.35">
      <c r="A18" s="49">
        <f>'New Vestas G27 105L'!P23</f>
        <v>37958.315958819796</v>
      </c>
      <c r="B18" s="48">
        <f>'New Vestas G27 105L'!T23</f>
        <v>105.56041414188415</v>
      </c>
      <c r="C18" s="50">
        <f t="shared" si="0"/>
        <v>4.5793069364734995</v>
      </c>
      <c r="D18" s="50">
        <f t="shared" si="0"/>
        <v>2.023501085405365</v>
      </c>
      <c r="E18" s="51">
        <f t="shared" si="6"/>
        <v>20.970052018434306</v>
      </c>
      <c r="F18" s="51">
        <f t="shared" si="6"/>
        <v>4.0945566426366904</v>
      </c>
      <c r="G18" s="52">
        <f t="shared" si="7"/>
        <v>9.2662325563584425</v>
      </c>
      <c r="H18" s="66" t="s">
        <v>53</v>
      </c>
      <c r="I18" s="67">
        <v>0.95</v>
      </c>
      <c r="J18" s="51">
        <f t="shared" si="1"/>
        <v>4.8245747590470085</v>
      </c>
      <c r="K18" s="51">
        <f t="shared" si="2"/>
        <v>1.9923584827180585</v>
      </c>
      <c r="L18" s="55">
        <f t="shared" si="3"/>
        <v>8.6102275010358168E-3</v>
      </c>
      <c r="M18" s="51">
        <f t="shared" si="4"/>
        <v>1.9837482552170227</v>
      </c>
      <c r="N18" s="94">
        <f t="shared" si="8"/>
        <v>66768.982657636108</v>
      </c>
      <c r="O18" s="56">
        <f t="shared" si="9"/>
        <v>98.255864860735372</v>
      </c>
      <c r="P18" s="57">
        <f t="shared" si="5"/>
        <v>96.327048874136608</v>
      </c>
      <c r="R18" s="47"/>
      <c r="S18" s="47"/>
      <c r="T18" s="47"/>
    </row>
    <row r="19" spans="1:20" ht="12.75" customHeight="1" x14ac:dyDescent="0.35">
      <c r="A19" s="49">
        <f>'New Vestas G27 105L'!P24</f>
        <v>5693.7473938229687</v>
      </c>
      <c r="B19" s="48">
        <f>'New Vestas G27 105L'!T24</f>
        <v>126.17252703498713</v>
      </c>
      <c r="C19" s="50">
        <f t="shared" si="0"/>
        <v>3.7553981955291809</v>
      </c>
      <c r="D19" s="50">
        <f t="shared" si="0"/>
        <v>2.1009648013741478</v>
      </c>
      <c r="E19" s="51">
        <f t="shared" si="6"/>
        <v>14.103015606983828</v>
      </c>
      <c r="F19" s="51">
        <f t="shared" si="6"/>
        <v>4.4140530966131122</v>
      </c>
      <c r="G19" s="52">
        <f t="shared" si="7"/>
        <v>7.8899594239507982</v>
      </c>
      <c r="H19" s="53" t="s">
        <v>73</v>
      </c>
      <c r="I19" s="68">
        <f>_xlfn.T.INV(1-(1-I18)/2,I2-2)</f>
        <v>2.0195409704413745</v>
      </c>
      <c r="J19" s="51">
        <f t="shared" si="1"/>
        <v>4.819462631982157</v>
      </c>
      <c r="K19" s="51">
        <f t="shared" si="2"/>
        <v>1.9928390475175126</v>
      </c>
      <c r="L19" s="55">
        <f t="shared" si="3"/>
        <v>8.5677959102632185E-3</v>
      </c>
      <c r="M19" s="51">
        <f t="shared" si="4"/>
        <v>1.9842712516072494</v>
      </c>
      <c r="N19" s="94">
        <f t="shared" si="8"/>
        <v>65987.645404414448</v>
      </c>
      <c r="O19" s="56">
        <f t="shared" si="9"/>
        <v>98.36464921353128</v>
      </c>
      <c r="P19" s="57">
        <f t="shared" si="5"/>
        <v>96.44311999002278</v>
      </c>
      <c r="R19" s="47"/>
      <c r="S19" s="47"/>
      <c r="T19" s="47"/>
    </row>
    <row r="20" spans="1:20" ht="12.75" customHeight="1" x14ac:dyDescent="0.35">
      <c r="A20" s="49">
        <f>'New Vestas G27 105L'!P25</f>
        <v>7591.6631917639588</v>
      </c>
      <c r="B20" s="48">
        <f>'New Vestas G27 105L'!T25</f>
        <v>122.38570023480405</v>
      </c>
      <c r="C20" s="50">
        <f t="shared" si="0"/>
        <v>3.8803369321374812</v>
      </c>
      <c r="D20" s="50">
        <f t="shared" si="0"/>
        <v>2.0877306770259247</v>
      </c>
      <c r="E20" s="51">
        <f t="shared" si="6"/>
        <v>15.05701470691012</v>
      </c>
      <c r="F20" s="51">
        <f t="shared" si="6"/>
        <v>4.358619379795126</v>
      </c>
      <c r="G20" s="52">
        <f t="shared" si="7"/>
        <v>8.1010984504200838</v>
      </c>
      <c r="H20" s="53" t="s">
        <v>74</v>
      </c>
      <c r="I20" s="68">
        <f>_xlfn.F.INV(I18,2,I2-2)</f>
        <v>3.2256838422954499</v>
      </c>
      <c r="J20" s="51">
        <f t="shared" si="1"/>
        <v>4.8142896120315148</v>
      </c>
      <c r="K20" s="51">
        <f t="shared" si="2"/>
        <v>1.9933253365442944</v>
      </c>
      <c r="L20" s="55">
        <f t="shared" si="3"/>
        <v>8.5249812742516397E-3</v>
      </c>
      <c r="M20" s="51">
        <f t="shared" si="4"/>
        <v>1.9848003552700428</v>
      </c>
      <c r="N20" s="94">
        <f t="shared" si="8"/>
        <v>65206.308151192832</v>
      </c>
      <c r="O20" s="56">
        <f t="shared" si="9"/>
        <v>98.474851948587698</v>
      </c>
      <c r="P20" s="57">
        <f t="shared" si="5"/>
        <v>96.560688844580781</v>
      </c>
      <c r="R20" s="47"/>
      <c r="S20" s="47"/>
      <c r="T20" s="47"/>
    </row>
    <row r="21" spans="1:20" ht="12.75" customHeight="1" x14ac:dyDescent="0.35">
      <c r="A21" s="49">
        <f>'New Vestas G27 105L'!P26</f>
        <v>9489.578989704949</v>
      </c>
      <c r="B21" s="48">
        <f>'New Vestas G27 105L'!T26</f>
        <v>116.53768922634551</v>
      </c>
      <c r="C21" s="50">
        <f t="shared" si="0"/>
        <v>3.9772469451455374</v>
      </c>
      <c r="D21" s="50">
        <f t="shared" si="0"/>
        <v>2.0664664024087003</v>
      </c>
      <c r="E21" s="51">
        <f t="shared" si="6"/>
        <v>15.818493262669509</v>
      </c>
      <c r="F21" s="51">
        <f t="shared" si="6"/>
        <v>4.2702833922839565</v>
      </c>
      <c r="G21" s="52">
        <f t="shared" si="7"/>
        <v>8.2188471862258918</v>
      </c>
      <c r="H21" s="53" t="s">
        <v>75</v>
      </c>
      <c r="I21" s="68">
        <f>I19*SQRT(I17)*(($I$8)^(-1/2))</f>
        <v>8.267193081243341E-3</v>
      </c>
      <c r="J21" s="51">
        <f t="shared" si="1"/>
        <v>4.8090542310436115</v>
      </c>
      <c r="K21" s="51">
        <f t="shared" si="2"/>
        <v>1.9938174878117807</v>
      </c>
      <c r="L21" s="55">
        <f t="shared" si="3"/>
        <v>8.4817777399784355E-3</v>
      </c>
      <c r="M21" s="51">
        <f t="shared" si="4"/>
        <v>1.9853357100718023</v>
      </c>
      <c r="N21" s="94">
        <f t="shared" si="8"/>
        <v>64424.970897971209</v>
      </c>
      <c r="O21" s="56">
        <f t="shared" si="9"/>
        <v>98.58650889125262</v>
      </c>
      <c r="P21" s="57">
        <f t="shared" si="5"/>
        <v>96.679792598883239</v>
      </c>
      <c r="R21" s="47"/>
      <c r="S21" s="47"/>
      <c r="T21" s="47"/>
    </row>
    <row r="22" spans="1:20" ht="12.75" customHeight="1" thickBot="1" x14ac:dyDescent="0.4">
      <c r="A22" s="49">
        <f>'New Vestas G27 105L'!P27</f>
        <v>18979.157979409898</v>
      </c>
      <c r="B22" s="48">
        <f>'New Vestas G27 105L'!T27</f>
        <v>114.28476694963702</v>
      </c>
      <c r="C22" s="50">
        <f t="shared" si="0"/>
        <v>4.2782769408095183</v>
      </c>
      <c r="D22" s="50">
        <f t="shared" si="0"/>
        <v>2.057988347012996</v>
      </c>
      <c r="E22" s="51">
        <f t="shared" si="6"/>
        <v>18.303653582262449</v>
      </c>
      <c r="F22" s="51">
        <f t="shared" si="6"/>
        <v>4.2353160364412838</v>
      </c>
      <c r="G22" s="52">
        <f t="shared" si="7"/>
        <v>8.8046440894803979</v>
      </c>
      <c r="H22" s="61" t="s">
        <v>76</v>
      </c>
      <c r="I22" s="69">
        <f>I19*SQRT(I17)*(1/I2+I11^2/I8)^(1/2)</f>
        <v>3.4657861104875759E-2</v>
      </c>
      <c r="J22" s="51">
        <f t="shared" si="1"/>
        <v>4.8037549671218436</v>
      </c>
      <c r="K22" s="51">
        <f t="shared" si="2"/>
        <v>1.9943156443856516</v>
      </c>
      <c r="L22" s="55">
        <f t="shared" si="3"/>
        <v>8.4381793808840522E-3</v>
      </c>
      <c r="M22" s="51">
        <f t="shared" si="4"/>
        <v>1.9858774650047675</v>
      </c>
      <c r="N22" s="94">
        <f t="shared" si="8"/>
        <v>63643.633644749643</v>
      </c>
      <c r="O22" s="56">
        <f t="shared" si="9"/>
        <v>98.699657220211122</v>
      </c>
      <c r="P22" s="57">
        <f t="shared" si="5"/>
        <v>96.800469786084335</v>
      </c>
      <c r="R22" s="47"/>
      <c r="S22" s="47"/>
      <c r="T22" s="47"/>
    </row>
    <row r="23" spans="1:20" ht="12.75" customHeight="1" x14ac:dyDescent="0.35">
      <c r="A23" s="49">
        <f>'New Vestas G27 105L'!P28</f>
        <v>20877.073777350884</v>
      </c>
      <c r="B23" s="48">
        <f>'New Vestas G27 105L'!T28</f>
        <v>111.64836854649269</v>
      </c>
      <c r="C23" s="50">
        <f t="shared" si="0"/>
        <v>4.3196696259677436</v>
      </c>
      <c r="D23" s="50">
        <f t="shared" si="0"/>
        <v>2.0478523813579059</v>
      </c>
      <c r="E23" s="51">
        <f t="shared" si="6"/>
        <v>18.659545677508305</v>
      </c>
      <c r="F23" s="51">
        <f t="shared" si="6"/>
        <v>4.1936993758332459</v>
      </c>
      <c r="G23" s="52">
        <f t="shared" si="7"/>
        <v>8.8460457302174582</v>
      </c>
      <c r="H23" s="63" t="s">
        <v>77</v>
      </c>
      <c r="I23" s="70"/>
      <c r="J23" s="51">
        <f t="shared" si="1"/>
        <v>4.7983902419687467</v>
      </c>
      <c r="K23" s="51">
        <f t="shared" si="2"/>
        <v>1.9948199546335421</v>
      </c>
      <c r="L23" s="55">
        <f t="shared" si="3"/>
        <v>8.3941802009630927E-3</v>
      </c>
      <c r="M23" s="51">
        <f t="shared" si="4"/>
        <v>1.9864257744325791</v>
      </c>
      <c r="N23" s="94">
        <f t="shared" si="8"/>
        <v>62862.296391527881</v>
      </c>
      <c r="O23" s="56">
        <f t="shared" si="9"/>
        <v>98.814335535969761</v>
      </c>
      <c r="P23" s="57">
        <f t="shared" si="5"/>
        <v>96.922760378991072</v>
      </c>
      <c r="R23" s="47"/>
      <c r="S23" s="47"/>
      <c r="T23" s="47"/>
    </row>
    <row r="24" spans="1:20" ht="12.75" customHeight="1" x14ac:dyDescent="0.35">
      <c r="A24" s="49">
        <f>'New Vestas G27 105L'!P29</f>
        <v>22774.989575291875</v>
      </c>
      <c r="B24" s="48">
        <f>'New Vestas G27 105L'!T29</f>
        <v>108.77229755650337</v>
      </c>
      <c r="C24" s="50">
        <f t="shared" si="0"/>
        <v>4.3574581868571434</v>
      </c>
      <c r="D24" s="50">
        <f t="shared" si="0"/>
        <v>2.0365183020693021</v>
      </c>
      <c r="E24" s="51">
        <f t="shared" si="6"/>
        <v>18.987441850208345</v>
      </c>
      <c r="F24" s="51">
        <f t="shared" si="6"/>
        <v>4.1474067946632331</v>
      </c>
      <c r="G24" s="52">
        <f t="shared" si="7"/>
        <v>8.8740433480362899</v>
      </c>
      <c r="H24" s="66" t="s">
        <v>78</v>
      </c>
      <c r="I24" s="71">
        <f>10^(MAX(C:C))</f>
        <v>79270.378709181925</v>
      </c>
      <c r="J24" s="51">
        <f t="shared" si="1"/>
        <v>4.7929584180641784</v>
      </c>
      <c r="K24" s="51">
        <f t="shared" si="2"/>
        <v>1.9953305724903079</v>
      </c>
      <c r="L24" s="55">
        <f t="shared" si="3"/>
        <v>8.3497741396338712E-3</v>
      </c>
      <c r="M24" s="51">
        <f t="shared" si="4"/>
        <v>1.986980798350674</v>
      </c>
      <c r="N24" s="94">
        <f t="shared" si="8"/>
        <v>62080.959138306425</v>
      </c>
      <c r="O24" s="56">
        <f t="shared" si="9"/>
        <v>98.930583933706401</v>
      </c>
      <c r="P24" s="57">
        <f t="shared" si="5"/>
        <v>97.046705861810963</v>
      </c>
      <c r="R24" s="47"/>
      <c r="S24" s="47"/>
      <c r="T24" s="47"/>
    </row>
    <row r="25" spans="1:20" ht="12.75" customHeight="1" thickBot="1" x14ac:dyDescent="0.4">
      <c r="A25" s="49">
        <f>'New Vestas G27 105L'!P30</f>
        <v>28468.736969114845</v>
      </c>
      <c r="B25" s="48">
        <f>'New Vestas G27 105L'!T30</f>
        <v>107.07062222328031</v>
      </c>
      <c r="C25" s="50">
        <f t="shared" si="0"/>
        <v>4.4543681998651996</v>
      </c>
      <c r="D25" s="50">
        <f t="shared" si="0"/>
        <v>2.0296703265134846</v>
      </c>
      <c r="E25" s="51">
        <f t="shared" si="6"/>
        <v>19.841396059970339</v>
      </c>
      <c r="F25" s="51">
        <f t="shared" si="6"/>
        <v>4.1195616343293553</v>
      </c>
      <c r="G25" s="52">
        <f t="shared" si="7"/>
        <v>9.0408989586316828</v>
      </c>
      <c r="H25" s="72" t="s">
        <v>79</v>
      </c>
      <c r="I25" s="73">
        <f>10^(MIN(C:C))</f>
        <v>1136.6533870198805</v>
      </c>
      <c r="J25" s="51">
        <f t="shared" si="1"/>
        <v>4.7874577956647819</v>
      </c>
      <c r="K25" s="51">
        <f t="shared" si="2"/>
        <v>1.9958476577400885</v>
      </c>
      <c r="L25" s="55">
        <f t="shared" si="3"/>
        <v>8.3049550774873648E-3</v>
      </c>
      <c r="M25" s="51">
        <f t="shared" si="4"/>
        <v>1.9875427026626011</v>
      </c>
      <c r="N25" s="94">
        <f t="shared" si="8"/>
        <v>61299.621885084773</v>
      </c>
      <c r="O25" s="56">
        <f t="shared" si="9"/>
        <v>99.048444080823614</v>
      </c>
      <c r="P25" s="57">
        <f t="shared" si="5"/>
        <v>97.172349306387119</v>
      </c>
      <c r="R25" s="47"/>
      <c r="S25" s="47"/>
      <c r="T25" s="47"/>
    </row>
    <row r="26" spans="1:20" ht="12.75" customHeight="1" x14ac:dyDescent="0.35">
      <c r="A26" s="49">
        <f>'New Vestas G27 105L'!P31</f>
        <v>37958.315958819796</v>
      </c>
      <c r="B26" s="48">
        <f>'New Vestas G27 105L'!T31</f>
        <v>106.04003012696514</v>
      </c>
      <c r="C26" s="50">
        <f t="shared" si="0"/>
        <v>4.5793069364734995</v>
      </c>
      <c r="D26" s="50">
        <f t="shared" si="0"/>
        <v>2.0254698424482007</v>
      </c>
      <c r="E26" s="51">
        <f t="shared" si="6"/>
        <v>20.970052018434306</v>
      </c>
      <c r="F26" s="51">
        <f t="shared" si="6"/>
        <v>4.1025280826671393</v>
      </c>
      <c r="G26" s="52">
        <f t="shared" si="7"/>
        <v>9.2752480991409314</v>
      </c>
      <c r="H26" s="63" t="s">
        <v>80</v>
      </c>
      <c r="I26" s="70"/>
      <c r="J26" s="51">
        <f t="shared" si="1"/>
        <v>4.7818866096109929</v>
      </c>
      <c r="K26" s="51">
        <f t="shared" si="2"/>
        <v>1.996371376316465</v>
      </c>
      <c r="L26" s="55">
        <f t="shared" si="3"/>
        <v>8.2597168430294764E-3</v>
      </c>
      <c r="M26" s="51">
        <f t="shared" si="4"/>
        <v>1.9881116594734356</v>
      </c>
      <c r="N26" s="94">
        <f t="shared" si="8"/>
        <v>60518.284631863025</v>
      </c>
      <c r="O26" s="56">
        <f t="shared" si="9"/>
        <v>99.167959299573084</v>
      </c>
      <c r="P26" s="57">
        <f t="shared" si="5"/>
        <v>97.299735453260567</v>
      </c>
      <c r="R26" s="47" t="s">
        <v>81</v>
      </c>
      <c r="S26" s="47"/>
      <c r="T26" s="47"/>
    </row>
    <row r="27" spans="1:20" ht="12.75" customHeight="1" x14ac:dyDescent="0.35">
      <c r="A27" s="49">
        <f>'New Vestas G27 105L'!P32</f>
        <v>7591.6631917639588</v>
      </c>
      <c r="B27" s="48">
        <f>'New Vestas G27 105L'!T32</f>
        <v>122.25432118368342</v>
      </c>
      <c r="C27" s="50">
        <f t="shared" si="0"/>
        <v>3.8803369321374812</v>
      </c>
      <c r="D27" s="50">
        <f t="shared" si="0"/>
        <v>2.0872642185773547</v>
      </c>
      <c r="E27" s="51">
        <f t="shared" si="6"/>
        <v>15.05701470691012</v>
      </c>
      <c r="F27" s="51">
        <f t="shared" si="6"/>
        <v>4.3566719181533351</v>
      </c>
      <c r="G27" s="52">
        <f t="shared" si="7"/>
        <v>8.09928843447479</v>
      </c>
      <c r="H27" s="53" t="str">
        <f>"m lower " &amp; TEXT(I18,"##%") &amp; " conf"</f>
        <v>m lower 95% conf</v>
      </c>
      <c r="I27" s="74">
        <f>-I13-I21</f>
        <v>8.5737668957137719E-2</v>
      </c>
      <c r="J27" s="51">
        <f t="shared" si="1"/>
        <v>4.7762430259265614</v>
      </c>
      <c r="K27" s="51">
        <f t="shared" si="2"/>
        <v>1.996901900622122</v>
      </c>
      <c r="L27" s="55">
        <f t="shared" si="3"/>
        <v>8.2140532205448643E-3</v>
      </c>
      <c r="M27" s="51">
        <f t="shared" si="4"/>
        <v>1.9886878474015772</v>
      </c>
      <c r="N27" s="94">
        <f t="shared" si="8"/>
        <v>59736.947378641482</v>
      </c>
      <c r="O27" s="56">
        <f t="shared" si="9"/>
        <v>99.289174655153758</v>
      </c>
      <c r="P27" s="57">
        <f t="shared" si="5"/>
        <v>97.428910797929603</v>
      </c>
      <c r="R27" s="47"/>
      <c r="S27" s="47"/>
      <c r="T27" s="47"/>
    </row>
    <row r="28" spans="1:20" ht="12.75" customHeight="1" x14ac:dyDescent="0.35">
      <c r="A28" s="49">
        <f>'New Vestas G27 105L'!P33</f>
        <v>11387.494787645937</v>
      </c>
      <c r="B28" s="48">
        <f>'New Vestas G27 105L'!T33</f>
        <v>120.29311410924292</v>
      </c>
      <c r="C28" s="50">
        <f t="shared" si="0"/>
        <v>4.0564281911931621</v>
      </c>
      <c r="D28" s="50">
        <f t="shared" si="0"/>
        <v>2.0802407679055199</v>
      </c>
      <c r="E28" s="51">
        <f t="shared" si="6"/>
        <v>16.454609670306628</v>
      </c>
      <c r="F28" s="51">
        <f t="shared" si="6"/>
        <v>4.3274016524561469</v>
      </c>
      <c r="G28" s="52">
        <f t="shared" si="7"/>
        <v>8.4383472954012628</v>
      </c>
      <c r="H28" s="75" t="s">
        <v>82</v>
      </c>
      <c r="I28" s="76">
        <f>-I13</f>
        <v>9.4004862038381057E-2</v>
      </c>
      <c r="J28" s="51">
        <f t="shared" si="1"/>
        <v>4.7705251381942064</v>
      </c>
      <c r="K28" s="51">
        <f t="shared" si="2"/>
        <v>1.9974394098695529</v>
      </c>
      <c r="L28" s="55">
        <f t="shared" si="3"/>
        <v>8.1679579592273469E-3</v>
      </c>
      <c r="M28" s="51">
        <f t="shared" si="4"/>
        <v>1.9892714519103256</v>
      </c>
      <c r="N28" s="94">
        <f t="shared" si="8"/>
        <v>58955.610125419822</v>
      </c>
      <c r="O28" s="56">
        <f t="shared" si="9"/>
        <v>99.412137049721167</v>
      </c>
      <c r="P28" s="57">
        <f t="shared" si="5"/>
        <v>97.559923682707051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G27 105L'!P34</f>
        <v>13285.410585586927</v>
      </c>
      <c r="B29" s="48">
        <f>'New Vestas G27 105L'!T34</f>
        <v>116.89687746813868</v>
      </c>
      <c r="C29" s="50">
        <f t="shared" si="0"/>
        <v>4.1233749808237752</v>
      </c>
      <c r="D29" s="50">
        <f t="shared" si="0"/>
        <v>2.067802910507702</v>
      </c>
      <c r="E29" s="51">
        <f t="shared" si="6"/>
        <v>17.002221232483468</v>
      </c>
      <c r="F29" s="51">
        <f t="shared" si="6"/>
        <v>4.275808876704124</v>
      </c>
      <c r="G29" s="52">
        <f t="shared" si="7"/>
        <v>8.5263267864620431</v>
      </c>
      <c r="H29" s="77" t="str">
        <f>"m upper " &amp; TEXT(I18,"##%") &amp; " conf"</f>
        <v>m upper 95% conf</v>
      </c>
      <c r="I29" s="74">
        <f>-I13+I21</f>
        <v>0.10227205511962439</v>
      </c>
      <c r="J29" s="51">
        <f t="shared" si="1"/>
        <v>4.7647309636894848</v>
      </c>
      <c r="K29" s="51">
        <f t="shared" si="2"/>
        <v>1.9979840904444957</v>
      </c>
      <c r="L29" s="55">
        <f t="shared" si="3"/>
        <v>8.1214247837407653E-3</v>
      </c>
      <c r="M29" s="51">
        <f t="shared" si="4"/>
        <v>1.989862665660755</v>
      </c>
      <c r="N29" s="94">
        <f t="shared" si="8"/>
        <v>58174.272872198148</v>
      </c>
      <c r="O29" s="56">
        <f t="shared" si="9"/>
        <v>99.536895322791793</v>
      </c>
      <c r="P29" s="57">
        <f t="shared" si="5"/>
        <v>97.69282439461503</v>
      </c>
      <c r="R29" s="47"/>
      <c r="S29" s="47"/>
      <c r="T29" s="47"/>
    </row>
    <row r="30" spans="1:20" ht="12.75" customHeight="1" x14ac:dyDescent="0.35">
      <c r="A30" s="49">
        <f>'New Vestas G27 105L'!P35</f>
        <v>18979.157979409898</v>
      </c>
      <c r="B30" s="48">
        <f>'New Vestas G27 105L'!T35</f>
        <v>111.82643966592674</v>
      </c>
      <c r="C30" s="50">
        <f t="shared" si="0"/>
        <v>4.2782769408095183</v>
      </c>
      <c r="D30" s="50">
        <f t="shared" si="0"/>
        <v>2.0485444980357794</v>
      </c>
      <c r="E30" s="51">
        <f t="shared" si="6"/>
        <v>18.303653582262449</v>
      </c>
      <c r="F30" s="51">
        <f t="shared" si="6"/>
        <v>4.1965345604326636</v>
      </c>
      <c r="G30" s="52">
        <f t="shared" si="7"/>
        <v>8.7642406881686838</v>
      </c>
      <c r="H30" s="77" t="str">
        <f>"C lower " &amp; TEXT(I18,"##%") &amp; " conf"</f>
        <v>C lower 95% conf</v>
      </c>
      <c r="I30" s="78">
        <f>10^(I14-I22)</f>
        <v>257.771029605487</v>
      </c>
      <c r="J30" s="51">
        <f t="shared" si="1"/>
        <v>4.7588584392532507</v>
      </c>
      <c r="K30" s="51">
        <f t="shared" si="2"/>
        <v>1.9985361362939409</v>
      </c>
      <c r="L30" s="55">
        <f t="shared" si="3"/>
        <v>8.0744474063954939E-3</v>
      </c>
      <c r="M30" s="51">
        <f t="shared" si="4"/>
        <v>1.9904616888875455</v>
      </c>
      <c r="N30" s="94">
        <f t="shared" si="8"/>
        <v>57392.935618976691</v>
      </c>
      <c r="O30" s="56">
        <f t="shared" si="9"/>
        <v>99.663500358567177</v>
      </c>
      <c r="P30" s="57">
        <f t="shared" si="5"/>
        <v>97.827665269798203</v>
      </c>
      <c r="R30" s="47"/>
      <c r="S30" s="47"/>
      <c r="T30" s="47"/>
    </row>
    <row r="31" spans="1:20" ht="12.75" customHeight="1" x14ac:dyDescent="0.35">
      <c r="A31" s="49">
        <f>'New Vestas G27 105L'!P36</f>
        <v>28468.736969114845</v>
      </c>
      <c r="B31" s="48">
        <f>'New Vestas G27 105L'!T36</f>
        <v>111.41984795537198</v>
      </c>
      <c r="C31" s="50">
        <f t="shared" si="0"/>
        <v>4.4543681998651996</v>
      </c>
      <c r="D31" s="50">
        <f t="shared" si="0"/>
        <v>2.0469625614812772</v>
      </c>
      <c r="E31" s="51">
        <f t="shared" si="6"/>
        <v>19.841396059970339</v>
      </c>
      <c r="F31" s="51">
        <f t="shared" si="6"/>
        <v>4.1900557281059916</v>
      </c>
      <c r="G31" s="52">
        <f t="shared" si="7"/>
        <v>9.117924940176815</v>
      </c>
      <c r="H31" s="75" t="s">
        <v>83</v>
      </c>
      <c r="I31" s="79">
        <f>10^I14</f>
        <v>279.18492700581641</v>
      </c>
      <c r="J31" s="51">
        <f t="shared" si="1"/>
        <v>4.7529054168812008</v>
      </c>
      <c r="K31" s="51">
        <f t="shared" si="2"/>
        <v>1.9990957493407369</v>
      </c>
      <c r="L31" s="55">
        <f t="shared" si="3"/>
        <v>8.0270195411502061E-3</v>
      </c>
      <c r="M31" s="51">
        <f t="shared" si="4"/>
        <v>1.9910687297995866</v>
      </c>
      <c r="N31" s="94">
        <f t="shared" si="8"/>
        <v>56611.598365755024</v>
      </c>
      <c r="O31" s="56">
        <f t="shared" si="9"/>
        <v>99.7920052007576</v>
      </c>
      <c r="P31" s="57">
        <f t="shared" si="5"/>
        <v>97.964500804977931</v>
      </c>
      <c r="R31" s="47"/>
      <c r="S31" s="47"/>
      <c r="T31" s="47"/>
    </row>
    <row r="32" spans="1:20" ht="12.75" customHeight="1" thickBot="1" x14ac:dyDescent="0.4">
      <c r="A32" s="49">
        <f>'New Vestas G27 105L'!P37</f>
        <v>36060.400160878802</v>
      </c>
      <c r="B32" s="48">
        <f>'New Vestas G27 105L'!T37</f>
        <v>110.00873554815261</v>
      </c>
      <c r="C32" s="50">
        <f t="shared" si="0"/>
        <v>4.5570305417623471</v>
      </c>
      <c r="D32" s="50">
        <f t="shared" si="0"/>
        <v>2.0414271728830111</v>
      </c>
      <c r="E32" s="51">
        <f t="shared" si="6"/>
        <v>20.766527358554832</v>
      </c>
      <c r="F32" s="51">
        <f t="shared" si="6"/>
        <v>4.1674249021851235</v>
      </c>
      <c r="G32" s="52">
        <f t="shared" si="7"/>
        <v>9.3028459756114454</v>
      </c>
      <c r="H32" s="61" t="str">
        <f>"C upper " &amp; TEXT(I18,"##%") &amp; " conf"</f>
        <v>C upper 95% conf</v>
      </c>
      <c r="I32" s="80">
        <f>10^(I14+I22)</f>
        <v>302.37774813769767</v>
      </c>
      <c r="J32" s="51">
        <f t="shared" si="1"/>
        <v>4.7468696590069257</v>
      </c>
      <c r="K32" s="51">
        <f t="shared" si="2"/>
        <v>1.9996631399270051</v>
      </c>
      <c r="L32" s="55">
        <f t="shared" si="3"/>
        <v>7.9791349196764762E-3</v>
      </c>
      <c r="M32" s="51">
        <f t="shared" si="4"/>
        <v>1.9916840050073286</v>
      </c>
      <c r="N32" s="94">
        <f t="shared" si="8"/>
        <v>55830.261112533357</v>
      </c>
      <c r="O32" s="56">
        <f t="shared" si="9"/>
        <v>99.92246517554085</v>
      </c>
      <c r="P32" s="57">
        <f t="shared" si="5"/>
        <v>98.103387776523675</v>
      </c>
      <c r="R32" s="47"/>
      <c r="S32" s="47"/>
      <c r="T32" s="47"/>
    </row>
    <row r="33" spans="1:20" ht="12.75" customHeight="1" x14ac:dyDescent="0.35">
      <c r="A33" s="49">
        <f>'New Vestas G27 105L'!P38</f>
        <v>1136.65338701988</v>
      </c>
      <c r="B33" s="48">
        <f>'New Vestas G27 105L'!T38</f>
        <v>140.09555954729694</v>
      </c>
      <c r="C33" s="50">
        <f t="shared" si="0"/>
        <v>3.0556280503921807</v>
      </c>
      <c r="D33" s="50">
        <f t="shared" si="0"/>
        <v>2.1464243701560961</v>
      </c>
      <c r="E33" s="51">
        <f t="shared" si="6"/>
        <v>9.3368627823435197</v>
      </c>
      <c r="F33" s="51">
        <f t="shared" si="6"/>
        <v>4.6071375767999942</v>
      </c>
      <c r="G33" s="52">
        <f t="shared" si="7"/>
        <v>6.5586745134943358</v>
      </c>
      <c r="H33" s="63" t="s">
        <v>84</v>
      </c>
      <c r="I33" s="81"/>
      <c r="J33" s="51">
        <f t="shared" si="1"/>
        <v>4.7407488334525327</v>
      </c>
      <c r="K33" s="51">
        <f t="shared" si="2"/>
        <v>2.0002385272888068</v>
      </c>
      <c r="L33" s="55">
        <f t="shared" si="3"/>
        <v>7.9307873097553411E-3</v>
      </c>
      <c r="M33" s="51">
        <f t="shared" si="4"/>
        <v>1.9923077399790514</v>
      </c>
      <c r="N33" s="94">
        <f t="shared" si="8"/>
        <v>55048.923859311733</v>
      </c>
      <c r="O33" s="56">
        <f t="shared" si="9"/>
        <v>100.05493802335511</v>
      </c>
      <c r="P33" s="57">
        <f t="shared" si="5"/>
        <v>98.244385367768828</v>
      </c>
      <c r="R33" s="47"/>
      <c r="S33" s="47"/>
      <c r="T33" s="47"/>
    </row>
    <row r="34" spans="1:20" ht="12.75" customHeight="1" thickBot="1" x14ac:dyDescent="0.4">
      <c r="A34" s="49">
        <f>'New Vestas G27 105L'!P39</f>
        <v>2273.3067740397601</v>
      </c>
      <c r="B34" s="48">
        <f>'New Vestas G27 105L'!T39</f>
        <v>125.70535893441595</v>
      </c>
      <c r="C34" s="50">
        <f t="shared" si="0"/>
        <v>3.3566580460561619</v>
      </c>
      <c r="D34" s="50">
        <f t="shared" si="0"/>
        <v>2.0993537924515615</v>
      </c>
      <c r="E34" s="51">
        <f t="shared" si="6"/>
        <v>11.26715323815357</v>
      </c>
      <c r="F34" s="51">
        <f t="shared" si="6"/>
        <v>4.4072863458807543</v>
      </c>
      <c r="G34" s="52">
        <f t="shared" si="7"/>
        <v>7.0468127989510521</v>
      </c>
      <c r="H34" s="82" t="str">
        <f>"G27 Fit: S = " &amp; TEXT(I31,"0,00 E+00 ") &amp; " * N ^ -" &amp; TEXT(I28,"0,00")</f>
        <v>G27 Fit: S = 279 E+00  * N ^ -000</v>
      </c>
      <c r="I34" s="62"/>
      <c r="J34" s="51">
        <f t="shared" si="1"/>
        <v>4.7345405080183278</v>
      </c>
      <c r="K34" s="51">
        <f t="shared" si="2"/>
        <v>2.0008221400647388</v>
      </c>
      <c r="L34" s="55">
        <f t="shared" si="3"/>
        <v>7.8819705363112769E-3</v>
      </c>
      <c r="M34" s="51">
        <f t="shared" si="4"/>
        <v>1.9929401695284275</v>
      </c>
      <c r="N34" s="94">
        <f t="shared" si="8"/>
        <v>54267.586606090117</v>
      </c>
      <c r="O34" s="56">
        <f t="shared" si="9"/>
        <v>100.1894840402958</v>
      </c>
      <c r="P34" s="57">
        <f t="shared" si="5"/>
        <v>98.387555305264016</v>
      </c>
      <c r="R34" s="47"/>
      <c r="S34" s="47"/>
      <c r="T34" s="47"/>
    </row>
    <row r="35" spans="1:20" ht="12.75" customHeight="1" thickBot="1" x14ac:dyDescent="0.4">
      <c r="A35" s="49">
        <f>'New Vestas G27 105L'!P40</f>
        <v>3409.9601610596401</v>
      </c>
      <c r="B35" s="48">
        <f>'New Vestas G27 105L'!T40</f>
        <v>123.2687711812389</v>
      </c>
      <c r="C35" s="50">
        <f t="shared" si="0"/>
        <v>3.5327493051118433</v>
      </c>
      <c r="D35" s="50">
        <f t="shared" si="0"/>
        <v>2.0908530666891902</v>
      </c>
      <c r="E35" s="51">
        <f t="shared" si="6"/>
        <v>12.480317652768212</v>
      </c>
      <c r="F35" s="51">
        <f t="shared" si="6"/>
        <v>4.3716665464835911</v>
      </c>
      <c r="G35" s="52">
        <f t="shared" si="7"/>
        <v>7.3864597184372034</v>
      </c>
      <c r="H35" s="82" t="str">
        <f>"G27 Fit: N = " &amp; TEXT((1/I31)^(-1/I28),"0,00 E+00 ") &amp; " * S ^ -" &amp; TEXT(1/I28,"0,00")</f>
        <v>G27 Fit: N = 104 E+24  * S ^ -011</v>
      </c>
      <c r="I35" s="84"/>
      <c r="J35" s="51">
        <f t="shared" si="1"/>
        <v>4.7282421446801521</v>
      </c>
      <c r="K35" s="51">
        <f t="shared" si="2"/>
        <v>2.0014142168414115</v>
      </c>
      <c r="L35" s="55">
        <f t="shared" si="3"/>
        <v>7.8326785054306357E-3</v>
      </c>
      <c r="M35" s="51">
        <f t="shared" si="4"/>
        <v>1.993581538335981</v>
      </c>
      <c r="N35" s="94">
        <f t="shared" si="8"/>
        <v>53486.249352868486</v>
      </c>
      <c r="O35" s="56">
        <f t="shared" si="9"/>
        <v>100.32616622996605</v>
      </c>
      <c r="P35" s="57">
        <f t="shared" si="5"/>
        <v>98.532962004725334</v>
      </c>
      <c r="R35" s="47"/>
      <c r="S35" s="47"/>
      <c r="T35" s="47"/>
    </row>
    <row r="36" spans="1:20" ht="12.75" customHeight="1" x14ac:dyDescent="0.35">
      <c r="A36" s="49">
        <f>'New Vestas G27 105L'!P41</f>
        <v>4546.6135480795201</v>
      </c>
      <c r="B36" s="48">
        <f>'New Vestas G27 105L'!T41</f>
        <v>121.06150933424321</v>
      </c>
      <c r="C36" s="50">
        <f t="shared" si="0"/>
        <v>3.6576880417201432</v>
      </c>
      <c r="D36" s="50">
        <f t="shared" si="0"/>
        <v>2.0830060841762932</v>
      </c>
      <c r="E36" s="51">
        <f t="shared" si="6"/>
        <v>13.378681810542536</v>
      </c>
      <c r="F36" s="51">
        <f t="shared" si="6"/>
        <v>4.3389143467154545</v>
      </c>
      <c r="G36" s="52">
        <f t="shared" si="7"/>
        <v>7.6189864449219291</v>
      </c>
      <c r="H36" s="83"/>
      <c r="I36" s="83"/>
      <c r="J36" s="51">
        <f t="shared" si="1"/>
        <v>4.7218510933597262</v>
      </c>
      <c r="K36" s="51">
        <f t="shared" si="2"/>
        <v>2.0020150067390681</v>
      </c>
      <c r="L36" s="55">
        <f t="shared" si="3"/>
        <v>7.7829052317589537E-3</v>
      </c>
      <c r="M36" s="51">
        <f t="shared" si="4"/>
        <v>1.994232101507309</v>
      </c>
      <c r="N36" s="94">
        <f t="shared" si="8"/>
        <v>52704.912099646855</v>
      </c>
      <c r="O36" s="56">
        <f t="shared" si="9"/>
        <v>100.46505046672027</v>
      </c>
      <c r="P36" s="57">
        <f t="shared" si="5"/>
        <v>98.680672727512857</v>
      </c>
      <c r="R36" s="47"/>
      <c r="S36" s="47"/>
      <c r="T36" s="47"/>
    </row>
    <row r="37" spans="1:20" ht="12.75" customHeight="1" x14ac:dyDescent="0.35">
      <c r="A37" s="49">
        <f>'New Vestas G27 105L'!P42</f>
        <v>5683.2669350994001</v>
      </c>
      <c r="B37" s="48">
        <f>'New Vestas G27 105L'!T42</f>
        <v>120.63152326015314</v>
      </c>
      <c r="C37" s="50">
        <f t="shared" si="0"/>
        <v>3.7545980547281994</v>
      </c>
      <c r="D37" s="50">
        <f t="shared" si="0"/>
        <v>2.0814608118589013</v>
      </c>
      <c r="E37" s="51">
        <f t="shared" si="6"/>
        <v>14.097006552568779</v>
      </c>
      <c r="F37" s="51">
        <f t="shared" si="6"/>
        <v>4.3324791113043162</v>
      </c>
      <c r="G37" s="52">
        <f t="shared" si="7"/>
        <v>7.8150487151984098</v>
      </c>
      <c r="H37" s="95">
        <f>1/I28</f>
        <v>10.637747647474999</v>
      </c>
      <c r="I37" s="85">
        <f>I31-I30</f>
        <v>21.413897400329404</v>
      </c>
      <c r="J37" s="51">
        <f t="shared" si="1"/>
        <v>4.7153645852297208</v>
      </c>
      <c r="K37" s="51">
        <f t="shared" si="2"/>
        <v>2.0026247700409403</v>
      </c>
      <c r="L37" s="55">
        <f t="shared" si="3"/>
        <v>7.7326448697259903E-3</v>
      </c>
      <c r="M37" s="51">
        <f t="shared" si="4"/>
        <v>1.9948921251712144</v>
      </c>
      <c r="N37" s="94">
        <f t="shared" si="8"/>
        <v>51923.574846425247</v>
      </c>
      <c r="O37" s="56">
        <f t="shared" si="9"/>
        <v>100.60620567133621</v>
      </c>
      <c r="P37" s="57">
        <f t="shared" si="5"/>
        <v>98.830757748560728</v>
      </c>
      <c r="R37" s="47"/>
      <c r="S37" s="47"/>
      <c r="T37" s="47"/>
    </row>
    <row r="38" spans="1:20" ht="12.75" customHeight="1" x14ac:dyDescent="0.35">
      <c r="A38" s="49">
        <f>'New Vestas G27 105L'!P43</f>
        <v>6819.9203221192802</v>
      </c>
      <c r="B38" s="48">
        <f>'New Vestas G27 105L'!T43</f>
        <v>120.05820849469971</v>
      </c>
      <c r="C38" s="50">
        <f t="shared" si="0"/>
        <v>3.8337793007758241</v>
      </c>
      <c r="D38" s="50">
        <f t="shared" si="0"/>
        <v>2.0793918585378366</v>
      </c>
      <c r="E38" s="51">
        <f t="shared" si="6"/>
        <v>14.697863727057166</v>
      </c>
      <c r="F38" s="51">
        <f t="shared" si="6"/>
        <v>4.3238705013534382</v>
      </c>
      <c r="G38" s="52">
        <f t="shared" si="7"/>
        <v>7.9719294654641288</v>
      </c>
      <c r="H38" s="95">
        <f>((1/I27)-(1/I29))/2</f>
        <v>0.94282138808399196</v>
      </c>
      <c r="I38" s="85">
        <f>I32-I31</f>
        <v>23.19282113188126</v>
      </c>
      <c r="J38" s="51">
        <f t="shared" si="1"/>
        <v>4.7087797255112402</v>
      </c>
      <c r="K38" s="51">
        <f t="shared" si="2"/>
        <v>2.0032437788703183</v>
      </c>
      <c r="L38" s="55">
        <f t="shared" si="3"/>
        <v>7.6818917491100116E-3</v>
      </c>
      <c r="M38" s="51">
        <f t="shared" si="4"/>
        <v>1.9955618871212084</v>
      </c>
      <c r="N38" s="94">
        <f t="shared" si="8"/>
        <v>51142.237593203652</v>
      </c>
      <c r="O38" s="56">
        <f t="shared" si="9"/>
        <v>100.74970400026601</v>
      </c>
      <c r="P38" s="57">
        <f t="shared" si="5"/>
        <v>98.983290536770227</v>
      </c>
      <c r="R38" s="47"/>
      <c r="S38" s="47"/>
      <c r="T38" s="47"/>
    </row>
    <row r="39" spans="1:20" ht="12.75" customHeight="1" x14ac:dyDescent="0.35">
      <c r="A39" s="49">
        <f>'New Vestas G27 105L'!P44</f>
        <v>7956.5737091391593</v>
      </c>
      <c r="B39" s="48">
        <f>'New Vestas G27 105L'!T44</f>
        <v>118.13760403043072</v>
      </c>
      <c r="C39" s="50">
        <f t="shared" si="0"/>
        <v>3.9007260904064376</v>
      </c>
      <c r="D39" s="50">
        <f t="shared" si="0"/>
        <v>2.0723881586081463</v>
      </c>
      <c r="E39" s="51">
        <f t="shared" si="6"/>
        <v>15.215664032377491</v>
      </c>
      <c r="F39" s="51">
        <f t="shared" si="6"/>
        <v>4.2947926799392633</v>
      </c>
      <c r="G39" s="52">
        <f t="shared" si="7"/>
        <v>8.0838185597321512</v>
      </c>
      <c r="H39" s="86"/>
      <c r="I39" s="86"/>
      <c r="J39" s="51">
        <f t="shared" si="1"/>
        <v>4.7020934857168175</v>
      </c>
      <c r="K39" s="51">
        <f t="shared" si="2"/>
        <v>2.0038723179197486</v>
      </c>
      <c r="L39" s="55">
        <f t="shared" si="3"/>
        <v>7.6306404155245455E-3</v>
      </c>
      <c r="M39" s="51">
        <f t="shared" si="4"/>
        <v>1.996241677504224</v>
      </c>
      <c r="N39" s="94">
        <f t="shared" si="8"/>
        <v>50360.900339982087</v>
      </c>
      <c r="O39" s="56">
        <f t="shared" si="9"/>
        <v>100.89562104974243</v>
      </c>
      <c r="P39" s="57">
        <f t="shared" si="5"/>
        <v>99.138347948991196</v>
      </c>
      <c r="R39" s="47"/>
      <c r="S39" s="47"/>
      <c r="T39" s="47"/>
    </row>
    <row r="40" spans="1:20" ht="12.75" customHeight="1" x14ac:dyDescent="0.35">
      <c r="A40" s="49">
        <f>'New Vestas G27 105L'!P45</f>
        <v>10229.880483178918</v>
      </c>
      <c r="B40" s="48">
        <f>'New Vestas G27 105L'!T45</f>
        <v>116.90497728470585</v>
      </c>
      <c r="C40" s="50">
        <f t="shared" si="0"/>
        <v>4.009870559831505</v>
      </c>
      <c r="D40" s="50">
        <f t="shared" si="0"/>
        <v>2.067833001848463</v>
      </c>
      <c r="E40" s="51">
        <f t="shared" si="6"/>
        <v>16.079061906603428</v>
      </c>
      <c r="F40" s="51">
        <f t="shared" si="6"/>
        <v>4.2759333235336259</v>
      </c>
      <c r="G40" s="52">
        <f t="shared" si="7"/>
        <v>8.2917426767601583</v>
      </c>
      <c r="H40" s="86" t="b">
        <f>H37=H38</f>
        <v>0</v>
      </c>
      <c r="I40" s="86"/>
      <c r="J40" s="51">
        <f t="shared" si="1"/>
        <v>4.695302695286883</v>
      </c>
      <c r="K40" s="51">
        <f t="shared" si="2"/>
        <v>2.0045106852372458</v>
      </c>
      <c r="L40" s="55">
        <f t="shared" si="3"/>
        <v>7.578885676493465E-3</v>
      </c>
      <c r="M40" s="51">
        <f t="shared" si="4"/>
        <v>1.9969317995607523</v>
      </c>
      <c r="N40" s="94">
        <f t="shared" si="8"/>
        <v>49579.563086760369</v>
      </c>
      <c r="O40" s="56">
        <f t="shared" si="9"/>
        <v>101.04403607615536</v>
      </c>
      <c r="P40" s="57">
        <f t="shared" si="5"/>
        <v>99.296010438829384</v>
      </c>
      <c r="R40" s="47"/>
      <c r="S40" s="47"/>
      <c r="T40" s="47"/>
    </row>
    <row r="41" spans="1:20" ht="12.75" customHeight="1" x14ac:dyDescent="0.35">
      <c r="A41" s="49">
        <f>'New Vestas G27 105L'!P46</f>
        <v>1136.65338701988</v>
      </c>
      <c r="B41" s="48">
        <f>'New Vestas G27 105L'!T46</f>
        <v>151.18427342926574</v>
      </c>
      <c r="C41" s="50">
        <f t="shared" si="0"/>
        <v>3.0556280503921807</v>
      </c>
      <c r="D41" s="50">
        <f t="shared" si="0"/>
        <v>2.1795066171036015</v>
      </c>
      <c r="E41" s="51">
        <f t="shared" si="6"/>
        <v>9.3368627823435197</v>
      </c>
      <c r="F41" s="51">
        <f t="shared" si="6"/>
        <v>4.7502490939983852</v>
      </c>
      <c r="G41" s="52">
        <f t="shared" si="7"/>
        <v>6.659761555237135</v>
      </c>
      <c r="H41" s="86"/>
      <c r="I41" s="86"/>
      <c r="J41" s="51">
        <f t="shared" si="1"/>
        <v>4.688404032561917</v>
      </c>
      <c r="K41" s="51">
        <f t="shared" si="2"/>
        <v>2.0051591930749559</v>
      </c>
      <c r="L41" s="55">
        <f t="shared" si="3"/>
        <v>7.5266226538757202E-3</v>
      </c>
      <c r="M41" s="51">
        <f t="shared" si="4"/>
        <v>1.9976325704210802</v>
      </c>
      <c r="N41" s="94">
        <f t="shared" si="8"/>
        <v>48798.225833538832</v>
      </c>
      <c r="O41" s="56">
        <f t="shared" si="9"/>
        <v>101.19503223427533</v>
      </c>
      <c r="P41" s="57">
        <f t="shared" si="5"/>
        <v>99.456362281654393</v>
      </c>
      <c r="R41" s="47"/>
      <c r="S41" s="47"/>
      <c r="T41" s="47"/>
    </row>
    <row r="42" spans="1:20" ht="12.75" customHeight="1" x14ac:dyDescent="0.35">
      <c r="A42" s="49">
        <f>'New Vestas G27 105L'!P47</f>
        <v>2273.3067740397601</v>
      </c>
      <c r="B42" s="48">
        <f>'New Vestas G27 105L'!T47</f>
        <v>140.46954198969809</v>
      </c>
      <c r="C42" s="50">
        <f t="shared" si="0"/>
        <v>3.3566580460561619</v>
      </c>
      <c r="D42" s="50">
        <f t="shared" si="0"/>
        <v>2.1475821663778514</v>
      </c>
      <c r="E42" s="51">
        <f t="shared" si="6"/>
        <v>11.26715323815357</v>
      </c>
      <c r="F42" s="51">
        <f t="shared" si="6"/>
        <v>4.6121091613441854</v>
      </c>
      <c r="G42" s="52">
        <f t="shared" si="7"/>
        <v>7.208698958338938</v>
      </c>
      <c r="H42" s="86"/>
      <c r="I42" s="86"/>
      <c r="J42" s="51">
        <f t="shared" si="1"/>
        <v>4.6813940150259148</v>
      </c>
      <c r="K42" s="51">
        <f t="shared" si="2"/>
        <v>2.0058181688063144</v>
      </c>
      <c r="L42" s="55">
        <f t="shared" si="3"/>
        <v>7.473846843510653E-3</v>
      </c>
      <c r="M42" s="51">
        <f t="shared" si="4"/>
        <v>1.9983443219628036</v>
      </c>
      <c r="N42" s="94">
        <f t="shared" si="8"/>
        <v>48016.888580317107</v>
      </c>
      <c r="O42" s="56">
        <f t="shared" si="9"/>
        <v>101.34869683508096</v>
      </c>
      <c r="P42" s="57">
        <f t="shared" si="5"/>
        <v>99.619491817332232</v>
      </c>
      <c r="R42" s="47"/>
      <c r="S42" s="47"/>
      <c r="T42" s="47"/>
    </row>
    <row r="43" spans="1:20" ht="12.75" customHeight="1" thickBot="1" x14ac:dyDescent="0.4">
      <c r="A43" s="49">
        <f>'New Vestas G27 105L'!P48</f>
        <v>3409.9601610596401</v>
      </c>
      <c r="B43" s="48">
        <f>'New Vestas G27 105L'!T48</f>
        <v>133.86260302177348</v>
      </c>
      <c r="C43" s="50">
        <f t="shared" si="0"/>
        <v>3.5327493051118433</v>
      </c>
      <c r="D43" s="50">
        <f t="shared" si="0"/>
        <v>2.1266592658116701</v>
      </c>
      <c r="E43" s="51">
        <f t="shared" si="6"/>
        <v>12.480317652768212</v>
      </c>
      <c r="F43" s="51">
        <f t="shared" si="6"/>
        <v>4.5226796328626317</v>
      </c>
      <c r="G43" s="52">
        <f t="shared" si="7"/>
        <v>7.5129540435058404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4.6742689887494482</v>
      </c>
      <c r="K43" s="51">
        <f t="shared" si="2"/>
        <v>2.0064879559184532</v>
      </c>
      <c r="L43" s="55">
        <f t="shared" si="3"/>
        <v>7.4205541830820359E-3</v>
      </c>
      <c r="M43" s="51">
        <f t="shared" si="4"/>
        <v>1.9990674017353711</v>
      </c>
      <c r="N43" s="94">
        <f t="shared" si="8"/>
        <v>47235.551327095469</v>
      </c>
      <c r="O43" s="56">
        <f t="shared" si="9"/>
        <v>101.50512162515301</v>
      </c>
      <c r="P43" s="57">
        <f t="shared" si="5"/>
        <v>99.785491712380335</v>
      </c>
      <c r="R43" s="47"/>
      <c r="S43" s="47"/>
      <c r="T43" s="47"/>
    </row>
    <row r="44" spans="1:20" ht="12.75" customHeight="1" x14ac:dyDescent="0.35">
      <c r="A44" s="49">
        <f>'New Vestas G27 105L'!P49</f>
        <v>4546.6135480795201</v>
      </c>
      <c r="B44" s="48">
        <f>'New Vestas G27 105L'!T49</f>
        <v>126.30771195903883</v>
      </c>
      <c r="C44" s="50">
        <f t="shared" si="0"/>
        <v>3.6576880417201432</v>
      </c>
      <c r="D44" s="50">
        <f t="shared" si="0"/>
        <v>2.1014298680454764</v>
      </c>
      <c r="E44" s="51">
        <f t="shared" si="6"/>
        <v>13.378681810542536</v>
      </c>
      <c r="F44" s="51">
        <f t="shared" si="6"/>
        <v>4.4160074903136284</v>
      </c>
      <c r="G44" s="52">
        <f t="shared" si="7"/>
        <v>7.6863748988634777</v>
      </c>
      <c r="H44" s="86"/>
      <c r="I44" s="86"/>
      <c r="J44" s="51">
        <f t="shared" si="1"/>
        <v>4.6670251169521935</v>
      </c>
      <c r="K44" s="51">
        <f t="shared" si="2"/>
        <v>2.0071689150873779</v>
      </c>
      <c r="L44" s="55">
        <f t="shared" si="3"/>
        <v>7.366741129345598E-3</v>
      </c>
      <c r="M44" s="51">
        <f t="shared" si="4"/>
        <v>1.9998021739580323</v>
      </c>
      <c r="N44" s="94">
        <f t="shared" si="8"/>
        <v>46454.214073873882</v>
      </c>
      <c r="O44" s="56">
        <f t="shared" si="9"/>
        <v>101.66440308982847</v>
      </c>
      <c r="P44" s="57">
        <f t="shared" si="5"/>
        <v>99.954459243427948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/>
      <c r="I45" s="86"/>
      <c r="J45" s="51">
        <f t="shared" si="1"/>
        <v>4.6596583675953074</v>
      </c>
      <c r="K45" s="51">
        <f t="shared" si="2"/>
        <v>2.0078614253443434</v>
      </c>
      <c r="L45" s="55">
        <f t="shared" si="3"/>
        <v>7.3124047460350929E-3</v>
      </c>
      <c r="M45" s="51">
        <f t="shared" si="4"/>
        <v>2.0005490205983083</v>
      </c>
      <c r="N45" s="94">
        <f t="shared" si="8"/>
        <v>45672.87682065228</v>
      </c>
      <c r="O45" s="56">
        <f t="shared" si="9"/>
        <v>101.82664278257195</v>
      </c>
      <c r="P45" s="57">
        <f t="shared" si="5"/>
        <v>100.12649660408862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4.6521644999031935</v>
      </c>
      <c r="K46" s="51">
        <f t="shared" si="2"/>
        <v>2.0085658853428745</v>
      </c>
      <c r="L46" s="55">
        <f t="shared" si="3"/>
        <v>7.2575428039591073E-3</v>
      </c>
      <c r="M46" s="51">
        <f t="shared" si="4"/>
        <v>2.0013083425389153</v>
      </c>
      <c r="N46" s="94">
        <f t="shared" si="8"/>
        <v>44891.539567430664</v>
      </c>
      <c r="O46" s="56">
        <f t="shared" si="9"/>
        <v>101.99194768332616</v>
      </c>
      <c r="P46" s="57">
        <f t="shared" si="5"/>
        <v>100.30171123759561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4.6445390497018506</v>
      </c>
      <c r="K47" s="51">
        <f t="shared" si="2"/>
        <v>2.009282714737032</v>
      </c>
      <c r="L47" s="55">
        <f t="shared" si="3"/>
        <v>7.2021538950300034E-3</v>
      </c>
      <c r="M47" s="51">
        <f t="shared" si="4"/>
        <v>2.002080560842002</v>
      </c>
      <c r="N47" s="94">
        <f t="shared" si="8"/>
        <v>44110.202314209026</v>
      </c>
      <c r="O47" s="56">
        <f t="shared" si="9"/>
        <v>102.16043058894283</v>
      </c>
      <c r="P47" s="57">
        <f t="shared" si="5"/>
        <v>100.48021619783005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4.6367773134468884</v>
      </c>
      <c r="K48" s="51">
        <f t="shared" si="2"/>
        <v>2.0100123556828584</v>
      </c>
      <c r="L48" s="55">
        <f t="shared" si="3"/>
        <v>7.1462375622328433E-3</v>
      </c>
      <c r="M48" s="51">
        <f t="shared" si="4"/>
        <v>2.0028661181206258</v>
      </c>
      <c r="N48" s="94">
        <f t="shared" si="8"/>
        <v>43328.865060987438</v>
      </c>
      <c r="O48" s="56">
        <f t="shared" si="9"/>
        <v>102.33221053919409</v>
      </c>
      <c r="P48" s="57">
        <f t="shared" si="5"/>
        <v>100.66213054169545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4.6288743307981148</v>
      </c>
      <c r="K49" s="51">
        <f t="shared" si="2"/>
        <v>2.0107552744764479</v>
      </c>
      <c r="L49" s="55">
        <f t="shared" si="3"/>
        <v>7.0897944478524634E-3</v>
      </c>
      <c r="M49" s="51">
        <f t="shared" si="4"/>
        <v>2.0036654800285953</v>
      </c>
      <c r="N49" s="94">
        <f t="shared" si="8"/>
        <v>42547.527807765808</v>
      </c>
      <c r="O49" s="56">
        <f t="shared" si="9"/>
        <v>102.50741328230988</v>
      </c>
      <c r="P49" s="57">
        <f t="shared" si="5"/>
        <v>100.84757975615101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4.62082486557905</v>
      </c>
      <c r="K50" s="51">
        <f t="shared" si="2"/>
        <v>2.0115119633438487</v>
      </c>
      <c r="L50" s="55">
        <f t="shared" si="3"/>
        <v>7.032826462638829E-3</v>
      </c>
      <c r="M50" s="51">
        <f t="shared" si="4"/>
        <v>2.0044791368812098</v>
      </c>
      <c r="N50" s="94">
        <f t="shared" si="8"/>
        <v>41766.190554544213</v>
      </c>
      <c r="O50" s="56">
        <f t="shared" si="9"/>
        <v>102.68617178451586</v>
      </c>
      <c r="P50" s="57">
        <f t="shared" si="5"/>
        <v>101.0366962236434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4.6126233849383116</v>
      </c>
      <c r="K51" s="51">
        <f t="shared" si="2"/>
        <v>2.0122829423999917</v>
      </c>
      <c r="L51" s="55">
        <f t="shared" si="3"/>
        <v>6.975336979013127E-3</v>
      </c>
      <c r="M51" s="51">
        <f t="shared" si="4"/>
        <v>2.0053076054209784</v>
      </c>
      <c r="N51" s="94">
        <f t="shared" si="8"/>
        <v>40984.853301322597</v>
      </c>
      <c r="O51" s="56">
        <f t="shared" si="9"/>
        <v>102.8686267886351</v>
      </c>
      <c r="P51" s="57">
        <f t="shared" si="5"/>
        <v>101.22961973014544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4.6042640365052048</v>
      </c>
      <c r="K52" s="51">
        <f t="shared" si="2"/>
        <v>2.0130687617961769</v>
      </c>
      <c r="L52" s="55">
        <f t="shared" si="3"/>
        <v>6.9173310519114748E-3</v>
      </c>
      <c r="M52" s="51">
        <f t="shared" si="4"/>
        <v>2.0061514307442656</v>
      </c>
      <c r="N52" s="94">
        <f t="shared" si="8"/>
        <v>40203.516048100952</v>
      </c>
      <c r="O52" s="56">
        <f t="shared" si="9"/>
        <v>103.0549274275195</v>
      </c>
      <c r="P52" s="57">
        <f t="shared" si="5"/>
        <v>101.42649802057359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4.5957406233032501</v>
      </c>
      <c r="K53" s="51">
        <f t="shared" si="2"/>
        <v>2.0138700040783228</v>
      </c>
      <c r="L53" s="55">
        <f t="shared" si="3"/>
        <v>6.8588156714410858E-3</v>
      </c>
      <c r="M53" s="51">
        <f t="shared" si="4"/>
        <v>2.007011188406882</v>
      </c>
      <c r="N53" s="94">
        <f t="shared" si="8"/>
        <v>39422.178794879328</v>
      </c>
      <c r="O53" s="56">
        <f t="shared" si="9"/>
        <v>103.24523189887223</v>
      </c>
      <c r="P53" s="57">
        <f t="shared" si="5"/>
        <v>101.62748740698714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4.5870465761523169</v>
      </c>
      <c r="K54" s="51">
        <f t="shared" si="2"/>
        <v>2.0146872867813013</v>
      </c>
      <c r="L54" s="55">
        <f t="shared" si="3"/>
        <v>6.7998000522019536E-3</v>
      </c>
      <c r="M54" s="51">
        <f t="shared" si="4"/>
        <v>2.0078874867290994</v>
      </c>
      <c r="N54" s="94">
        <f t="shared" si="8"/>
        <v>38640.841541657661</v>
      </c>
      <c r="O54" s="56">
        <f t="shared" si="9"/>
        <v>103.43970820896112</v>
      </c>
      <c r="P54" s="57">
        <f t="shared" si="5"/>
        <v>101.83275343571589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4.5781749232514901</v>
      </c>
      <c r="K55" s="51">
        <f t="shared" si="2"/>
        <v>2.0155212652882959</v>
      </c>
      <c r="L55" s="55">
        <f t="shared" si="3"/>
        <v>6.74029596492261E-3</v>
      </c>
      <c r="M55" s="51">
        <f t="shared" si="4"/>
        <v>2.0087809693233734</v>
      </c>
      <c r="N55" s="94">
        <f t="shared" si="8"/>
        <v>37859.504288436052</v>
      </c>
      <c r="O55" s="56">
        <f t="shared" si="9"/>
        <v>103.63853499380821</v>
      </c>
      <c r="P55" s="57">
        <f t="shared" si="5"/>
        <v>102.0424716204175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4.5691182565898298</v>
      </c>
      <c r="K56" s="51">
        <f t="shared" si="2"/>
        <v>2.0163726359883531</v>
      </c>
      <c r="L56" s="55">
        <f t="shared" si="3"/>
        <v>6.6803181169930344E-3</v>
      </c>
      <c r="M56" s="51">
        <f t="shared" si="4"/>
        <v>2.0096923178713602</v>
      </c>
      <c r="N56" s="94">
        <f t="shared" si="8"/>
        <v>37078.167035214501</v>
      </c>
      <c r="O56" s="56">
        <f t="shared" si="9"/>
        <v>103.84190242771167</v>
      </c>
      <c r="P56" s="57">
        <f t="shared" si="5"/>
        <v>102.25682824907106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4.5598686947795999</v>
      </c>
      <c r="K57" s="51">
        <f t="shared" si="2"/>
        <v>2.0172421397702394</v>
      </c>
      <c r="L57" s="55">
        <f t="shared" si="3"/>
        <v>6.6198845895772181E-3</v>
      </c>
      <c r="M57" s="51">
        <f t="shared" si="4"/>
        <v>2.0106222551806621</v>
      </c>
      <c r="N57" s="94">
        <f t="shared" si="8"/>
        <v>36296.829781992856</v>
      </c>
      <c r="O57" s="56">
        <f t="shared" si="9"/>
        <v>104.05001323044962</v>
      </c>
      <c r="P57" s="57">
        <f t="shared" si="5"/>
        <v>102.47602127408108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4.5504178418447427</v>
      </c>
      <c r="K58" s="51">
        <f t="shared" si="2"/>
        <v>2.0181305658965254</v>
      </c>
      <c r="L58" s="55">
        <f t="shared" si="3"/>
        <v>6.5590173402817779E-3</v>
      </c>
      <c r="M58" s="51">
        <f t="shared" si="4"/>
        <v>2.0115715485562435</v>
      </c>
      <c r="N58" s="94">
        <f t="shared" si="8"/>
        <v>35515.492528771189</v>
      </c>
      <c r="O58" s="56">
        <f t="shared" si="9"/>
        <v>104.26308378626912</v>
      </c>
      <c r="P58" s="57">
        <f t="shared" si="5"/>
        <v>102.70026129604413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4.5407567414246115</v>
      </c>
      <c r="K59" s="51">
        <f t="shared" si="2"/>
        <v>2.0190387563086589</v>
      </c>
      <c r="L59" s="55">
        <f t="shared" si="3"/>
        <v>6.497742781881556E-3</v>
      </c>
      <c r="M59" s="51">
        <f t="shared" si="4"/>
        <v>2.0125410135267772</v>
      </c>
      <c r="N59" s="94">
        <f t="shared" si="8"/>
        <v>34734.155275549594</v>
      </c>
      <c r="O59" s="56">
        <f t="shared" si="9"/>
        <v>104.48134538983169</v>
      </c>
      <c r="P59" s="57">
        <f t="shared" si="5"/>
        <v>102.9297726533478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4.530875825766941</v>
      </c>
      <c r="K60" s="51">
        <f t="shared" si="2"/>
        <v>2.0199676104218711</v>
      </c>
      <c r="L60" s="55">
        <f t="shared" si="3"/>
        <v>6.4360924494006747E-3</v>
      </c>
      <c r="M60" s="51">
        <f t="shared" si="4"/>
        <v>2.0135315179724707</v>
      </c>
      <c r="N60" s="94">
        <f t="shared" si="8"/>
        <v>33952.818022327985</v>
      </c>
      <c r="O60" s="56">
        <f t="shared" si="9"/>
        <v>104.70504563674058</v>
      </c>
      <c r="P60" s="57">
        <f t="shared" si="5"/>
        <v>103.16479463169094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4.5207648587820062</v>
      </c>
      <c r="K61" s="51">
        <f t="shared" si="2"/>
        <v>2.0209180904783643</v>
      </c>
      <c r="L61" s="55">
        <f t="shared" si="3"/>
        <v>6.3741037699680024E-3</v>
      </c>
      <c r="M61" s="51">
        <f t="shared" si="4"/>
        <v>2.0145439867083965</v>
      </c>
      <c r="N61" s="94">
        <f t="shared" si="8"/>
        <v>33171.480769106311</v>
      </c>
      <c r="O61" s="56">
        <f t="shared" si="9"/>
        <v>104.93444997919177</v>
      </c>
      <c r="P61" s="57">
        <f t="shared" si="5"/>
        <v>103.40558280989534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4.5104128723083772</v>
      </c>
      <c r="K62" s="51">
        <f t="shared" si="2"/>
        <v>2.0218912275386409</v>
      </c>
      <c r="L62" s="55">
        <f t="shared" si="3"/>
        <v>6.3118209523681731E-3</v>
      </c>
      <c r="M62" s="51">
        <f t="shared" si="4"/>
        <v>2.0155794065862729</v>
      </c>
      <c r="N62" s="94">
        <f t="shared" si="8"/>
        <v>32390.143515884745</v>
      </c>
      <c r="O62" s="56">
        <f t="shared" si="9"/>
        <v>105.16984347076452</v>
      </c>
      <c r="P62" s="57">
        <f t="shared" si="5"/>
        <v>103.65241056109919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4.4998080945954255</v>
      </c>
      <c r="K63" s="51">
        <f t="shared" si="2"/>
        <v>2.022888128204495</v>
      </c>
      <c r="L63" s="55">
        <f t="shared" si="3"/>
        <v>6.2492960161627366E-3</v>
      </c>
      <c r="M63" s="51">
        <f t="shared" si="4"/>
        <v>2.0166388321883324</v>
      </c>
      <c r="N63" s="94">
        <f t="shared" si="8"/>
        <v>31608.806262663107</v>
      </c>
      <c r="O63" s="56">
        <f t="shared" si="9"/>
        <v>105.41153272853722</v>
      </c>
      <c r="P63" s="57">
        <f t="shared" si="5"/>
        <v>103.90557073168894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4.4889378698333831</v>
      </c>
      <c r="K64" s="51">
        <f t="shared" si="2"/>
        <v>2.0239099821835769</v>
      </c>
      <c r="L64" s="55">
        <f t="shared" si="3"/>
        <v>6.1865899837413498E-3</v>
      </c>
      <c r="M64" s="51">
        <f t="shared" si="4"/>
        <v>2.0177233921998354</v>
      </c>
      <c r="N64" s="94">
        <f t="shared" si="8"/>
        <v>30827.469009441487</v>
      </c>
      <c r="O64" s="56">
        <f t="shared" si="9"/>
        <v>105.65984814572396</v>
      </c>
      <c r="P64" s="57">
        <f t="shared" si="5"/>
        <v>104.16537752426598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4.4777885673515536</v>
      </c>
      <c r="K65" s="51">
        <f t="shared" si="2"/>
        <v>2.0249580708252055</v>
      </c>
      <c r="L65" s="55">
        <f t="shared" si="3"/>
        <v>6.1237742627742071E-3</v>
      </c>
      <c r="M65" s="51">
        <f t="shared" si="4"/>
        <v>2.0188342965624315</v>
      </c>
      <c r="N65" s="94">
        <f t="shared" si="8"/>
        <v>30046.131756219853</v>
      </c>
      <c r="O65" s="56">
        <f t="shared" si="9"/>
        <v>105.91514639408562</v>
      </c>
      <c r="P65" s="57">
        <f t="shared" si="5"/>
        <v>104.43216861572107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4.466345478850771</v>
      </c>
      <c r="K66" s="51">
        <f t="shared" ref="K66:K129" si="11">+$I$14+$I$13*J66</f>
        <v>2.0260337767810146</v>
      </c>
      <c r="L66" s="55">
        <f t="shared" ref="L66:L129" si="12">SQRT(2*$I$20*$I$17)*SQRT((1/$I$2)+((J66-$I$11)^2/$I$8))</f>
        <v>6.0609322513831363E-3</v>
      </c>
      <c r="M66" s="51">
        <f t="shared" ref="M66:M102" si="13">+$I$14+$I$13*J66-L66</f>
        <v>2.0199728445296317</v>
      </c>
      <c r="N66" s="94">
        <f t="shared" si="8"/>
        <v>29264.794502998258</v>
      </c>
      <c r="O66" s="56">
        <f t="shared" si="9"/>
        <v>106.17781326271087</v>
      </c>
      <c r="P66" s="57">
        <f t="shared" ref="P66:P102" si="14">10^M66</f>
        <v>104.70630754730419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4.4545927017265772</v>
      </c>
      <c r="K67" s="51">
        <f t="shared" si="11"/>
        <v>2.0271385949731422</v>
      </c>
      <c r="L67" s="55">
        <f t="shared" si="12"/>
        <v>5.998161204054663E-3</v>
      </c>
      <c r="M67" s="51">
        <f t="shared" si="13"/>
        <v>2.0211404337690877</v>
      </c>
      <c r="N67" s="94">
        <f t="shared" ref="N67:N101" si="15">10^$J67</f>
        <v>28483.457249776628</v>
      </c>
      <c r="O67" s="56">
        <f t="shared" ref="O67:O102" si="16">10^K67</f>
        <v>106.44826688873162</v>
      </c>
      <c r="P67" s="57">
        <f t="shared" si="14"/>
        <v>104.98818643072653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4.4425130061610068</v>
      </c>
      <c r="K68" s="51">
        <f t="shared" si="11"/>
        <v>2.0282741450882491</v>
      </c>
      <c r="L68" s="55">
        <f t="shared" si="12"/>
        <v>5.9355744030254662E-3</v>
      </c>
      <c r="M68" s="51">
        <f t="shared" si="13"/>
        <v>2.0223385706852235</v>
      </c>
      <c r="N68" s="94">
        <f t="shared" si="15"/>
        <v>27702.119996555</v>
      </c>
      <c r="O68" s="56">
        <f t="shared" si="16"/>
        <v>106.72696144651196</v>
      </c>
      <c r="P68" s="57">
        <f t="shared" si="14"/>
        <v>105.27822902312677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4.4300876831956373</v>
      </c>
      <c r="K69" s="51">
        <f t="shared" si="11"/>
        <v>2.029442185859391</v>
      </c>
      <c r="L69" s="55">
        <f t="shared" si="12"/>
        <v>5.8733036877388596E-3</v>
      </c>
      <c r="M69" s="51">
        <f t="shared" si="13"/>
        <v>2.0235688821716522</v>
      </c>
      <c r="N69" s="94">
        <f t="shared" si="15"/>
        <v>26920.782743333402</v>
      </c>
      <c r="O69" s="56">
        <f t="shared" si="16"/>
        <v>107.01439137538108</v>
      </c>
      <c r="P69" s="57">
        <f t="shared" si="14"/>
        <v>105.5768942346759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4.4172963704236015</v>
      </c>
      <c r="K70" s="51">
        <f t="shared" si="11"/>
        <v>2.0306446314518158</v>
      </c>
      <c r="L70" s="55">
        <f t="shared" si="12"/>
        <v>5.8115024041767924E-3</v>
      </c>
      <c r="M70" s="51">
        <f t="shared" si="13"/>
        <v>2.0248331290476389</v>
      </c>
      <c r="N70" s="94">
        <f t="shared" si="15"/>
        <v>26139.445490111717</v>
      </c>
      <c r="O70" s="56">
        <f t="shared" si="16"/>
        <v>107.31109624274104</v>
      </c>
      <c r="P70" s="57">
        <f t="shared" si="14"/>
        <v>105.88468014625566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4.4041168512237041</v>
      </c>
      <c r="K71" s="51">
        <f t="shared" si="11"/>
        <v>2.0318835703359346</v>
      </c>
      <c r="L71" s="55">
        <f t="shared" si="12"/>
        <v>5.7503488466097282E-3</v>
      </c>
      <c r="M71" s="51">
        <f t="shared" si="13"/>
        <v>2.0261332214893248</v>
      </c>
      <c r="N71" s="94">
        <f t="shared" si="15"/>
        <v>25358.108236890144</v>
      </c>
      <c r="O71" s="56">
        <f t="shared" si="16"/>
        <v>107.61766636026516</v>
      </c>
      <c r="P71" s="57">
        <f t="shared" si="14"/>
        <v>106.20212863184449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4.3905248225661344</v>
      </c>
      <c r="K72" s="51">
        <f t="shared" si="11"/>
        <v>2.0331612871147113</v>
      </c>
      <c r="L72" s="55">
        <f t="shared" si="12"/>
        <v>5.6900502767858394E-3</v>
      </c>
      <c r="M72" s="51">
        <f t="shared" si="13"/>
        <v>2.0274712368379255</v>
      </c>
      <c r="N72" s="94">
        <f t="shared" si="15"/>
        <v>24576.770983668524</v>
      </c>
      <c r="O72" s="56">
        <f t="shared" si="16"/>
        <v>107.93474929708493</v>
      </c>
      <c r="P72" s="57">
        <f t="shared" si="14"/>
        <v>106.52983070203018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4.3764936252945992</v>
      </c>
      <c r="K73" s="51">
        <f t="shared" si="11"/>
        <v>2.0344802878784551</v>
      </c>
      <c r="L73" s="55">
        <f t="shared" si="12"/>
        <v>5.6308476200268021E-3</v>
      </c>
      <c r="M73" s="51">
        <f t="shared" si="13"/>
        <v>2.0288494402584285</v>
      </c>
      <c r="N73" s="94">
        <f t="shared" si="15"/>
        <v>23795.433730446934</v>
      </c>
      <c r="O73" s="56">
        <f t="shared" si="16"/>
        <v>108.26305746691712</v>
      </c>
      <c r="P73" s="57">
        <f t="shared" si="14"/>
        <v>106.86843271288105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4.3619939293643455</v>
      </c>
      <c r="K74" s="51">
        <f t="shared" si="11"/>
        <v>2.0358433297939773</v>
      </c>
      <c r="L74" s="55">
        <f t="shared" si="12"/>
        <v>5.5730209543514717E-3</v>
      </c>
      <c r="M74" s="51">
        <f t="shared" si="13"/>
        <v>2.0302703088396257</v>
      </c>
      <c r="N74" s="94">
        <f t="shared" si="15"/>
        <v>23014.096477225241</v>
      </c>
      <c r="O74" s="56">
        <f t="shared" si="16"/>
        <v>108.60337700807239</v>
      </c>
      <c r="P74" s="57">
        <f t="shared" si="14"/>
        <v>107.21864362016257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4.3469933646961483</v>
      </c>
      <c r="K75" s="51">
        <f t="shared" si="11"/>
        <v>2.0372534558061091</v>
      </c>
      <c r="L75" s="55">
        <f t="shared" si="12"/>
        <v>5.516895927880499E-3</v>
      </c>
      <c r="M75" s="51">
        <f t="shared" si="13"/>
        <v>2.0317365598782287</v>
      </c>
      <c r="N75" s="94">
        <f t="shared" si="15"/>
        <v>22232.759224003679</v>
      </c>
      <c r="O75" s="56">
        <f t="shared" si="16"/>
        <v>108.9565782290579</v>
      </c>
      <c r="P75" s="57">
        <f t="shared" si="14"/>
        <v>107.58124350520559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4.3314560859657503</v>
      </c>
      <c r="K76" s="51">
        <f t="shared" si="11"/>
        <v>2.0387140355496118</v>
      </c>
      <c r="L76" s="55">
        <f t="shared" si="12"/>
        <v>5.4628512617056705E-3</v>
      </c>
      <c r="M76" s="51">
        <f t="shared" si="13"/>
        <v>2.0332511842879062</v>
      </c>
      <c r="N76" s="94">
        <f t="shared" si="15"/>
        <v>21451.421970782041</v>
      </c>
      <c r="O76" s="56">
        <f t="shared" si="16"/>
        <v>109.32362796185222</v>
      </c>
      <c r="P76" s="57">
        <f t="shared" si="14"/>
        <v>107.95709365919062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4.3153422566124648</v>
      </c>
      <c r="K77" s="51">
        <f t="shared" si="11"/>
        <v>2.0402288138548772</v>
      </c>
      <c r="L77" s="55">
        <f t="shared" si="12"/>
        <v>5.4113275205724823E-3</v>
      </c>
      <c r="M77" s="51">
        <f t="shared" si="13"/>
        <v>2.0348174863343047</v>
      </c>
      <c r="N77" s="94">
        <f t="shared" si="15"/>
        <v>20670.084717560425</v>
      </c>
      <c r="O77" s="56">
        <f t="shared" si="16"/>
        <v>109.70560425518609</v>
      </c>
      <c r="P77" s="57">
        <f t="shared" si="14"/>
        <v>108.34714859215423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4.2986074333781055</v>
      </c>
      <c r="K78" s="51">
        <f t="shared" si="11"/>
        <v>2.0418019686042599</v>
      </c>
      <c r="L78" s="55">
        <f t="shared" si="12"/>
        <v>5.3628373627935067E-3</v>
      </c>
      <c r="M78" s="51">
        <f t="shared" si="13"/>
        <v>2.0364391312414662</v>
      </c>
      <c r="N78" s="94">
        <f t="shared" si="15"/>
        <v>19888.747464338801</v>
      </c>
      <c r="O78" s="56">
        <f t="shared" si="16"/>
        <v>110.10371395863929</v>
      </c>
      <c r="P78" s="57">
        <f t="shared" si="14"/>
        <v>108.75247043846846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4.2812018274401611</v>
      </c>
      <c r="K79" s="51">
        <f t="shared" si="11"/>
        <v>2.0434381801891508</v>
      </c>
      <c r="L79" s="55">
        <f t="shared" si="12"/>
        <v>5.3179775149319224E-3</v>
      </c>
      <c r="M79" s="51">
        <f t="shared" si="13"/>
        <v>2.0381202026742189</v>
      </c>
      <c r="N79" s="94">
        <f t="shared" si="15"/>
        <v>19107.410211117196</v>
      </c>
      <c r="O79" s="56">
        <f t="shared" si="16"/>
        <v>110.51931390537574</v>
      </c>
      <c r="P79" s="57">
        <f t="shared" si="14"/>
        <v>109.17424637151028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4.2630694112014025</v>
      </c>
      <c r="K80" s="51">
        <f t="shared" si="11"/>
        <v>2.0451427154760982</v>
      </c>
      <c r="L80" s="55">
        <f t="shared" si="12"/>
        <v>5.2774427580353396E-3</v>
      </c>
      <c r="M80" s="51">
        <f t="shared" si="13"/>
        <v>2.0398652727180626</v>
      </c>
      <c r="N80" s="94">
        <f t="shared" si="15"/>
        <v>18326.072957895525</v>
      </c>
      <c r="O80" s="56">
        <f t="shared" si="16"/>
        <v>110.95393661156426</v>
      </c>
      <c r="P80" s="57">
        <f t="shared" si="14"/>
        <v>109.61380983021782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4.2441468303532917</v>
      </c>
      <c r="K81" s="51">
        <f t="shared" si="11"/>
        <v>2.0469215300781345</v>
      </c>
      <c r="L81" s="55">
        <f t="shared" si="12"/>
        <v>5.2420422643320603E-3</v>
      </c>
      <c r="M81" s="51">
        <f t="shared" si="13"/>
        <v>2.0416794878138025</v>
      </c>
      <c r="N81" s="94">
        <f t="shared" si="15"/>
        <v>17544.73570467392</v>
      </c>
      <c r="O81" s="56">
        <f t="shared" si="16"/>
        <v>111.40932169512</v>
      </c>
      <c r="P81" s="57">
        <f t="shared" si="14"/>
        <v>110.07266661855317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4.2243620679395315</v>
      </c>
      <c r="K82" s="51">
        <f t="shared" si="11"/>
        <v>2.0487813939393025</v>
      </c>
      <c r="L82" s="55">
        <f t="shared" si="12"/>
        <v>5.2127186931502627E-3</v>
      </c>
      <c r="M82" s="51">
        <f t="shared" si="13"/>
        <v>2.0435686752461524</v>
      </c>
      <c r="N82" s="94">
        <f t="shared" si="15"/>
        <v>16763.398451452318</v>
      </c>
      <c r="O82" s="56">
        <f t="shared" si="16"/>
        <v>111.88745460625944</v>
      </c>
      <c r="P82" s="57">
        <f t="shared" si="14"/>
        <v>110.55252729341507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4.2036327893265701</v>
      </c>
      <c r="K83" s="51">
        <f t="shared" si="11"/>
        <v>2.050730046915469</v>
      </c>
      <c r="L83" s="55">
        <f t="shared" si="12"/>
        <v>5.1905705545170619E-3</v>
      </c>
      <c r="M83" s="51">
        <f t="shared" si="13"/>
        <v>2.0455394763609518</v>
      </c>
      <c r="N83" s="94">
        <f t="shared" si="15"/>
        <v>15982.061198230678</v>
      </c>
      <c r="O83" s="56">
        <f t="shared" si="16"/>
        <v>112.3906148033447</v>
      </c>
      <c r="P83" s="57">
        <f t="shared" si="14"/>
        <v>111.05534774807673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4.1818642720129056</v>
      </c>
      <c r="K84" s="51">
        <f t="shared" si="11"/>
        <v>2.0527763933823202</v>
      </c>
      <c r="L84" s="55">
        <f t="shared" si="12"/>
        <v>5.1768784995444997E-3</v>
      </c>
      <c r="M84" s="51">
        <f t="shared" si="13"/>
        <v>2.0475995148827759</v>
      </c>
      <c r="N84" s="94">
        <f t="shared" si="15"/>
        <v>15200.723945009056</v>
      </c>
      <c r="O84" s="56">
        <f t="shared" si="16"/>
        <v>112.92143626875506</v>
      </c>
      <c r="P84" s="57">
        <f t="shared" si="14"/>
        <v>111.58338058751789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4.1589467886748874</v>
      </c>
      <c r="K85" s="51">
        <f t="shared" si="11"/>
        <v>2.0549307482417776</v>
      </c>
      <c r="L85" s="55">
        <f t="shared" si="12"/>
        <v>5.1731364342584452E-3</v>
      </c>
      <c r="M85" s="51">
        <f t="shared" si="13"/>
        <v>2.0497576118075189</v>
      </c>
      <c r="N85" s="94">
        <f t="shared" si="15"/>
        <v>14419.386691787418</v>
      </c>
      <c r="O85" s="56">
        <f t="shared" si="16"/>
        <v>113.48298434717152</v>
      </c>
      <c r="P85" s="57">
        <f t="shared" si="14"/>
        <v>112.13924087123674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4.134752260449237</v>
      </c>
      <c r="K86" s="51">
        <f t="shared" si="11"/>
        <v>2.0572051515297134</v>
      </c>
      <c r="L86" s="55">
        <f t="shared" si="12"/>
        <v>5.181088738019644E-3</v>
      </c>
      <c r="M86" s="51">
        <f t="shared" si="13"/>
        <v>2.0520240627916939</v>
      </c>
      <c r="N86" s="94">
        <f t="shared" si="15"/>
        <v>13638.04943856584</v>
      </c>
      <c r="O86" s="56">
        <f t="shared" si="16"/>
        <v>114.07885446879506</v>
      </c>
      <c r="P86" s="57">
        <f t="shared" si="14"/>
        <v>112.72599121129942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4.1091299217514203</v>
      </c>
      <c r="K87" s="51">
        <f t="shared" si="11"/>
        <v>2.0596137759441024</v>
      </c>
      <c r="L87" s="55">
        <f t="shared" si="12"/>
        <v>5.202775497907982E-3</v>
      </c>
      <c r="M87" s="51">
        <f t="shared" si="13"/>
        <v>2.0544110004461946</v>
      </c>
      <c r="N87" s="94">
        <f t="shared" si="15"/>
        <v>12856.712185344195</v>
      </c>
      <c r="O87" s="56">
        <f t="shared" si="16"/>
        <v>114.71330065806717</v>
      </c>
      <c r="P87" s="57">
        <f t="shared" si="14"/>
        <v>113.34725328584936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4.08190062417916</v>
      </c>
      <c r="K88" s="51">
        <f t="shared" si="11"/>
        <v>2.0621734623057848</v>
      </c>
      <c r="L88" s="55">
        <f t="shared" si="12"/>
        <v>5.2405887074674059E-3</v>
      </c>
      <c r="M88" s="51">
        <f t="shared" si="13"/>
        <v>2.0569328735983174</v>
      </c>
      <c r="N88" s="94">
        <f t="shared" si="15"/>
        <v>12075.374932122573</v>
      </c>
      <c r="O88" s="56">
        <f t="shared" si="16"/>
        <v>115.3914052587447</v>
      </c>
      <c r="P88" s="57">
        <f t="shared" si="14"/>
        <v>114.00735593254642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4.0528492322862393</v>
      </c>
      <c r="K89" s="51">
        <f t="shared" si="11"/>
        <v>2.0649044343927017</v>
      </c>
      <c r="L89" s="55">
        <f t="shared" si="12"/>
        <v>5.2973440848483521E-3</v>
      </c>
      <c r="M89" s="51">
        <f t="shared" si="13"/>
        <v>2.0596070903078534</v>
      </c>
      <c r="N89" s="94">
        <f t="shared" si="15"/>
        <v>11294.037678900952</v>
      </c>
      <c r="O89" s="56">
        <f t="shared" si="16"/>
        <v>116.11930675794822</v>
      </c>
      <c r="P89" s="57">
        <f t="shared" si="14"/>
        <v>114.711534746848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4.0217142887523956</v>
      </c>
      <c r="K90" s="51">
        <f t="shared" si="11"/>
        <v>2.0678312704641733</v>
      </c>
      <c r="L90" s="55">
        <f t="shared" si="12"/>
        <v>5.3763759762533551E-3</v>
      </c>
      <c r="M90" s="51">
        <f t="shared" si="13"/>
        <v>2.06245489448792</v>
      </c>
      <c r="N90" s="94">
        <f t="shared" si="15"/>
        <v>10512.700425679348</v>
      </c>
      <c r="O90" s="56">
        <f t="shared" si="16"/>
        <v>116.90451122527833</v>
      </c>
      <c r="P90" s="57">
        <f t="shared" si="14"/>
        <v>115.46620560922435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3.9881736806392944</v>
      </c>
      <c r="K91" s="51">
        <f t="shared" si="11"/>
        <v>2.0709842507025287</v>
      </c>
      <c r="L91" s="55">
        <f t="shared" si="12"/>
        <v>5.4816674654167407E-3</v>
      </c>
      <c r="M91" s="51">
        <f t="shared" si="13"/>
        <v>2.0655025832371119</v>
      </c>
      <c r="N91" s="94">
        <f t="shared" si="15"/>
        <v>9731.3631724577081</v>
      </c>
      <c r="O91" s="56">
        <f t="shared" si="16"/>
        <v>117.75632694771868</v>
      </c>
      <c r="P91" s="57">
        <f t="shared" si="14"/>
        <v>116.27934674216621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3.9518242930326615</v>
      </c>
      <c r="K92" s="51">
        <f t="shared" si="11"/>
        <v>2.0744012698696701</v>
      </c>
      <c r="L92" s="55">
        <f t="shared" si="12"/>
        <v>5.6180356240095545E-3</v>
      </c>
      <c r="M92" s="51">
        <f t="shared" si="13"/>
        <v>2.0687832342456605</v>
      </c>
      <c r="N92" s="94">
        <f t="shared" si="15"/>
        <v>8950.0259192361009</v>
      </c>
      <c r="O92" s="56">
        <f t="shared" si="16"/>
        <v>118.68648550124738</v>
      </c>
      <c r="P92" s="57">
        <f t="shared" si="14"/>
        <v>117.16104435138323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3.9121523440693515</v>
      </c>
      <c r="K93" s="51">
        <f t="shared" si="11"/>
        <v>2.0781306259587597</v>
      </c>
      <c r="L93" s="55">
        <f t="shared" si="12"/>
        <v>5.7914052827164105E-3</v>
      </c>
      <c r="M93" s="51">
        <f t="shared" si="13"/>
        <v>2.0723392206760431</v>
      </c>
      <c r="N93" s="94">
        <f t="shared" si="15"/>
        <v>8168.6886660144773</v>
      </c>
      <c r="O93" s="56">
        <f t="shared" si="16"/>
        <v>119.71005379334629</v>
      </c>
      <c r="P93" s="57">
        <f t="shared" si="14"/>
        <v>118.12429259185046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3.8684887586943044</v>
      </c>
      <c r="K94" s="51">
        <f t="shared" si="11"/>
        <v>2.0822352152780419</v>
      </c>
      <c r="L94" s="55">
        <f t="shared" si="12"/>
        <v>6.0092287139758708E-3</v>
      </c>
      <c r="M94" s="51">
        <f t="shared" si="13"/>
        <v>2.076225986564066</v>
      </c>
      <c r="N94" s="94">
        <f t="shared" si="15"/>
        <v>7387.3514127928529</v>
      </c>
      <c r="O94" s="56">
        <f t="shared" si="16"/>
        <v>120.84681681146876</v>
      </c>
      <c r="P94" s="57">
        <f t="shared" si="14"/>
        <v>119.18620360325859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3.8199395002389944</v>
      </c>
      <c r="K95" s="51">
        <f t="shared" si="11"/>
        <v>2.0867990816211992</v>
      </c>
      <c r="L95" s="55">
        <f t="shared" si="12"/>
        <v>6.2811537046318392E-3</v>
      </c>
      <c r="M95" s="51">
        <f t="shared" si="13"/>
        <v>2.0805179279165675</v>
      </c>
      <c r="N95" s="94">
        <f t="shared" si="15"/>
        <v>6606.0141595712248</v>
      </c>
      <c r="O95" s="56">
        <f t="shared" si="16"/>
        <v>122.12345476846372</v>
      </c>
      <c r="P95" s="57">
        <f t="shared" si="14"/>
        <v>120.36990781297425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3.7652718401390639</v>
      </c>
      <c r="K96" s="51">
        <f t="shared" si="11"/>
        <v>2.0919381074668544</v>
      </c>
      <c r="L96" s="55">
        <f t="shared" si="12"/>
        <v>6.6201326247605835E-3</v>
      </c>
      <c r="M96" s="51">
        <f t="shared" si="13"/>
        <v>2.0853179748420936</v>
      </c>
      <c r="N96" s="94">
        <f t="shared" si="15"/>
        <v>5824.6769063496131</v>
      </c>
      <c r="O96" s="56">
        <f t="shared" si="16"/>
        <v>123.57713076356129</v>
      </c>
      <c r="P96" s="57">
        <f t="shared" si="14"/>
        <v>121.70767744696221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3.7027182175170519</v>
      </c>
      <c r="K97" s="51">
        <f t="shared" si="11"/>
        <v>2.0978184521314374</v>
      </c>
      <c r="L97" s="55">
        <f t="shared" si="12"/>
        <v>7.0443593608007209E-3</v>
      </c>
      <c r="M97" s="51">
        <f t="shared" si="13"/>
        <v>2.0907740927706366</v>
      </c>
      <c r="N97" s="94">
        <f t="shared" si="15"/>
        <v>5043.3396531279886</v>
      </c>
      <c r="O97" s="56">
        <f t="shared" si="16"/>
        <v>125.26174345451926</v>
      </c>
      <c r="P97" s="57">
        <f t="shared" si="14"/>
        <v>123.24635751211206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3.6296136899267037</v>
      </c>
      <c r="K98" s="51">
        <f t="shared" si="11"/>
        <v>2.1046906331619493</v>
      </c>
      <c r="L98" s="55">
        <f t="shared" si="12"/>
        <v>7.580879694739198E-3</v>
      </c>
      <c r="M98" s="51">
        <f t="shared" si="13"/>
        <v>2.0971097534672101</v>
      </c>
      <c r="N98" s="94">
        <f t="shared" si="15"/>
        <v>4262.0023999063642</v>
      </c>
      <c r="O98" s="56">
        <f t="shared" si="16"/>
        <v>127.25962324456084</v>
      </c>
      <c r="P98" s="57">
        <f t="shared" si="14"/>
        <v>125.05750314785756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3.5416622445017376</v>
      </c>
      <c r="K99" s="51">
        <f t="shared" si="11"/>
        <v>2.1129584966551995</v>
      </c>
      <c r="L99" s="55">
        <f t="shared" si="12"/>
        <v>8.272935395756657E-3</v>
      </c>
      <c r="M99" s="51">
        <f t="shared" si="13"/>
        <v>2.1046855612594428</v>
      </c>
      <c r="N99" s="94">
        <f t="shared" si="15"/>
        <v>3480.6651466847434</v>
      </c>
      <c r="O99" s="56">
        <f t="shared" si="16"/>
        <v>129.705531199208</v>
      </c>
      <c r="P99" s="57">
        <f t="shared" si="14"/>
        <v>127.25813705337011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3.4312556424936678</v>
      </c>
      <c r="K100" s="51">
        <f t="shared" si="11"/>
        <v>2.1233372540450945</v>
      </c>
      <c r="L100" s="55">
        <f t="shared" si="12"/>
        <v>9.1968474638298488E-3</v>
      </c>
      <c r="M100" s="51">
        <f t="shared" si="13"/>
        <v>2.1141404065812646</v>
      </c>
      <c r="N100" s="94">
        <f t="shared" si="15"/>
        <v>2699.3278934631276</v>
      </c>
      <c r="O100" s="56">
        <f t="shared" si="16"/>
        <v>132.84256543810494</v>
      </c>
      <c r="P100" s="57">
        <f t="shared" si="14"/>
        <v>130.05899883440847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3.2828464834908546</v>
      </c>
      <c r="K101" s="51">
        <f t="shared" si="11"/>
        <v>2.1372884365623861</v>
      </c>
      <c r="L101" s="55">
        <f t="shared" si="12"/>
        <v>1.0508603710125179E-2</v>
      </c>
      <c r="M101" s="51">
        <f t="shared" si="13"/>
        <v>2.1267798328522609</v>
      </c>
      <c r="N101" s="94">
        <f t="shared" si="15"/>
        <v>1917.9906402414949</v>
      </c>
      <c r="O101" s="56">
        <f t="shared" si="16"/>
        <v>137.17925393295002</v>
      </c>
      <c r="P101" s="57">
        <f t="shared" si="14"/>
        <v>133.8997705637326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3.0556280503921793</v>
      </c>
      <c r="K102" s="51">
        <f t="shared" si="11"/>
        <v>2.1586480740184042</v>
      </c>
      <c r="L102" s="55">
        <f t="shared" si="12"/>
        <v>1.2618753960935239E-2</v>
      </c>
      <c r="M102" s="51">
        <f t="shared" si="13"/>
        <v>2.1460293200574689</v>
      </c>
      <c r="N102" s="94">
        <f>10^$J102</f>
        <v>1136.6533870198773</v>
      </c>
      <c r="O102" s="56">
        <f t="shared" si="16"/>
        <v>144.09472218192386</v>
      </c>
      <c r="P102" s="57">
        <f t="shared" si="14"/>
        <v>139.96818145997597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4.8991109330125626</v>
      </c>
      <c r="K104" s="51">
        <f t="shared" si="11"/>
        <v>1.9853517199675579</v>
      </c>
      <c r="L104" s="55">
        <f t="shared" si="12"/>
        <v>9.2414960959647137E-3</v>
      </c>
      <c r="M104" s="51">
        <f>+$I$14+$I$13*J104+L104</f>
        <v>1.9945932160635227</v>
      </c>
      <c r="N104" s="94">
        <f t="shared" ref="N104:N167" si="17">10^$J104</f>
        <v>79270.378709181925</v>
      </c>
      <c r="O104" s="56">
        <f t="shared" ref="O104:O167" si="18">10^K104</f>
        <v>96.683356682692278</v>
      </c>
      <c r="P104" s="57">
        <f t="shared" ref="P104:P167" si="19">10^M104</f>
        <v>98.762759532988241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4.8948090253130232</v>
      </c>
      <c r="K105" s="51">
        <f t="shared" si="11"/>
        <v>1.985756120207355</v>
      </c>
      <c r="L105" s="55">
        <f t="shared" si="12"/>
        <v>9.2044649034731165E-3</v>
      </c>
      <c r="M105" s="51">
        <f t="shared" ref="M105:M168" si="21">+$I$14+$I$13*J105+L105</f>
        <v>1.9949605851108281</v>
      </c>
      <c r="N105" s="94">
        <f t="shared" si="17"/>
        <v>78489.041455960294</v>
      </c>
      <c r="O105" s="56">
        <f t="shared" si="18"/>
        <v>96.773426862331959</v>
      </c>
      <c r="P105" s="57">
        <f t="shared" si="19"/>
        <v>98.84633814686633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4.8904640783487894</v>
      </c>
      <c r="K106" s="51">
        <f t="shared" si="11"/>
        <v>1.9861645663472918</v>
      </c>
      <c r="L106" s="55">
        <f t="shared" si="12"/>
        <v>9.1671329180840824E-3</v>
      </c>
      <c r="M106" s="51">
        <f t="shared" si="21"/>
        <v>1.9953316992653758</v>
      </c>
      <c r="N106" s="94">
        <f t="shared" si="17"/>
        <v>77707.704202738794</v>
      </c>
      <c r="O106" s="56">
        <f t="shared" si="18"/>
        <v>96.864483339484352</v>
      </c>
      <c r="P106" s="57">
        <f t="shared" si="19"/>
        <v>98.930840608991673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4.8860752222202137</v>
      </c>
      <c r="K107" s="51">
        <f t="shared" si="11"/>
        <v>1.9865771401621648</v>
      </c>
      <c r="L107" s="55">
        <f t="shared" si="12"/>
        <v>9.1294956404368993E-3</v>
      </c>
      <c r="M107" s="51">
        <f t="shared" si="21"/>
        <v>1.9957066358026017</v>
      </c>
      <c r="N107" s="94">
        <f t="shared" si="17"/>
        <v>76926.366949517076</v>
      </c>
      <c r="O107" s="56">
        <f t="shared" si="18"/>
        <v>96.956546995835353</v>
      </c>
      <c r="P107" s="57">
        <f t="shared" si="19"/>
        <v>99.016286785470996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4.8816415603848604</v>
      </c>
      <c r="K108" s="51">
        <f t="shared" si="11"/>
        <v>1.9869939259313221</v>
      </c>
      <c r="L108" s="55">
        <f t="shared" si="12"/>
        <v>9.0915484878792661E-3</v>
      </c>
      <c r="M108" s="51">
        <f t="shared" si="21"/>
        <v>1.9960854744192014</v>
      </c>
      <c r="N108" s="94">
        <f t="shared" si="17"/>
        <v>76145.029696295489</v>
      </c>
      <c r="O108" s="56">
        <f t="shared" si="18"/>
        <v>97.049639372978632</v>
      </c>
      <c r="P108" s="57">
        <f t="shared" si="19"/>
        <v>99.10269718230623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4.8771621685582645</v>
      </c>
      <c r="K109" s="51">
        <f t="shared" si="11"/>
        <v>1.987415010541997</v>
      </c>
      <c r="L109" s="55">
        <f t="shared" si="12"/>
        <v>9.0532867935309482E-3</v>
      </c>
      <c r="M109" s="51">
        <f t="shared" si="21"/>
        <v>1.9964682973355279</v>
      </c>
      <c r="N109" s="94">
        <f t="shared" si="17"/>
        <v>75363.692443073902</v>
      </c>
      <c r="O109" s="56">
        <f t="shared" si="18"/>
        <v>97.143782700295219</v>
      </c>
      <c r="P109" s="57">
        <f t="shared" si="19"/>
        <v>99.190092973021507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4.8726360935574222</v>
      </c>
      <c r="K110" s="51">
        <f t="shared" si="11"/>
        <v>1.9878404835980266</v>
      </c>
      <c r="L110" s="55">
        <f t="shared" si="12"/>
        <v>9.0147058054410832E-3</v>
      </c>
      <c r="M110" s="51">
        <f t="shared" si="21"/>
        <v>1.9968551894034676</v>
      </c>
      <c r="N110" s="94">
        <f t="shared" si="17"/>
        <v>74582.355189852184</v>
      </c>
      <c r="O110" s="56">
        <f t="shared" si="18"/>
        <v>97.238999924315095</v>
      </c>
      <c r="P110" s="57">
        <f t="shared" si="19"/>
        <v>99.278496027793096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4.8680623520833768</v>
      </c>
      <c r="K111" s="51">
        <f t="shared" si="11"/>
        <v>1.9882704375342934</v>
      </c>
      <c r="L111" s="55">
        <f t="shared" si="12"/>
        <v>8.9758006858546482E-3</v>
      </c>
      <c r="M111" s="51">
        <f t="shared" si="21"/>
        <v>1.9972462382201481</v>
      </c>
      <c r="N111" s="94">
        <f t="shared" si="17"/>
        <v>73801.017936630684</v>
      </c>
      <c r="O111" s="56">
        <f t="shared" si="18"/>
        <v>97.335314739652759</v>
      </c>
      <c r="P111" s="57">
        <f t="shared" si="19"/>
        <v>99.367928944180051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4.8634399294390072</v>
      </c>
      <c r="K112" s="51">
        <f t="shared" si="11"/>
        <v>1.9887049677372606</v>
      </c>
      <c r="L112" s="55">
        <f t="shared" si="12"/>
        <v>8.9365665106055162E-3</v>
      </c>
      <c r="M112" s="51">
        <f t="shared" si="21"/>
        <v>1.9976415342478662</v>
      </c>
      <c r="N112" s="94">
        <f t="shared" si="17"/>
        <v>73019.680683409009</v>
      </c>
      <c r="O112" s="56">
        <f t="shared" si="18"/>
        <v>97.432751621623055</v>
      </c>
      <c r="P112" s="57">
        <f t="shared" si="19"/>
        <v>99.45841507956419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4.8587677781778531</v>
      </c>
      <c r="K113" s="51">
        <f t="shared" si="11"/>
        <v>1.9891441726719878</v>
      </c>
      <c r="L113" s="55">
        <f t="shared" si="12"/>
        <v>8.8969982686558421E-3</v>
      </c>
      <c r="M113" s="51">
        <f t="shared" si="21"/>
        <v>1.9980411709406436</v>
      </c>
      <c r="N113" s="94">
        <f t="shared" si="17"/>
        <v>72238.343430187349</v>
      </c>
      <c r="O113" s="56">
        <f t="shared" si="18"/>
        <v>97.531335860643836</v>
      </c>
      <c r="P113" s="57">
        <f t="shared" si="19"/>
        <v>99.549978585412418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4.8540448166794583</v>
      </c>
      <c r="K114" s="51">
        <f t="shared" si="11"/>
        <v>1.9895881540160569</v>
      </c>
      <c r="L114" s="55">
        <f t="shared" si="12"/>
        <v>8.8570908618037167E-3</v>
      </c>
      <c r="M114" s="51">
        <f t="shared" si="21"/>
        <v>1.9984452448778607</v>
      </c>
      <c r="N114" s="94">
        <f t="shared" si="17"/>
        <v>71457.006176965777</v>
      </c>
      <c r="O114" s="56">
        <f t="shared" si="18"/>
        <v>97.631093598546698</v>
      </c>
      <c r="P114" s="57">
        <f t="shared" si="19"/>
        <v>99.64264444348737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4.8492699276463975</v>
      </c>
      <c r="K115" s="51">
        <f t="shared" si="11"/>
        <v>1.9900370168008585</v>
      </c>
      <c r="L115" s="55">
        <f t="shared" si="12"/>
        <v>8.8168391045838936E-3</v>
      </c>
      <c r="M115" s="51">
        <f t="shared" si="21"/>
        <v>1.9988538559054425</v>
      </c>
      <c r="N115" s="94">
        <f t="shared" si="17"/>
        <v>70675.668923744146</v>
      </c>
      <c r="O115" s="56">
        <f t="shared" si="18"/>
        <v>97.732051866921182</v>
      </c>
      <c r="P115" s="57">
        <f t="shared" si="19"/>
        <v>99.736438504137979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4.8444419565177537</v>
      </c>
      <c r="K116" s="51">
        <f t="shared" si="11"/>
        <v>1.990490869560732</v>
      </c>
      <c r="L116" s="55">
        <f t="shared" si="12"/>
        <v>8.7762377243893151E-3</v>
      </c>
      <c r="M116" s="51">
        <f t="shared" si="21"/>
        <v>1.9992671072851214</v>
      </c>
      <c r="N116" s="94">
        <f t="shared" si="17"/>
        <v>69894.331670522515</v>
      </c>
      <c r="O116" s="56">
        <f t="shared" si="18"/>
        <v>97.834238627633042</v>
      </c>
      <c r="P116" s="57">
        <f t="shared" si="19"/>
        <v>99.831387526817991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4.8395597097934191</v>
      </c>
      <c r="K117" s="51">
        <f t="shared" si="11"/>
        <v>1.9909498244904902</v>
      </c>
      <c r="L117" s="55">
        <f t="shared" si="12"/>
        <v>8.7352813618447114E-3</v>
      </c>
      <c r="M117" s="51">
        <f t="shared" si="21"/>
        <v>1.9996851058523348</v>
      </c>
      <c r="N117" s="94">
        <f t="shared" si="17"/>
        <v>69112.994417300928</v>
      </c>
      <c r="O117" s="56">
        <f t="shared" si="18"/>
        <v>97.937682815662853</v>
      </c>
      <c r="P117" s="57">
        <f t="shared" si="19"/>
        <v>99.927519222986149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4.8346219532631256</v>
      </c>
      <c r="K118" s="51">
        <f t="shared" si="11"/>
        <v>1.9914139976118996</v>
      </c>
      <c r="L118" s="55">
        <f t="shared" si="12"/>
        <v>8.6939645714671655E-3</v>
      </c>
      <c r="M118" s="51">
        <f t="shared" si="21"/>
        <v>2.0001079621833666</v>
      </c>
      <c r="N118" s="94">
        <f t="shared" si="17"/>
        <v>68331.65716407921</v>
      </c>
      <c r="O118" s="56">
        <f t="shared" si="18"/>
        <v>98.042414384428298</v>
      </c>
      <c r="P118" s="57">
        <f t="shared" si="19"/>
        <v>100.02486230156077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4.8296274101336403</v>
      </c>
      <c r="K119" s="51">
        <f t="shared" si="11"/>
        <v>1.9918835089497318</v>
      </c>
      <c r="L119" s="55">
        <f t="shared" si="12"/>
        <v>8.6522818226531049E-3</v>
      </c>
      <c r="M119" s="51">
        <f t="shared" si="21"/>
        <v>2.0005357907723851</v>
      </c>
      <c r="N119" s="94">
        <f t="shared" si="17"/>
        <v>67550.31991085771</v>
      </c>
      <c r="O119" s="56">
        <f t="shared" si="18"/>
        <v>98.148464353762037</v>
      </c>
      <c r="P119" s="57">
        <f t="shared" si="19"/>
        <v>100.12344651710984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4.8245747590470085</v>
      </c>
      <c r="K120" s="51">
        <f t="shared" si="11"/>
        <v>1.9923584827180585</v>
      </c>
      <c r="L120" s="55">
        <f t="shared" si="12"/>
        <v>8.6102275010358168E-3</v>
      </c>
      <c r="M120" s="51">
        <f t="shared" si="21"/>
        <v>2.0009687102190945</v>
      </c>
      <c r="N120" s="94">
        <f t="shared" si="17"/>
        <v>66768.982657636108</v>
      </c>
      <c r="O120" s="56">
        <f t="shared" si="18"/>
        <v>98.255864860735372</v>
      </c>
      <c r="P120" s="57">
        <f t="shared" si="19"/>
        <v>100.22330272097868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4.819462631982157</v>
      </c>
      <c r="K121" s="51">
        <f t="shared" si="11"/>
        <v>1.9928390475175126</v>
      </c>
      <c r="L121" s="55">
        <f t="shared" si="12"/>
        <v>8.5677959102632185E-3</v>
      </c>
      <c r="M121" s="51">
        <f t="shared" si="21"/>
        <v>2.0014068434277759</v>
      </c>
      <c r="N121" s="94">
        <f t="shared" si="17"/>
        <v>65987.645404414448</v>
      </c>
      <c r="O121" s="56">
        <f t="shared" si="18"/>
        <v>98.36464921353128</v>
      </c>
      <c r="P121" s="57">
        <f t="shared" si="19"/>
        <v>100.32446291557166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4.8142896120315148</v>
      </c>
      <c r="K122" s="51">
        <f t="shared" si="11"/>
        <v>1.9933253365442944</v>
      </c>
      <c r="L122" s="55">
        <f t="shared" si="12"/>
        <v>8.5249812742516397E-3</v>
      </c>
      <c r="M122" s="51">
        <f t="shared" si="21"/>
        <v>2.0018503178185463</v>
      </c>
      <c r="N122" s="94">
        <f t="shared" si="17"/>
        <v>65206.308151192832</v>
      </c>
      <c r="O122" s="56">
        <f t="shared" si="18"/>
        <v>98.474851948587698</v>
      </c>
      <c r="P122" s="57">
        <f t="shared" si="19"/>
        <v>100.42696031202257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4.8090542310436115</v>
      </c>
      <c r="K123" s="51">
        <f t="shared" si="11"/>
        <v>1.9938174878117807</v>
      </c>
      <c r="L123" s="55">
        <f t="shared" si="12"/>
        <v>8.4817777399784355E-3</v>
      </c>
      <c r="M123" s="51">
        <f t="shared" si="21"/>
        <v>2.0022992655517591</v>
      </c>
      <c r="N123" s="94">
        <f t="shared" si="17"/>
        <v>64424.970897971209</v>
      </c>
      <c r="O123" s="56">
        <f t="shared" si="18"/>
        <v>98.58650889125262</v>
      </c>
      <c r="P123" s="57">
        <f t="shared" si="19"/>
        <v>100.53082939151135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4.8037549671218436</v>
      </c>
      <c r="K124" s="51">
        <f t="shared" si="11"/>
        <v>1.9943156443856516</v>
      </c>
      <c r="L124" s="55">
        <f t="shared" si="12"/>
        <v>8.4381793808840522E-3</v>
      </c>
      <c r="M124" s="51">
        <f t="shared" si="21"/>
        <v>2.0027538237665357</v>
      </c>
      <c r="N124" s="94">
        <f t="shared" si="17"/>
        <v>63643.633644749643</v>
      </c>
      <c r="O124" s="56">
        <f t="shared" si="18"/>
        <v>98.699657220211122</v>
      </c>
      <c r="P124" s="57">
        <f t="shared" si="19"/>
        <v>100.63610597050635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4.7983902419687467</v>
      </c>
      <c r="K125" s="51">
        <f t="shared" si="11"/>
        <v>1.9948199546335421</v>
      </c>
      <c r="L125" s="55">
        <f t="shared" si="12"/>
        <v>8.3941802009630927E-3</v>
      </c>
      <c r="M125" s="51">
        <f t="shared" si="21"/>
        <v>2.0032141348345052</v>
      </c>
      <c r="N125" s="94">
        <f t="shared" si="17"/>
        <v>62862.296391527881</v>
      </c>
      <c r="O125" s="56">
        <f t="shared" si="18"/>
        <v>98.814335535969761</v>
      </c>
      <c r="P125" s="57">
        <f t="shared" si="19"/>
        <v>100.74282727023639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4.7929584180641784</v>
      </c>
      <c r="K126" s="51">
        <f t="shared" si="11"/>
        <v>1.9953305724903079</v>
      </c>
      <c r="L126" s="55">
        <f t="shared" si="12"/>
        <v>8.3497741396338712E-3</v>
      </c>
      <c r="M126" s="51">
        <f t="shared" si="21"/>
        <v>2.0036803466299418</v>
      </c>
      <c r="N126" s="94">
        <f t="shared" si="17"/>
        <v>62080.959138306425</v>
      </c>
      <c r="O126" s="56">
        <f t="shared" si="18"/>
        <v>98.930583933706401</v>
      </c>
      <c r="P126" s="57">
        <f t="shared" si="19"/>
        <v>100.85103199072647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4.7874577956647819</v>
      </c>
      <c r="K127" s="51">
        <f t="shared" si="11"/>
        <v>1.9958476577400885</v>
      </c>
      <c r="L127" s="55">
        <f t="shared" si="12"/>
        <v>8.3049550774873648E-3</v>
      </c>
      <c r="M127" s="51">
        <f t="shared" si="21"/>
        <v>2.0041526128175757</v>
      </c>
      <c r="N127" s="94">
        <f t="shared" si="17"/>
        <v>61299.621885084773</v>
      </c>
      <c r="O127" s="56">
        <f t="shared" si="18"/>
        <v>99.048444080823614</v>
      </c>
      <c r="P127" s="57">
        <f t="shared" si="19"/>
        <v>100.96076038975818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4.7818866096109929</v>
      </c>
      <c r="K128" s="51">
        <f t="shared" si="11"/>
        <v>1.996371376316465</v>
      </c>
      <c r="L128" s="55">
        <f t="shared" si="12"/>
        <v>8.2597168430294764E-3</v>
      </c>
      <c r="M128" s="51">
        <f t="shared" si="21"/>
        <v>2.0046310931594946</v>
      </c>
      <c r="N128" s="94">
        <f t="shared" si="17"/>
        <v>60518.284631863025</v>
      </c>
      <c r="O128" s="56">
        <f t="shared" si="18"/>
        <v>99.167959299573084</v>
      </c>
      <c r="P128" s="57">
        <f t="shared" si="19"/>
        <v>101.07205436715543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4.7762430259265614</v>
      </c>
      <c r="K129" s="51">
        <f t="shared" si="11"/>
        <v>1.996901900622122</v>
      </c>
      <c r="L129" s="55">
        <f t="shared" si="12"/>
        <v>8.2140532205448643E-3</v>
      </c>
      <c r="M129" s="51">
        <f t="shared" si="21"/>
        <v>2.0051159538426671</v>
      </c>
      <c r="N129" s="94">
        <f t="shared" si="17"/>
        <v>59736.947378641482</v>
      </c>
      <c r="O129" s="56">
        <f t="shared" si="18"/>
        <v>99.289174655153758</v>
      </c>
      <c r="P129" s="57">
        <f t="shared" si="19"/>
        <v>101.18495755482796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4.7705251381942064</v>
      </c>
      <c r="K130" s="51">
        <f t="shared" ref="K130:K193" si="22">+$I$14+$I$13*J130</f>
        <v>1.9974394098695529</v>
      </c>
      <c r="L130" s="55">
        <f t="shared" ref="L130:L193" si="23">SQRT(2*$I$20*$I$17)*SQRT((1/$I$2)+((J130-$I$11)^2/$I$8))</f>
        <v>8.1679579592273469E-3</v>
      </c>
      <c r="M130" s="51">
        <f t="shared" si="21"/>
        <v>2.0056073678287802</v>
      </c>
      <c r="N130" s="94">
        <f t="shared" si="17"/>
        <v>58955.610125419822</v>
      </c>
      <c r="O130" s="56">
        <f t="shared" si="18"/>
        <v>99.412137049721167</v>
      </c>
      <c r="P130" s="57">
        <f t="shared" si="19"/>
        <v>101.29951541305184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4.7647309636894848</v>
      </c>
      <c r="K131" s="51">
        <f t="shared" si="22"/>
        <v>1.9979840904444957</v>
      </c>
      <c r="L131" s="55">
        <f t="shared" si="23"/>
        <v>8.1214247837407653E-3</v>
      </c>
      <c r="M131" s="51">
        <f t="shared" si="21"/>
        <v>2.0061055152282363</v>
      </c>
      <c r="N131" s="94">
        <f t="shared" si="17"/>
        <v>58174.272872198148</v>
      </c>
      <c r="O131" s="56">
        <f t="shared" si="18"/>
        <v>99.536895322791793</v>
      </c>
      <c r="P131" s="57">
        <f t="shared" si="19"/>
        <v>101.41577533351098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4.7588584392532507</v>
      </c>
      <c r="K132" s="51">
        <f t="shared" si="22"/>
        <v>1.9985361362939409</v>
      </c>
      <c r="L132" s="55">
        <f t="shared" si="23"/>
        <v>8.0744474063954939E-3</v>
      </c>
      <c r="M132" s="51">
        <f t="shared" si="21"/>
        <v>2.0066105837003363</v>
      </c>
      <c r="N132" s="94">
        <f t="shared" si="17"/>
        <v>57392.935618976691</v>
      </c>
      <c r="O132" s="56">
        <f t="shared" si="18"/>
        <v>99.663500358567177</v>
      </c>
      <c r="P132" s="57">
        <f t="shared" si="19"/>
        <v>101.53378674967338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4.7529054168812008</v>
      </c>
      <c r="K133" s="51">
        <f t="shared" si="22"/>
        <v>1.9990957493407369</v>
      </c>
      <c r="L133" s="55">
        <f t="shared" si="23"/>
        <v>8.0270195411502061E-3</v>
      </c>
      <c r="M133" s="51">
        <f t="shared" si="21"/>
        <v>2.0071227688818869</v>
      </c>
      <c r="N133" s="94">
        <f t="shared" si="17"/>
        <v>56611.598365755024</v>
      </c>
      <c r="O133" s="56">
        <f t="shared" si="18"/>
        <v>99.7920052007576</v>
      </c>
      <c r="P133" s="57">
        <f t="shared" si="19"/>
        <v>101.65360125513953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4.7468696590069257</v>
      </c>
      <c r="K134" s="51">
        <f t="shared" si="22"/>
        <v>1.9996631399270051</v>
      </c>
      <c r="L134" s="55">
        <f t="shared" si="23"/>
        <v>7.9791349196764762E-3</v>
      </c>
      <c r="M134" s="51">
        <f t="shared" si="21"/>
        <v>2.0076422748466816</v>
      </c>
      <c r="N134" s="94">
        <f t="shared" si="17"/>
        <v>55830.261112533357</v>
      </c>
      <c r="O134" s="56">
        <f t="shared" si="18"/>
        <v>99.92246517554085</v>
      </c>
      <c r="P134" s="57">
        <f t="shared" si="19"/>
        <v>101.77527273065776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4.7407488334525327</v>
      </c>
      <c r="K135" s="51">
        <f t="shared" si="22"/>
        <v>2.0002385272888068</v>
      </c>
      <c r="L135" s="55">
        <f t="shared" si="23"/>
        <v>7.9307873097553411E-3</v>
      </c>
      <c r="M135" s="51">
        <f t="shared" si="21"/>
        <v>2.008169314598562</v>
      </c>
      <c r="N135" s="94">
        <f t="shared" si="17"/>
        <v>55048.923859311733</v>
      </c>
      <c r="O135" s="56">
        <f t="shared" si="18"/>
        <v>100.05493802335511</v>
      </c>
      <c r="P135" s="57">
        <f t="shared" si="19"/>
        <v>101.89885748057976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4.7345405080183278</v>
      </c>
      <c r="K136" s="51">
        <f t="shared" si="22"/>
        <v>2.0008221400647388</v>
      </c>
      <c r="L136" s="55">
        <f t="shared" si="23"/>
        <v>7.8819705363112769E-3</v>
      </c>
      <c r="M136" s="51">
        <f t="shared" si="21"/>
        <v>2.0087041106010499</v>
      </c>
      <c r="N136" s="94">
        <f t="shared" si="17"/>
        <v>54267.586606090117</v>
      </c>
      <c r="O136" s="56">
        <f t="shared" si="18"/>
        <v>100.1894840402958</v>
      </c>
      <c r="P136" s="57">
        <f t="shared" si="19"/>
        <v>102.0244143796062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4.7282421446801521</v>
      </c>
      <c r="K137" s="51">
        <f t="shared" si="22"/>
        <v>2.0014142168414115</v>
      </c>
      <c r="L137" s="55">
        <f t="shared" si="23"/>
        <v>7.8326785054306357E-3</v>
      </c>
      <c r="M137" s="51">
        <f t="shared" si="21"/>
        <v>2.0092468953468421</v>
      </c>
      <c r="N137" s="94">
        <f t="shared" si="17"/>
        <v>53486.249352868486</v>
      </c>
      <c r="O137" s="56">
        <f t="shared" si="18"/>
        <v>100.32616622996605</v>
      </c>
      <c r="P137" s="57">
        <f t="shared" si="19"/>
        <v>102.15200503076409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4.7218510933597262</v>
      </c>
      <c r="K138" s="51">
        <f t="shared" si="22"/>
        <v>2.0020150067390681</v>
      </c>
      <c r="L138" s="55">
        <f t="shared" si="23"/>
        <v>7.7829052317589537E-3</v>
      </c>
      <c r="M138" s="51">
        <f t="shared" si="21"/>
        <v>2.0097979119708271</v>
      </c>
      <c r="N138" s="94">
        <f t="shared" si="17"/>
        <v>52704.912099646855</v>
      </c>
      <c r="O138" s="56">
        <f t="shared" si="18"/>
        <v>100.46505046672027</v>
      </c>
      <c r="P138" s="57">
        <f t="shared" si="19"/>
        <v>102.28169393566162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4.7153645852297208</v>
      </c>
      <c r="K139" s="51">
        <f t="shared" si="22"/>
        <v>2.0026247700409403</v>
      </c>
      <c r="L139" s="55">
        <f t="shared" si="23"/>
        <v>7.7326448697259903E-3</v>
      </c>
      <c r="M139" s="51">
        <f t="shared" si="21"/>
        <v>2.0103574149106662</v>
      </c>
      <c r="N139" s="94">
        <f t="shared" si="17"/>
        <v>51923.574846425247</v>
      </c>
      <c r="O139" s="56">
        <f t="shared" si="18"/>
        <v>100.60620567133621</v>
      </c>
      <c r="P139" s="57">
        <f t="shared" si="19"/>
        <v>102.4135486781755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4.7087797255112402</v>
      </c>
      <c r="K140" s="51">
        <f t="shared" si="22"/>
        <v>2.0032437788703183</v>
      </c>
      <c r="L140" s="55">
        <f t="shared" si="23"/>
        <v>7.6818917491100116E-3</v>
      </c>
      <c r="M140" s="51">
        <f t="shared" si="21"/>
        <v>2.0109256706194283</v>
      </c>
      <c r="N140" s="94">
        <f t="shared" si="17"/>
        <v>51142.237593203652</v>
      </c>
      <c r="O140" s="56">
        <f t="shared" si="18"/>
        <v>100.74970400026601</v>
      </c>
      <c r="P140" s="57">
        <f t="shared" si="19"/>
        <v>102.54764012286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4.7020934857168175</v>
      </c>
      <c r="K141" s="51">
        <f t="shared" si="22"/>
        <v>2.0038723179197486</v>
      </c>
      <c r="L141" s="55">
        <f t="shared" si="23"/>
        <v>7.6306404155245455E-3</v>
      </c>
      <c r="M141" s="51">
        <f t="shared" si="21"/>
        <v>2.011502958335273</v>
      </c>
      <c r="N141" s="94">
        <f t="shared" si="17"/>
        <v>50360.900339982087</v>
      </c>
      <c r="O141" s="56">
        <f t="shared" si="18"/>
        <v>100.89562104974243</v>
      </c>
      <c r="P141" s="57">
        <f t="shared" si="19"/>
        <v>102.6840426295081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4.695302695286883</v>
      </c>
      <c r="K142" s="51">
        <f t="shared" si="22"/>
        <v>2.0045106852372458</v>
      </c>
      <c r="L142" s="55">
        <f t="shared" si="23"/>
        <v>7.578885676493465E-3</v>
      </c>
      <c r="M142" s="51">
        <f t="shared" si="21"/>
        <v>2.0120895709137394</v>
      </c>
      <c r="N142" s="94">
        <f t="shared" si="17"/>
        <v>49579.563086760369</v>
      </c>
      <c r="O142" s="56">
        <f t="shared" si="18"/>
        <v>101.04403607615536</v>
      </c>
      <c r="P142" s="57">
        <f t="shared" si="19"/>
        <v>102.82283428546322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4.688404032561917</v>
      </c>
      <c r="K143" s="51">
        <f t="shared" si="22"/>
        <v>2.0051591930749559</v>
      </c>
      <c r="L143" s="55">
        <f t="shared" si="23"/>
        <v>7.5266226538757202E-3</v>
      </c>
      <c r="M143" s="51">
        <f t="shared" si="21"/>
        <v>2.0126858157288319</v>
      </c>
      <c r="N143" s="94">
        <f t="shared" si="17"/>
        <v>48798.225833538832</v>
      </c>
      <c r="O143" s="56">
        <f t="shared" si="18"/>
        <v>101.19503223427533</v>
      </c>
      <c r="P143" s="57">
        <f t="shared" si="19"/>
        <v>102.96409715746222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4.6813940150259148</v>
      </c>
      <c r="K144" s="51">
        <f t="shared" si="22"/>
        <v>2.0058181688063144</v>
      </c>
      <c r="L144" s="55">
        <f t="shared" si="23"/>
        <v>7.473846843510653E-3</v>
      </c>
      <c r="M144" s="51">
        <f t="shared" si="21"/>
        <v>2.0132920156498249</v>
      </c>
      <c r="N144" s="94">
        <f t="shared" si="17"/>
        <v>48016.888580317107</v>
      </c>
      <c r="O144" s="56">
        <f t="shared" si="18"/>
        <v>101.34869683508096</v>
      </c>
      <c r="P144" s="57">
        <f t="shared" si="19"/>
        <v>103.10791756500448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4.6742689887494482</v>
      </c>
      <c r="K145" s="51">
        <f t="shared" si="22"/>
        <v>2.0064879559184532</v>
      </c>
      <c r="L145" s="55">
        <f t="shared" si="23"/>
        <v>7.4205541830820359E-3</v>
      </c>
      <c r="M145" s="51">
        <f t="shared" si="21"/>
        <v>2.013908510101535</v>
      </c>
      <c r="N145" s="94">
        <f t="shared" si="17"/>
        <v>47235.551327095469</v>
      </c>
      <c r="O145" s="56">
        <f t="shared" si="18"/>
        <v>101.50512162515301</v>
      </c>
      <c r="P145" s="57">
        <f t="shared" si="19"/>
        <v>103.25438637748148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4.6670251169521935</v>
      </c>
      <c r="K146" s="51">
        <f t="shared" si="22"/>
        <v>2.0071689150873779</v>
      </c>
      <c r="L146" s="55">
        <f t="shared" si="23"/>
        <v>7.366741129345598E-3</v>
      </c>
      <c r="M146" s="51">
        <f t="shared" si="21"/>
        <v>2.0145356562167236</v>
      </c>
      <c r="N146" s="94">
        <f t="shared" si="17"/>
        <v>46454.214073873882</v>
      </c>
      <c r="O146" s="56">
        <f t="shared" si="18"/>
        <v>101.66440308982847</v>
      </c>
      <c r="P146" s="57">
        <f t="shared" si="19"/>
        <v>103.40359933757239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4.6596583675953074</v>
      </c>
      <c r="K147" s="51">
        <f t="shared" si="22"/>
        <v>2.0078614253443434</v>
      </c>
      <c r="L147" s="55">
        <f t="shared" si="23"/>
        <v>7.3124047460350929E-3</v>
      </c>
      <c r="M147" s="51">
        <f t="shared" si="21"/>
        <v>2.0151738300903785</v>
      </c>
      <c r="N147" s="94">
        <f t="shared" si="17"/>
        <v>45672.87682065228</v>
      </c>
      <c r="O147" s="56">
        <f t="shared" si="18"/>
        <v>101.82664278257195</v>
      </c>
      <c r="P147" s="57">
        <f t="shared" si="19"/>
        <v>103.55565741372511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4.6521644999031935</v>
      </c>
      <c r="K148" s="51">
        <f t="shared" si="22"/>
        <v>2.0085658853428745</v>
      </c>
      <c r="L148" s="55">
        <f t="shared" si="23"/>
        <v>7.2575428039591073E-3</v>
      </c>
      <c r="M148" s="51">
        <f t="shared" si="21"/>
        <v>2.0158234281468337</v>
      </c>
      <c r="N148" s="94">
        <f t="shared" si="17"/>
        <v>44891.539567430664</v>
      </c>
      <c r="O148" s="56">
        <f t="shared" si="18"/>
        <v>101.99194768332616</v>
      </c>
      <c r="P148" s="57">
        <f t="shared" si="19"/>
        <v>103.71066718490107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4.6445390497018506</v>
      </c>
      <c r="K149" s="51">
        <f t="shared" si="22"/>
        <v>2.009282714737032</v>
      </c>
      <c r="L149" s="55">
        <f t="shared" si="23"/>
        <v>7.2021538950300034E-3</v>
      </c>
      <c r="M149" s="51">
        <f t="shared" si="21"/>
        <v>2.016484868632062</v>
      </c>
      <c r="N149" s="94">
        <f t="shared" si="17"/>
        <v>44110.202314209026</v>
      </c>
      <c r="O149" s="56">
        <f t="shared" si="18"/>
        <v>102.16043058894283</v>
      </c>
      <c r="P149" s="57">
        <f t="shared" si="19"/>
        <v>103.86874126116375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4.6367773134468884</v>
      </c>
      <c r="K150" s="51">
        <f t="shared" si="22"/>
        <v>2.0100123556828584</v>
      </c>
      <c r="L150" s="55">
        <f t="shared" si="23"/>
        <v>7.1462375622328433E-3</v>
      </c>
      <c r="M150" s="51">
        <f t="shared" si="21"/>
        <v>2.0171585932450911</v>
      </c>
      <c r="N150" s="94">
        <f t="shared" si="17"/>
        <v>43328.865060987438</v>
      </c>
      <c r="O150" s="56">
        <f t="shared" si="18"/>
        <v>102.33221053919409</v>
      </c>
      <c r="P150" s="57">
        <f t="shared" si="19"/>
        <v>104.02999874416884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4.6288743307981148</v>
      </c>
      <c r="K151" s="51">
        <f t="shared" si="22"/>
        <v>2.0107552744764479</v>
      </c>
      <c r="L151" s="55">
        <f t="shared" si="23"/>
        <v>7.0897944478524634E-3</v>
      </c>
      <c r="M151" s="51">
        <f t="shared" si="21"/>
        <v>2.0178450689243004</v>
      </c>
      <c r="N151" s="94">
        <f t="shared" si="17"/>
        <v>42547.527807765808</v>
      </c>
      <c r="O151" s="56">
        <f t="shared" si="18"/>
        <v>102.50741328230988</v>
      </c>
      <c r="P151" s="57">
        <f t="shared" si="19"/>
        <v>104.19456573214767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4.62082486557905</v>
      </c>
      <c r="K152" s="51">
        <f t="shared" si="22"/>
        <v>2.0115119633438487</v>
      </c>
      <c r="L152" s="55">
        <f t="shared" si="23"/>
        <v>7.032826462638829E-3</v>
      </c>
      <c r="M152" s="51">
        <f t="shared" si="21"/>
        <v>2.0185447898064877</v>
      </c>
      <c r="N152" s="94">
        <f t="shared" si="17"/>
        <v>41766.190554544213</v>
      </c>
      <c r="O152" s="56">
        <f t="shared" si="18"/>
        <v>102.68617178451586</v>
      </c>
      <c r="P152" s="57">
        <f t="shared" si="19"/>
        <v>104.36257587460194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4.6126233849383116</v>
      </c>
      <c r="K153" s="51">
        <f t="shared" si="22"/>
        <v>2.0122829423999917</v>
      </c>
      <c r="L153" s="55">
        <f t="shared" si="23"/>
        <v>6.975336979013127E-3</v>
      </c>
      <c r="M153" s="51">
        <f t="shared" si="21"/>
        <v>2.019258279379005</v>
      </c>
      <c r="N153" s="94">
        <f t="shared" si="17"/>
        <v>40984.853301322597</v>
      </c>
      <c r="O153" s="56">
        <f t="shared" si="18"/>
        <v>102.8686267886351</v>
      </c>
      <c r="P153" s="57">
        <f t="shared" si="19"/>
        <v>104.53417098264842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4.6042640365052048</v>
      </c>
      <c r="K154" s="51">
        <f t="shared" si="22"/>
        <v>2.0130687617961769</v>
      </c>
      <c r="L154" s="55">
        <f t="shared" si="23"/>
        <v>6.9173310519114748E-3</v>
      </c>
      <c r="M154" s="51">
        <f t="shared" si="21"/>
        <v>2.0199860928480882</v>
      </c>
      <c r="N154" s="94">
        <f t="shared" si="17"/>
        <v>40203.516048100952</v>
      </c>
      <c r="O154" s="56">
        <f t="shared" si="18"/>
        <v>103.0549274275195</v>
      </c>
      <c r="P154" s="57">
        <f t="shared" si="19"/>
        <v>104.70950170178479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4.5957406233032501</v>
      </c>
      <c r="K155" s="51">
        <f t="shared" si="22"/>
        <v>2.0138700040783228</v>
      </c>
      <c r="L155" s="55">
        <f t="shared" si="23"/>
        <v>6.8588156714410858E-3</v>
      </c>
      <c r="M155" s="51">
        <f t="shared" si="21"/>
        <v>2.0207288197497637</v>
      </c>
      <c r="N155" s="94">
        <f t="shared" si="17"/>
        <v>39422.178794879328</v>
      </c>
      <c r="O155" s="56">
        <f t="shared" si="18"/>
        <v>103.24523189887223</v>
      </c>
      <c r="P155" s="57">
        <f t="shared" si="19"/>
        <v>104.88872825482284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4.5870465761523169</v>
      </c>
      <c r="K156" s="51">
        <f t="shared" si="22"/>
        <v>2.0146872867813013</v>
      </c>
      <c r="L156" s="55">
        <f t="shared" si="23"/>
        <v>6.7998000522019536E-3</v>
      </c>
      <c r="M156" s="51">
        <f t="shared" si="21"/>
        <v>2.0214870868335031</v>
      </c>
      <c r="N156" s="94">
        <f t="shared" si="17"/>
        <v>38640.841541657661</v>
      </c>
      <c r="O156" s="56">
        <f t="shared" si="18"/>
        <v>103.43970820896112</v>
      </c>
      <c r="P156" s="57">
        <f t="shared" si="19"/>
        <v>105.07202126386075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4.5781749232514901</v>
      </c>
      <c r="K157" s="51">
        <f t="shared" si="22"/>
        <v>2.0155212652882959</v>
      </c>
      <c r="L157" s="55">
        <f t="shared" si="23"/>
        <v>6.74029596492261E-3</v>
      </c>
      <c r="M157" s="51">
        <f t="shared" si="21"/>
        <v>2.0222615612532184</v>
      </c>
      <c r="N157" s="94">
        <f t="shared" si="17"/>
        <v>37859.504288436052</v>
      </c>
      <c r="O157" s="56">
        <f t="shared" si="18"/>
        <v>103.63853499380821</v>
      </c>
      <c r="P157" s="57">
        <f t="shared" si="19"/>
        <v>105.25956266149163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4.5691182565898298</v>
      </c>
      <c r="K158" s="51">
        <f t="shared" si="22"/>
        <v>2.0163726359883531</v>
      </c>
      <c r="L158" s="55">
        <f t="shared" si="23"/>
        <v>6.6803181169930344E-3</v>
      </c>
      <c r="M158" s="51">
        <f t="shared" si="21"/>
        <v>2.0230529541053461</v>
      </c>
      <c r="N158" s="94">
        <f t="shared" si="17"/>
        <v>37078.167035214501</v>
      </c>
      <c r="O158" s="56">
        <f t="shared" si="18"/>
        <v>103.84190242771167</v>
      </c>
      <c r="P158" s="57">
        <f t="shared" si="19"/>
        <v>105.45154670298841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4.5598686947795999</v>
      </c>
      <c r="K159" s="51">
        <f t="shared" si="22"/>
        <v>2.0172421397702394</v>
      </c>
      <c r="L159" s="55">
        <f t="shared" si="23"/>
        <v>6.6198845895772181E-3</v>
      </c>
      <c r="M159" s="51">
        <f t="shared" si="21"/>
        <v>2.0238620243598167</v>
      </c>
      <c r="N159" s="94">
        <f t="shared" si="17"/>
        <v>36296.829781992856</v>
      </c>
      <c r="O159" s="56">
        <f t="shared" si="18"/>
        <v>104.05001323044962</v>
      </c>
      <c r="P159" s="57">
        <f t="shared" si="19"/>
        <v>105.64818109302432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4.5504178418447427</v>
      </c>
      <c r="K160" s="51">
        <f t="shared" si="22"/>
        <v>2.0181305658965254</v>
      </c>
      <c r="L160" s="55">
        <f t="shared" si="23"/>
        <v>6.5590173402817779E-3</v>
      </c>
      <c r="M160" s="51">
        <f t="shared" si="21"/>
        <v>2.0246895832368073</v>
      </c>
      <c r="N160" s="94">
        <f t="shared" si="17"/>
        <v>35515.492528771189</v>
      </c>
      <c r="O160" s="56">
        <f t="shared" si="18"/>
        <v>104.26308378626912</v>
      </c>
      <c r="P160" s="57">
        <f t="shared" si="19"/>
        <v>105.84968824262674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4.5407567414246115</v>
      </c>
      <c r="K161" s="51">
        <f t="shared" si="22"/>
        <v>2.0190387563086589</v>
      </c>
      <c r="L161" s="55">
        <f t="shared" si="23"/>
        <v>6.497742781881556E-3</v>
      </c>
      <c r="M161" s="51">
        <f t="shared" si="21"/>
        <v>2.0255364990905407</v>
      </c>
      <c r="N161" s="94">
        <f t="shared" si="17"/>
        <v>34734.155275549594</v>
      </c>
      <c r="O161" s="56">
        <f t="shared" si="18"/>
        <v>104.48134538983169</v>
      </c>
      <c r="P161" s="57">
        <f t="shared" si="19"/>
        <v>106.05630667459022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4.530875825766941</v>
      </c>
      <c r="K162" s="51">
        <f t="shared" si="22"/>
        <v>2.0199676104218711</v>
      </c>
      <c r="L162" s="55">
        <f t="shared" si="23"/>
        <v>6.4360924494006747E-3</v>
      </c>
      <c r="M162" s="51">
        <f t="shared" si="21"/>
        <v>2.0264037028712716</v>
      </c>
      <c r="N162" s="94">
        <f t="shared" si="17"/>
        <v>33952.818022327985</v>
      </c>
      <c r="O162" s="56">
        <f t="shared" si="18"/>
        <v>104.70504563674058</v>
      </c>
      <c r="P162" s="57">
        <f t="shared" si="19"/>
        <v>106.2682925985702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4.5207648587820062</v>
      </c>
      <c r="K163" s="51">
        <f t="shared" si="22"/>
        <v>2.0209180904783643</v>
      </c>
      <c r="L163" s="55">
        <f t="shared" si="23"/>
        <v>6.3741037699680024E-3</v>
      </c>
      <c r="M163" s="51">
        <f t="shared" si="21"/>
        <v>2.0272921942483322</v>
      </c>
      <c r="N163" s="94">
        <f t="shared" si="17"/>
        <v>33171.480769106311</v>
      </c>
      <c r="O163" s="56">
        <f t="shared" si="18"/>
        <v>104.93444997919177</v>
      </c>
      <c r="P163" s="57">
        <f t="shared" si="19"/>
        <v>106.48592168064049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4.5104128723083772</v>
      </c>
      <c r="K164" s="51">
        <f t="shared" si="22"/>
        <v>2.0218912275386409</v>
      </c>
      <c r="L164" s="55">
        <f t="shared" si="23"/>
        <v>6.3118209523681731E-3</v>
      </c>
      <c r="M164" s="51">
        <f t="shared" si="21"/>
        <v>2.028203048491009</v>
      </c>
      <c r="N164" s="94">
        <f t="shared" si="17"/>
        <v>32390.143515884745</v>
      </c>
      <c r="O164" s="56">
        <f t="shared" si="18"/>
        <v>105.16984347076452</v>
      </c>
      <c r="P164" s="57">
        <f t="shared" si="19"/>
        <v>106.70949103634447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4.4998080945954255</v>
      </c>
      <c r="K165" s="51">
        <f t="shared" si="22"/>
        <v>2.022888128204495</v>
      </c>
      <c r="L165" s="55">
        <f t="shared" si="23"/>
        <v>6.2492960161627366E-3</v>
      </c>
      <c r="M165" s="51">
        <f t="shared" si="21"/>
        <v>2.0291374242206577</v>
      </c>
      <c r="N165" s="94">
        <f t="shared" si="17"/>
        <v>31608.806262663107</v>
      </c>
      <c r="O165" s="56">
        <f t="shared" si="18"/>
        <v>105.41153272853722</v>
      </c>
      <c r="P165" s="57">
        <f t="shared" si="19"/>
        <v>106.93932148135222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4.4889378698333831</v>
      </c>
      <c r="K166" s="51">
        <f t="shared" si="22"/>
        <v>2.0239099821835769</v>
      </c>
      <c r="L166" s="55">
        <f t="shared" si="23"/>
        <v>6.1865899837413498E-3</v>
      </c>
      <c r="M166" s="51">
        <f t="shared" si="21"/>
        <v>2.0300965721673183</v>
      </c>
      <c r="N166" s="94">
        <f t="shared" si="17"/>
        <v>30827.469009441487</v>
      </c>
      <c r="O166" s="56">
        <f t="shared" si="18"/>
        <v>105.65984814572396</v>
      </c>
      <c r="P166" s="57">
        <f t="shared" si="19"/>
        <v>107.17576007994329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4.4777885673515536</v>
      </c>
      <c r="K167" s="51">
        <f t="shared" si="22"/>
        <v>2.0249580708252055</v>
      </c>
      <c r="L167" s="55">
        <f t="shared" si="23"/>
        <v>6.1237742627742071E-3</v>
      </c>
      <c r="M167" s="51">
        <f t="shared" si="21"/>
        <v>2.0310818450879795</v>
      </c>
      <c r="N167" s="94">
        <f t="shared" si="17"/>
        <v>30046.131756219853</v>
      </c>
      <c r="O167" s="56">
        <f t="shared" si="18"/>
        <v>105.91514639408562</v>
      </c>
      <c r="P167" s="57">
        <f t="shared" si="19"/>
        <v>107.41918303889214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4.466345478850771</v>
      </c>
      <c r="K168" s="51">
        <f t="shared" si="22"/>
        <v>2.0260337767810146</v>
      </c>
      <c r="L168" s="55">
        <f t="shared" si="23"/>
        <v>6.0609322513831363E-3</v>
      </c>
      <c r="M168" s="51">
        <f t="shared" si="21"/>
        <v>2.0320947090323975</v>
      </c>
      <c r="N168" s="94">
        <f t="shared" ref="N168:N204" si="24">10^$J168</f>
        <v>29264.794502998258</v>
      </c>
      <c r="O168" s="56">
        <f t="shared" ref="O168:O204" si="25">10^K168</f>
        <v>106.17781326271087</v>
      </c>
      <c r="P168" s="57">
        <f t="shared" ref="P168:P204" si="26">10^M168</f>
        <v>107.66999900323921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4.4545927017265772</v>
      </c>
      <c r="K169" s="51">
        <f t="shared" si="22"/>
        <v>2.0271385949731422</v>
      </c>
      <c r="L169" s="55">
        <f t="shared" si="23"/>
        <v>5.998161204054663E-3</v>
      </c>
      <c r="M169" s="51">
        <f t="shared" ref="M169:M204" si="28">+$I$14+$I$13*J169+L169</f>
        <v>2.0331367561771967</v>
      </c>
      <c r="N169" s="94">
        <f t="shared" si="24"/>
        <v>28483.457249776628</v>
      </c>
      <c r="O169" s="56">
        <f t="shared" si="25"/>
        <v>106.44826688873162</v>
      </c>
      <c r="P169" s="57">
        <f t="shared" si="26"/>
        <v>107.92865282125079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4.4425130061610068</v>
      </c>
      <c r="K170" s="51">
        <f t="shared" si="22"/>
        <v>2.0282741450882491</v>
      </c>
      <c r="L170" s="55">
        <f t="shared" si="23"/>
        <v>5.9355744030254662E-3</v>
      </c>
      <c r="M170" s="51">
        <f t="shared" si="28"/>
        <v>2.0342097194912747</v>
      </c>
      <c r="N170" s="94">
        <f t="shared" si="24"/>
        <v>27702.119996555</v>
      </c>
      <c r="O170" s="56">
        <f t="shared" si="25"/>
        <v>106.72696144651196</v>
      </c>
      <c r="P170" s="57">
        <f t="shared" si="26"/>
        <v>108.19562985907596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4.4300876831956373</v>
      </c>
      <c r="K171" s="51">
        <f t="shared" si="22"/>
        <v>2.029442185859391</v>
      </c>
      <c r="L171" s="55">
        <f t="shared" si="23"/>
        <v>5.8733036877388596E-3</v>
      </c>
      <c r="M171" s="51">
        <f t="shared" si="28"/>
        <v>2.0353154895471297</v>
      </c>
      <c r="N171" s="94">
        <f t="shared" si="24"/>
        <v>26920.782743333402</v>
      </c>
      <c r="O171" s="56">
        <f t="shared" si="25"/>
        <v>107.01439137538108</v>
      </c>
      <c r="P171" s="57">
        <f t="shared" si="26"/>
        <v>108.47146096178571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4.4172963704236015</v>
      </c>
      <c r="K172" s="51">
        <f t="shared" si="22"/>
        <v>2.0306446314518158</v>
      </c>
      <c r="L172" s="55">
        <f t="shared" si="23"/>
        <v>5.8115024041767924E-3</v>
      </c>
      <c r="M172" s="51">
        <f t="shared" si="28"/>
        <v>2.0364561338559928</v>
      </c>
      <c r="N172" s="94">
        <f t="shared" si="24"/>
        <v>26139.445490111717</v>
      </c>
      <c r="O172" s="56">
        <f t="shared" si="25"/>
        <v>107.31109624274104</v>
      </c>
      <c r="P172" s="57">
        <f t="shared" si="26"/>
        <v>108.75672817741476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4.4041168512237041</v>
      </c>
      <c r="K173" s="51">
        <f t="shared" si="22"/>
        <v>2.0318835703359346</v>
      </c>
      <c r="L173" s="55">
        <f t="shared" si="23"/>
        <v>5.7503488466097282E-3</v>
      </c>
      <c r="M173" s="51">
        <f t="shared" si="28"/>
        <v>2.0376339191825443</v>
      </c>
      <c r="N173" s="94">
        <f t="shared" si="24"/>
        <v>25358.108236890144</v>
      </c>
      <c r="O173" s="56">
        <f t="shared" si="25"/>
        <v>107.61766636026516</v>
      </c>
      <c r="P173" s="57">
        <f t="shared" si="26"/>
        <v>109.05207138528701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4.3905248225661344</v>
      </c>
      <c r="K174" s="51">
        <f t="shared" si="22"/>
        <v>2.0331612871147113</v>
      </c>
      <c r="L174" s="55">
        <f t="shared" si="23"/>
        <v>5.6900502767858394E-3</v>
      </c>
      <c r="M174" s="51">
        <f t="shared" si="28"/>
        <v>2.0388513373914972</v>
      </c>
      <c r="N174" s="94">
        <f t="shared" si="24"/>
        <v>24576.770983668524</v>
      </c>
      <c r="O174" s="56">
        <f t="shared" si="25"/>
        <v>107.93474929708493</v>
      </c>
      <c r="P174" s="57">
        <f t="shared" si="26"/>
        <v>109.35819600061158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4.3764936252945992</v>
      </c>
      <c r="K175" s="51">
        <f t="shared" si="22"/>
        <v>2.0344802878784551</v>
      </c>
      <c r="L175" s="55">
        <f t="shared" si="23"/>
        <v>5.6308476200268021E-3</v>
      </c>
      <c r="M175" s="51">
        <f t="shared" si="28"/>
        <v>2.0401111354984818</v>
      </c>
      <c r="N175" s="94">
        <f t="shared" si="24"/>
        <v>23795.433730446934</v>
      </c>
      <c r="O175" s="56">
        <f t="shared" si="25"/>
        <v>108.26305746691712</v>
      </c>
      <c r="P175" s="57">
        <f t="shared" si="26"/>
        <v>109.67588196577201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4.3619939293643455</v>
      </c>
      <c r="K176" s="51">
        <f t="shared" si="22"/>
        <v>2.0358433297939773</v>
      </c>
      <c r="L176" s="55">
        <f t="shared" si="23"/>
        <v>5.5730209543514717E-3</v>
      </c>
      <c r="M176" s="51">
        <f t="shared" si="28"/>
        <v>2.0414163507483289</v>
      </c>
      <c r="N176" s="94">
        <f t="shared" si="24"/>
        <v>23014.096477225241</v>
      </c>
      <c r="O176" s="56">
        <f t="shared" si="25"/>
        <v>108.60337700807239</v>
      </c>
      <c r="P176" s="57">
        <f t="shared" si="26"/>
        <v>110.00599428716792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4.3469933646961483</v>
      </c>
      <c r="K177" s="51">
        <f t="shared" si="22"/>
        <v>2.0372534558061091</v>
      </c>
      <c r="L177" s="55">
        <f t="shared" si="23"/>
        <v>5.516895927880499E-3</v>
      </c>
      <c r="M177" s="51">
        <f t="shared" si="28"/>
        <v>2.0427703517339895</v>
      </c>
      <c r="N177" s="94">
        <f t="shared" si="24"/>
        <v>22232.759224003679</v>
      </c>
      <c r="O177" s="56">
        <f t="shared" si="25"/>
        <v>108.9565782290579</v>
      </c>
      <c r="P177" s="57">
        <f t="shared" si="26"/>
        <v>110.34949543793272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4.3314560859657503</v>
      </c>
      <c r="K178" s="51">
        <f t="shared" si="22"/>
        <v>2.0387140355496118</v>
      </c>
      <c r="L178" s="55">
        <f t="shared" si="23"/>
        <v>5.4628512617056705E-3</v>
      </c>
      <c r="M178" s="51">
        <f t="shared" si="28"/>
        <v>2.0441768868113175</v>
      </c>
      <c r="N178" s="94">
        <f t="shared" si="24"/>
        <v>21451.421970782041</v>
      </c>
      <c r="O178" s="56">
        <f t="shared" si="25"/>
        <v>109.32362796185222</v>
      </c>
      <c r="P178" s="57">
        <f t="shared" si="26"/>
        <v>110.70746002547659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4.3153422566124648</v>
      </c>
      <c r="K179" s="51">
        <f t="shared" si="22"/>
        <v>2.0402288138548772</v>
      </c>
      <c r="L179" s="55">
        <f t="shared" si="23"/>
        <v>5.4113275205724823E-3</v>
      </c>
      <c r="M179" s="51">
        <f t="shared" si="28"/>
        <v>2.0456401413754497</v>
      </c>
      <c r="N179" s="94">
        <f t="shared" si="24"/>
        <v>20670.084717560425</v>
      </c>
      <c r="O179" s="56">
        <f t="shared" si="25"/>
        <v>109.70560425518609</v>
      </c>
      <c r="P179" s="57">
        <f t="shared" si="26"/>
        <v>111.08109222421218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4.2986074333781055</v>
      </c>
      <c r="K180" s="51">
        <f t="shared" si="22"/>
        <v>2.0418019686042599</v>
      </c>
      <c r="L180" s="55">
        <f t="shared" si="23"/>
        <v>5.3628373627935067E-3</v>
      </c>
      <c r="M180" s="51">
        <f t="shared" si="28"/>
        <v>2.0471648059670535</v>
      </c>
      <c r="N180" s="94">
        <f t="shared" si="24"/>
        <v>19888.747464338801</v>
      </c>
      <c r="O180" s="56">
        <f t="shared" si="25"/>
        <v>110.10371395863929</v>
      </c>
      <c r="P180" s="57">
        <f t="shared" si="26"/>
        <v>111.47174660593021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4.2812018274401611</v>
      </c>
      <c r="K181" s="51">
        <f t="shared" si="22"/>
        <v>2.0434381801891508</v>
      </c>
      <c r="L181" s="55">
        <f t="shared" si="23"/>
        <v>5.3179775149319224E-3</v>
      </c>
      <c r="M181" s="51">
        <f t="shared" si="28"/>
        <v>2.0487561577040827</v>
      </c>
      <c r="N181" s="94">
        <f t="shared" si="24"/>
        <v>19107.410211117196</v>
      </c>
      <c r="O181" s="56">
        <f t="shared" si="25"/>
        <v>110.51931390537574</v>
      </c>
      <c r="P181" s="57">
        <f t="shared" si="26"/>
        <v>111.88095317415836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4.2630694112014025</v>
      </c>
      <c r="K182" s="51">
        <f t="shared" si="22"/>
        <v>2.0451427154760982</v>
      </c>
      <c r="L182" s="55">
        <f t="shared" si="23"/>
        <v>5.2774427580353396E-3</v>
      </c>
      <c r="M182" s="51">
        <f t="shared" si="28"/>
        <v>2.0504201582341337</v>
      </c>
      <c r="N182" s="94">
        <f t="shared" si="24"/>
        <v>18326.072957895525</v>
      </c>
      <c r="O182" s="56">
        <f t="shared" si="25"/>
        <v>110.95393661156426</v>
      </c>
      <c r="P182" s="57">
        <f t="shared" si="26"/>
        <v>112.31044764041441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4.2441468303532917</v>
      </c>
      <c r="K183" s="51">
        <f t="shared" si="22"/>
        <v>2.0469215300781345</v>
      </c>
      <c r="L183" s="55">
        <f t="shared" si="23"/>
        <v>5.2420422643320603E-3</v>
      </c>
      <c r="M183" s="51">
        <f t="shared" si="28"/>
        <v>2.0521635723424665</v>
      </c>
      <c r="N183" s="94">
        <f t="shared" si="24"/>
        <v>17544.73570467392</v>
      </c>
      <c r="O183" s="56">
        <f t="shared" si="25"/>
        <v>111.40932169512</v>
      </c>
      <c r="P183" s="57">
        <f t="shared" si="26"/>
        <v>112.76220829263202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4.2243620679395315</v>
      </c>
      <c r="K184" s="51">
        <f t="shared" si="22"/>
        <v>2.0487813939393025</v>
      </c>
      <c r="L184" s="55">
        <f t="shared" si="23"/>
        <v>5.2127186931502627E-3</v>
      </c>
      <c r="M184" s="51">
        <f t="shared" si="28"/>
        <v>2.0539941126324526</v>
      </c>
      <c r="N184" s="94">
        <f t="shared" si="24"/>
        <v>16763.398451452318</v>
      </c>
      <c r="O184" s="56">
        <f t="shared" si="25"/>
        <v>111.88745460625944</v>
      </c>
      <c r="P184" s="57">
        <f t="shared" si="26"/>
        <v>113.23850123337182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4.2036327893265701</v>
      </c>
      <c r="K185" s="51">
        <f t="shared" si="22"/>
        <v>2.050730046915469</v>
      </c>
      <c r="L185" s="55">
        <f t="shared" si="23"/>
        <v>5.1905705545170619E-3</v>
      </c>
      <c r="M185" s="51">
        <f t="shared" si="28"/>
        <v>2.0559206174699862</v>
      </c>
      <c r="N185" s="94">
        <f t="shared" si="24"/>
        <v>15982.061198230678</v>
      </c>
      <c r="O185" s="56">
        <f t="shared" si="25"/>
        <v>112.3906148033447</v>
      </c>
      <c r="P185" s="57">
        <f t="shared" si="26"/>
        <v>113.74193635886895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4.1818642720129056</v>
      </c>
      <c r="K186" s="51">
        <f t="shared" si="22"/>
        <v>2.0527763933823202</v>
      </c>
      <c r="L186" s="55">
        <f t="shared" si="23"/>
        <v>5.1768784995444997E-3</v>
      </c>
      <c r="M186" s="51">
        <f t="shared" si="28"/>
        <v>2.0579532718818645</v>
      </c>
      <c r="N186" s="94">
        <f t="shared" si="24"/>
        <v>15200.723945009056</v>
      </c>
      <c r="O186" s="56">
        <f t="shared" si="25"/>
        <v>112.92143626875506</v>
      </c>
      <c r="P186" s="57">
        <f t="shared" si="26"/>
        <v>114.2755372875387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4.1589467886748874</v>
      </c>
      <c r="K187" s="51">
        <f t="shared" si="22"/>
        <v>2.0549307482417776</v>
      </c>
      <c r="L187" s="55">
        <f t="shared" si="23"/>
        <v>5.1731364342584452E-3</v>
      </c>
      <c r="M187" s="51">
        <f t="shared" si="28"/>
        <v>2.0601038846760362</v>
      </c>
      <c r="N187" s="94">
        <f t="shared" si="24"/>
        <v>14419.386691787418</v>
      </c>
      <c r="O187" s="56">
        <f t="shared" si="25"/>
        <v>113.48298434717152</v>
      </c>
      <c r="P187" s="57">
        <f t="shared" si="26"/>
        <v>114.84282964897098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4.134752260449237</v>
      </c>
      <c r="K188" s="51">
        <f t="shared" si="22"/>
        <v>2.0572051515297134</v>
      </c>
      <c r="L188" s="55">
        <f t="shared" si="23"/>
        <v>5.181088738019644E-3</v>
      </c>
      <c r="M188" s="51">
        <f t="shared" si="28"/>
        <v>2.0623862402677329</v>
      </c>
      <c r="N188" s="94">
        <f t="shared" si="24"/>
        <v>13638.04943856584</v>
      </c>
      <c r="O188" s="56">
        <f t="shared" si="25"/>
        <v>114.07885446879506</v>
      </c>
      <c r="P188" s="57">
        <f t="shared" si="26"/>
        <v>115.44795390193931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4.1091299217514203</v>
      </c>
      <c r="K189" s="51">
        <f t="shared" si="22"/>
        <v>2.0596137759441024</v>
      </c>
      <c r="L189" s="55">
        <f t="shared" si="23"/>
        <v>5.202775497907982E-3</v>
      </c>
      <c r="M189" s="51">
        <f t="shared" si="28"/>
        <v>2.0648165514420103</v>
      </c>
      <c r="N189" s="94">
        <f t="shared" si="24"/>
        <v>12856.712185344195</v>
      </c>
      <c r="O189" s="56">
        <f t="shared" si="25"/>
        <v>114.71330065806717</v>
      </c>
      <c r="P189" s="57">
        <f t="shared" si="26"/>
        <v>116.09581146781035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4.08190062417916</v>
      </c>
      <c r="K190" s="51">
        <f t="shared" si="22"/>
        <v>2.0621734623057848</v>
      </c>
      <c r="L190" s="55">
        <f t="shared" si="23"/>
        <v>5.2405887074674059E-3</v>
      </c>
      <c r="M190" s="51">
        <f t="shared" si="28"/>
        <v>2.0674140510132522</v>
      </c>
      <c r="N190" s="94">
        <f t="shared" si="24"/>
        <v>12075.374932122573</v>
      </c>
      <c r="O190" s="56">
        <f t="shared" si="25"/>
        <v>115.3914052587447</v>
      </c>
      <c r="P190" s="57">
        <f t="shared" si="26"/>
        <v>116.79225694406868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4.0528492322862393</v>
      </c>
      <c r="K191" s="51">
        <f t="shared" si="22"/>
        <v>2.0649044343927017</v>
      </c>
      <c r="L191" s="55">
        <f t="shared" si="23"/>
        <v>5.2973440848483521E-3</v>
      </c>
      <c r="M191" s="51">
        <f t="shared" si="28"/>
        <v>2.0702017784775499</v>
      </c>
      <c r="N191" s="94">
        <f t="shared" si="24"/>
        <v>11294.037678900952</v>
      </c>
      <c r="O191" s="56">
        <f t="shared" si="25"/>
        <v>116.11930675794822</v>
      </c>
      <c r="P191" s="57">
        <f t="shared" si="26"/>
        <v>117.5443553405773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4.0217142887523956</v>
      </c>
      <c r="K192" s="51">
        <f t="shared" si="22"/>
        <v>2.0678312704641733</v>
      </c>
      <c r="L192" s="55">
        <f t="shared" si="23"/>
        <v>5.3763759762533551E-3</v>
      </c>
      <c r="M192" s="51">
        <f t="shared" si="28"/>
        <v>2.0732076464404265</v>
      </c>
      <c r="N192" s="94">
        <f t="shared" si="24"/>
        <v>10512.700425679348</v>
      </c>
      <c r="O192" s="56">
        <f t="shared" si="25"/>
        <v>116.90451122527833</v>
      </c>
      <c r="P192" s="57">
        <f t="shared" si="26"/>
        <v>118.36073310552639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3.9881736806392944</v>
      </c>
      <c r="K193" s="51">
        <f t="shared" si="22"/>
        <v>2.0709842507025287</v>
      </c>
      <c r="L193" s="55">
        <f t="shared" si="23"/>
        <v>5.4816674654167407E-3</v>
      </c>
      <c r="M193" s="51">
        <f t="shared" si="28"/>
        <v>2.0764659181679455</v>
      </c>
      <c r="N193" s="94">
        <f t="shared" si="24"/>
        <v>9731.3631724577081</v>
      </c>
      <c r="O193" s="56">
        <f t="shared" si="25"/>
        <v>117.75632694771868</v>
      </c>
      <c r="P193" s="57">
        <f t="shared" si="26"/>
        <v>119.25206775512103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3.9518242930326615</v>
      </c>
      <c r="K194" s="51">
        <f t="shared" ref="K194:K204" si="29">+$I$14+$I$13*J194</f>
        <v>2.0744012698696701</v>
      </c>
      <c r="L194" s="55">
        <f t="shared" ref="L194:L204" si="30">SQRT(2*$I$20*$I$17)*SQRT((1/$I$2)+((J194-$I$11)^2/$I$8))</f>
        <v>5.6180356240095545E-3</v>
      </c>
      <c r="M194" s="51">
        <f t="shared" si="28"/>
        <v>2.0800193054936797</v>
      </c>
      <c r="N194" s="94">
        <f t="shared" si="24"/>
        <v>8950.0259192361009</v>
      </c>
      <c r="O194" s="56">
        <f t="shared" si="25"/>
        <v>118.68648550124738</v>
      </c>
      <c r="P194" s="57">
        <f t="shared" si="26"/>
        <v>120.23178795155117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3.9121523440693515</v>
      </c>
      <c r="K195" s="51">
        <f t="shared" si="29"/>
        <v>2.0781306259587597</v>
      </c>
      <c r="L195" s="55">
        <f t="shared" si="30"/>
        <v>5.7914052827164105E-3</v>
      </c>
      <c r="M195" s="51">
        <f t="shared" si="28"/>
        <v>2.0839220312414763</v>
      </c>
      <c r="N195" s="94">
        <f t="shared" si="24"/>
        <v>8168.6886660144773</v>
      </c>
      <c r="O195" s="56">
        <f t="shared" si="25"/>
        <v>119.71005379334629</v>
      </c>
      <c r="P195" s="57">
        <f t="shared" si="26"/>
        <v>121.31710306804858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3.8684887586943044</v>
      </c>
      <c r="K196" s="51">
        <f t="shared" si="29"/>
        <v>2.0822352152780419</v>
      </c>
      <c r="L196" s="55">
        <f t="shared" si="30"/>
        <v>6.0092287139758708E-3</v>
      </c>
      <c r="M196" s="51">
        <f t="shared" si="28"/>
        <v>2.0882444439920178</v>
      </c>
      <c r="N196" s="94">
        <f t="shared" si="24"/>
        <v>7387.3514127928529</v>
      </c>
      <c r="O196" s="56">
        <f t="shared" si="25"/>
        <v>120.84681681146876</v>
      </c>
      <c r="P196" s="57">
        <f t="shared" si="26"/>
        <v>122.53056722972433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3.8199395002389944</v>
      </c>
      <c r="K197" s="51">
        <f t="shared" si="29"/>
        <v>2.0867990816211992</v>
      </c>
      <c r="L197" s="55">
        <f t="shared" si="30"/>
        <v>6.2811537046318392E-3</v>
      </c>
      <c r="M197" s="51">
        <f t="shared" si="28"/>
        <v>2.0930802353258309</v>
      </c>
      <c r="N197" s="94">
        <f t="shared" si="24"/>
        <v>6606.0141595712248</v>
      </c>
      <c r="O197" s="56">
        <f t="shared" si="25"/>
        <v>122.12345476846372</v>
      </c>
      <c r="P197" s="57">
        <f t="shared" si="26"/>
        <v>123.90254736888203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3.7652718401390639</v>
      </c>
      <c r="K198" s="51">
        <f t="shared" si="29"/>
        <v>2.0919381074668544</v>
      </c>
      <c r="L198" s="55">
        <f t="shared" si="30"/>
        <v>6.6201326247605835E-3</v>
      </c>
      <c r="M198" s="51">
        <f t="shared" si="28"/>
        <v>2.0985582400916152</v>
      </c>
      <c r="N198" s="94">
        <f t="shared" si="24"/>
        <v>5824.6769063496131</v>
      </c>
      <c r="O198" s="56">
        <f t="shared" si="25"/>
        <v>123.57713076356129</v>
      </c>
      <c r="P198" s="57">
        <f t="shared" si="26"/>
        <v>125.47529924239379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3.7027182175170519</v>
      </c>
      <c r="K199" s="51">
        <f t="shared" si="29"/>
        <v>2.0978184521314374</v>
      </c>
      <c r="L199" s="55">
        <f t="shared" si="30"/>
        <v>7.0443593608007209E-3</v>
      </c>
      <c r="M199" s="51">
        <f t="shared" si="28"/>
        <v>2.1048628114922381</v>
      </c>
      <c r="N199" s="94">
        <f t="shared" si="24"/>
        <v>5043.3396531279886</v>
      </c>
      <c r="O199" s="56">
        <f t="shared" si="25"/>
        <v>125.26174345451926</v>
      </c>
      <c r="P199" s="57">
        <f t="shared" si="26"/>
        <v>127.31008599360673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3.6296136899267037</v>
      </c>
      <c r="K200" s="51">
        <f t="shared" si="29"/>
        <v>2.1046906331619493</v>
      </c>
      <c r="L200" s="55">
        <f t="shared" si="30"/>
        <v>7.580879694739198E-3</v>
      </c>
      <c r="M200" s="51">
        <f t="shared" si="28"/>
        <v>2.1122715128566885</v>
      </c>
      <c r="N200" s="94">
        <f t="shared" si="24"/>
        <v>4262.0023999063642</v>
      </c>
      <c r="O200" s="56">
        <f t="shared" si="25"/>
        <v>127.25962324456084</v>
      </c>
      <c r="P200" s="57">
        <f t="shared" si="26"/>
        <v>129.50052016631051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3.5416622445017376</v>
      </c>
      <c r="K201" s="51">
        <f t="shared" si="29"/>
        <v>2.1129584966551995</v>
      </c>
      <c r="L201" s="55">
        <f t="shared" si="30"/>
        <v>8.272935395756657E-3</v>
      </c>
      <c r="M201" s="51">
        <f t="shared" si="28"/>
        <v>2.1212314320509562</v>
      </c>
      <c r="N201" s="94">
        <f t="shared" si="24"/>
        <v>3480.6651466847434</v>
      </c>
      <c r="O201" s="56">
        <f t="shared" si="25"/>
        <v>129.705531199208</v>
      </c>
      <c r="P201" s="57">
        <f t="shared" si="26"/>
        <v>132.19999296872618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3.4312556424936678</v>
      </c>
      <c r="K202" s="51">
        <f t="shared" si="29"/>
        <v>2.1233372540450945</v>
      </c>
      <c r="L202" s="55">
        <f t="shared" si="30"/>
        <v>9.1968474638298488E-3</v>
      </c>
      <c r="M202" s="51">
        <f t="shared" si="28"/>
        <v>2.1325341015089245</v>
      </c>
      <c r="N202" s="94">
        <f t="shared" si="24"/>
        <v>2699.3278934631276</v>
      </c>
      <c r="O202" s="56">
        <f t="shared" si="25"/>
        <v>132.84256543810494</v>
      </c>
      <c r="P202" s="57">
        <f t="shared" si="26"/>
        <v>135.68570687404426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3.2828464834908546</v>
      </c>
      <c r="K203" s="51">
        <f t="shared" si="29"/>
        <v>2.1372884365623861</v>
      </c>
      <c r="L203" s="55">
        <f t="shared" si="30"/>
        <v>1.0508603710125179E-2</v>
      </c>
      <c r="M203" s="51">
        <f t="shared" si="28"/>
        <v>2.1477970402725113</v>
      </c>
      <c r="N203" s="94">
        <f t="shared" si="24"/>
        <v>1917.9906402414949</v>
      </c>
      <c r="O203" s="56">
        <f t="shared" si="25"/>
        <v>137.17925393295002</v>
      </c>
      <c r="P203" s="57">
        <f t="shared" si="26"/>
        <v>140.53905865838556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3.0556280503921793</v>
      </c>
      <c r="K204" s="51">
        <f t="shared" si="29"/>
        <v>2.1586480740184042</v>
      </c>
      <c r="L204" s="55">
        <f t="shared" si="30"/>
        <v>1.2618753960935239E-2</v>
      </c>
      <c r="M204" s="51">
        <f t="shared" si="28"/>
        <v>2.1712668279793395</v>
      </c>
      <c r="N204" s="97">
        <f t="shared" si="24"/>
        <v>1136.6533870198773</v>
      </c>
      <c r="O204" s="91">
        <f t="shared" si="25"/>
        <v>144.09472218192386</v>
      </c>
      <c r="P204" s="92">
        <f t="shared" si="26"/>
        <v>148.34292154194432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23" zoomScaleNormal="100" workbookViewId="0">
      <selection activeCell="I50" sqref="I50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G27 105L'!O7</f>
        <v>134770285239.88643</v>
      </c>
      <c r="B2" s="48">
        <f>'New Vestas G27 105L'!T7</f>
        <v>96.398686048416309</v>
      </c>
      <c r="C2" s="50">
        <f t="shared" ref="C2:D44" si="0">IF(ISNA(A2),"",LOG10(A2))</f>
        <v>11.129594147548595</v>
      </c>
      <c r="D2" s="50">
        <f t="shared" si="0"/>
        <v>1.9840711143404728</v>
      </c>
      <c r="E2" s="51">
        <f>IF(C2="","",C2^2)</f>
        <v>123.86786588914794</v>
      </c>
      <c r="F2" s="51">
        <f>IF(D2="","",D2^2)</f>
        <v>3.9365381867602456</v>
      </c>
      <c r="G2" s="52">
        <f>IF(OR(C2="",D2=""),"",C2*D2)</f>
        <v>22.081906262483944</v>
      </c>
      <c r="H2" s="53" t="s">
        <v>57</v>
      </c>
      <c r="I2" s="54">
        <f>COUNT(C:C)</f>
        <v>51</v>
      </c>
      <c r="J2" s="51">
        <f t="shared" ref="J2:J65" si="1">LOG($I$24+($I$25-$I$24)*(ROW()-2)/100)</f>
        <v>11.24353749985543</v>
      </c>
      <c r="K2" s="51">
        <f t="shared" ref="K2:K65" si="2">+$I$14+$I$13*J2</f>
        <v>1.9855213237809202</v>
      </c>
      <c r="L2" s="55">
        <f t="shared" ref="L2:L65" si="3">SQRT(2*$I$20*$I$17)*SQRT((1/$I$2)+((J2-$I$11)^2/$I$8))</f>
        <v>8.6231303070858425E-3</v>
      </c>
      <c r="M2" s="51">
        <f t="shared" ref="M2:M65" si="4">+$I$14+$I$13*J2-L2</f>
        <v>1.9768981934738343</v>
      </c>
      <c r="N2" s="94">
        <f>10^$J2</f>
        <v>175201370811.85229</v>
      </c>
      <c r="O2" s="56">
        <f>10^K2</f>
        <v>96.721121538081348</v>
      </c>
      <c r="P2" s="57">
        <f t="shared" ref="P2:P65" si="5">10^M2</f>
        <v>94.819616281848084</v>
      </c>
      <c r="R2" s="47"/>
      <c r="S2" s="47"/>
      <c r="T2" s="47"/>
    </row>
    <row r="3" spans="1:20" ht="12.75" customHeight="1" x14ac:dyDescent="0.35">
      <c r="A3" s="49">
        <f>'New Vestas G27 105L'!O8</f>
        <v>148247313763.87506</v>
      </c>
      <c r="B3" s="48">
        <f>'New Vestas G27 105L'!T8</f>
        <v>93.377574558440898</v>
      </c>
      <c r="C3" s="50">
        <f t="shared" si="0"/>
        <v>11.170986832706818</v>
      </c>
      <c r="D3" s="50">
        <f t="shared" si="0"/>
        <v>1.9702425891325317</v>
      </c>
      <c r="E3" s="51">
        <f t="shared" ref="E3:F44" si="6">IF(C3="","",C3^2)</f>
        <v>124.79094681650911</v>
      </c>
      <c r="F3" s="51">
        <f t="shared" si="6"/>
        <v>3.8818558600316622</v>
      </c>
      <c r="G3" s="52">
        <f t="shared" ref="G3:G44" si="7">IF(OR(C3="",D3=""),"",C3*D3)</f>
        <v>22.009554020437701</v>
      </c>
      <c r="H3" s="53" t="s">
        <v>58</v>
      </c>
      <c r="I3" s="58">
        <f>SUM(C:C)</f>
        <v>532.79596897422482</v>
      </c>
      <c r="J3" s="51">
        <f t="shared" si="1"/>
        <v>11.239235592155891</v>
      </c>
      <c r="K3" s="51">
        <f t="shared" si="2"/>
        <v>1.9859309428141159</v>
      </c>
      <c r="L3" s="55">
        <f t="shared" si="3"/>
        <v>8.5892239378144736E-3</v>
      </c>
      <c r="M3" s="51">
        <f t="shared" si="4"/>
        <v>1.9773417188763014</v>
      </c>
      <c r="N3" s="94">
        <f t="shared" ref="N3:N66" si="8">10^$J3</f>
        <v>173474479127.21735</v>
      </c>
      <c r="O3" s="56">
        <f t="shared" ref="O3:O66" si="9">10^K3</f>
        <v>96.812390259444243</v>
      </c>
      <c r="P3" s="57">
        <f t="shared" si="5"/>
        <v>94.916500750638207</v>
      </c>
      <c r="R3" s="47"/>
      <c r="S3" s="47"/>
      <c r="T3" s="47"/>
    </row>
    <row r="4" spans="1:20" ht="12.75" customHeight="1" x14ac:dyDescent="0.35">
      <c r="A4" s="49">
        <f>'New Vestas G27 105L'!O9</f>
        <v>148247313763.87506</v>
      </c>
      <c r="B4" s="48">
        <f>'New Vestas G27 105L'!T9</f>
        <v>98.202523299837239</v>
      </c>
      <c r="C4" s="50">
        <f t="shared" si="0"/>
        <v>11.170986832706818</v>
      </c>
      <c r="D4" s="50">
        <f t="shared" si="0"/>
        <v>1.9921226470651214</v>
      </c>
      <c r="E4" s="51">
        <f t="shared" si="6"/>
        <v>124.79094681650911</v>
      </c>
      <c r="F4" s="51">
        <f t="shared" si="6"/>
        <v>3.9685526409497465</v>
      </c>
      <c r="G4" s="52">
        <f t="shared" si="7"/>
        <v>22.253975859501523</v>
      </c>
      <c r="H4" s="59" t="s">
        <v>59</v>
      </c>
      <c r="I4" s="58">
        <f>SUM(D:D)</f>
        <v>105.12976564224323</v>
      </c>
      <c r="J4" s="51">
        <f t="shared" si="1"/>
        <v>11.234890645191657</v>
      </c>
      <c r="K4" s="51">
        <f t="shared" si="2"/>
        <v>1.986344659959876</v>
      </c>
      <c r="L4" s="55">
        <f t="shared" si="3"/>
        <v>8.5550294307461215E-3</v>
      </c>
      <c r="M4" s="51">
        <f t="shared" si="4"/>
        <v>1.9777896305291298</v>
      </c>
      <c r="N4" s="94">
        <f t="shared" si="8"/>
        <v>171747587442.58179</v>
      </c>
      <c r="O4" s="56">
        <f t="shared" si="9"/>
        <v>96.904659517053275</v>
      </c>
      <c r="P4" s="57">
        <f t="shared" si="5"/>
        <v>95.014443827643959</v>
      </c>
      <c r="R4" s="47"/>
      <c r="S4" s="47"/>
      <c r="T4" s="47"/>
    </row>
    <row r="5" spans="1:20" ht="12.75" customHeight="1" x14ac:dyDescent="0.35">
      <c r="A5" s="49">
        <f>'New Vestas G27 105L'!O10</f>
        <v>168462856549.85803</v>
      </c>
      <c r="B5" s="48">
        <f>'New Vestas G27 105L'!T10</f>
        <v>96.892645099435484</v>
      </c>
      <c r="C5" s="50">
        <f t="shared" si="0"/>
        <v>11.226504160556651</v>
      </c>
      <c r="D5" s="50">
        <f t="shared" si="0"/>
        <v>1.9862908119944289</v>
      </c>
      <c r="E5" s="51">
        <f t="shared" si="6"/>
        <v>126.03439566699579</v>
      </c>
      <c r="F5" s="51">
        <f t="shared" si="6"/>
        <v>3.9453511898134876</v>
      </c>
      <c r="G5" s="52">
        <f t="shared" si="7"/>
        <v>22.299102064930906</v>
      </c>
      <c r="H5" s="59" t="s">
        <v>60</v>
      </c>
      <c r="I5" s="58">
        <f>SUM(E:E)</f>
        <v>5578.162249995622</v>
      </c>
      <c r="J5" s="51">
        <f t="shared" si="1"/>
        <v>11.230501789063082</v>
      </c>
      <c r="K5" s="51">
        <f t="shared" si="2"/>
        <v>1.9867625580483019</v>
      </c>
      <c r="L5" s="55">
        <f t="shared" si="3"/>
        <v>8.5205421085145956E-3</v>
      </c>
      <c r="M5" s="51">
        <f t="shared" si="4"/>
        <v>1.9782420159397873</v>
      </c>
      <c r="N5" s="94">
        <f t="shared" si="8"/>
        <v>170020695757.94635</v>
      </c>
      <c r="O5" s="56">
        <f t="shared" si="9"/>
        <v>96.997950506455382</v>
      </c>
      <c r="P5" s="57">
        <f t="shared" si="5"/>
        <v>95.11346774938724</v>
      </c>
      <c r="R5" s="47"/>
      <c r="S5" s="47"/>
      <c r="T5" s="47"/>
    </row>
    <row r="6" spans="1:20" ht="12.75" customHeight="1" x14ac:dyDescent="0.35">
      <c r="A6" s="49">
        <f>'New Vestas G27 105L'!O11</f>
        <v>175201370811.85236</v>
      </c>
      <c r="B6" s="48">
        <f>'New Vestas G27 105L'!T11</f>
        <v>91.075244856474768</v>
      </c>
      <c r="C6" s="50">
        <f t="shared" si="0"/>
        <v>11.24353749985543</v>
      </c>
      <c r="D6" s="50">
        <f t="shared" si="0"/>
        <v>1.9594003475194754</v>
      </c>
      <c r="E6" s="51">
        <f t="shared" si="6"/>
        <v>126.41713551065529</v>
      </c>
      <c r="F6" s="51">
        <f t="shared" si="6"/>
        <v>3.8392497218594412</v>
      </c>
      <c r="G6" s="52">
        <f t="shared" si="7"/>
        <v>22.030591284564984</v>
      </c>
      <c r="H6" s="59" t="s">
        <v>61</v>
      </c>
      <c r="I6" s="58">
        <f>SUM(F:F)</f>
        <v>216.82832587299279</v>
      </c>
      <c r="J6" s="51">
        <f t="shared" si="1"/>
        <v>11.226068127227729</v>
      </c>
      <c r="K6" s="51">
        <f t="shared" si="2"/>
        <v>1.9871847224463688</v>
      </c>
      <c r="L6" s="55">
        <f t="shared" si="3"/>
        <v>8.4857571899654115E-3</v>
      </c>
      <c r="M6" s="51">
        <f t="shared" si="4"/>
        <v>1.9786989652564033</v>
      </c>
      <c r="N6" s="94">
        <f t="shared" si="8"/>
        <v>168293804073.31088</v>
      </c>
      <c r="O6" s="56">
        <f t="shared" si="9"/>
        <v>97.092285093290911</v>
      </c>
      <c r="P6" s="57">
        <f t="shared" si="5"/>
        <v>95.213595447368604</v>
      </c>
      <c r="R6" s="47"/>
      <c r="S6" s="47"/>
      <c r="T6" s="47"/>
    </row>
    <row r="7" spans="1:20" ht="12.75" customHeight="1" x14ac:dyDescent="0.35">
      <c r="A7" s="49">
        <f>'New Vestas G27 105L'!O12</f>
        <v>121293256715.89778</v>
      </c>
      <c r="B7" s="48">
        <f>'New Vestas G27 105L'!T12</f>
        <v>98.226747141076572</v>
      </c>
      <c r="C7" s="50">
        <f t="shared" si="0"/>
        <v>11.083836656987918</v>
      </c>
      <c r="D7" s="50">
        <f t="shared" si="0"/>
        <v>1.9922297622685781</v>
      </c>
      <c r="E7" s="51">
        <f t="shared" si="6"/>
        <v>122.85143503878911</v>
      </c>
      <c r="F7" s="51">
        <f t="shared" si="6"/>
        <v>3.968979425668715</v>
      </c>
      <c r="G7" s="52">
        <f t="shared" si="7"/>
        <v>22.08154926817479</v>
      </c>
      <c r="H7" s="59" t="s">
        <v>62</v>
      </c>
      <c r="I7" s="58">
        <f>SUM(G:G)</f>
        <v>1097.1408230537991</v>
      </c>
      <c r="J7" s="51">
        <f t="shared" si="1"/>
        <v>11.221588735401133</v>
      </c>
      <c r="K7" s="51">
        <f t="shared" si="2"/>
        <v>1.9876112411625912</v>
      </c>
      <c r="L7" s="55">
        <f t="shared" si="3"/>
        <v>8.4506697876909655E-3</v>
      </c>
      <c r="M7" s="51">
        <f t="shared" si="4"/>
        <v>1.9791605713749003</v>
      </c>
      <c r="N7" s="94">
        <f t="shared" si="8"/>
        <v>166566912388.67511</v>
      </c>
      <c r="O7" s="56">
        <f t="shared" si="9"/>
        <v>97.187685841611994</v>
      </c>
      <c r="P7" s="57">
        <f t="shared" si="5"/>
        <v>95.314850577029972</v>
      </c>
      <c r="R7" s="47"/>
      <c r="S7" s="47"/>
      <c r="T7" s="47"/>
    </row>
    <row r="8" spans="1:20" ht="12.75" customHeight="1" x14ac:dyDescent="0.35">
      <c r="A8" s="49">
        <f>'New Vestas G27 105L'!O13</f>
        <v>128031770977.89211</v>
      </c>
      <c r="B8" s="48">
        <f>'New Vestas G27 105L'!T13</f>
        <v>96.129287571603214</v>
      </c>
      <c r="C8" s="50">
        <f t="shared" si="0"/>
        <v>11.107317752837442</v>
      </c>
      <c r="D8" s="50">
        <f t="shared" si="0"/>
        <v>1.9828557237032332</v>
      </c>
      <c r="E8" s="51">
        <f t="shared" si="6"/>
        <v>123.37250766249781</v>
      </c>
      <c r="F8" s="51">
        <f t="shared" si="6"/>
        <v>3.9317168210226723</v>
      </c>
      <c r="G8" s="52">
        <f t="shared" si="7"/>
        <v>22.024208581204256</v>
      </c>
      <c r="H8" s="53" t="s">
        <v>63</v>
      </c>
      <c r="I8" s="58">
        <f>+I5-I3^2/$I$2</f>
        <v>12.053533227324806</v>
      </c>
      <c r="J8" s="51">
        <f t="shared" si="1"/>
        <v>11.217062660400289</v>
      </c>
      <c r="K8" s="51">
        <f t="shared" si="2"/>
        <v>1.9880422049571458</v>
      </c>
      <c r="L8" s="55">
        <f t="shared" si="3"/>
        <v>8.4152749055417479E-3</v>
      </c>
      <c r="M8" s="51">
        <f t="shared" si="4"/>
        <v>1.9796269300516041</v>
      </c>
      <c r="N8" s="94">
        <f t="shared" si="8"/>
        <v>164840020704.03937</v>
      </c>
      <c r="O8" s="56">
        <f t="shared" si="9"/>
        <v>97.284176043706481</v>
      </c>
      <c r="P8" s="57">
        <f t="shared" si="5"/>
        <v>95.417257548231916</v>
      </c>
      <c r="R8" s="47"/>
      <c r="S8" s="47"/>
      <c r="T8" s="47"/>
    </row>
    <row r="9" spans="1:20" ht="12.75" customHeight="1" x14ac:dyDescent="0.35">
      <c r="A9" s="49">
        <f>'New Vestas G27 105L'!O14</f>
        <v>168462856549.85803</v>
      </c>
      <c r="B9" s="48">
        <f>'New Vestas G27 105L'!T14</f>
        <v>95.109421909382206</v>
      </c>
      <c r="C9" s="50">
        <f t="shared" si="0"/>
        <v>11.226504160556651</v>
      </c>
      <c r="D9" s="50">
        <f t="shared" si="0"/>
        <v>1.9782235419696752</v>
      </c>
      <c r="E9" s="51">
        <f t="shared" si="6"/>
        <v>126.03439566699579</v>
      </c>
      <c r="F9" s="51">
        <f t="shared" si="6"/>
        <v>3.9133683820030472</v>
      </c>
      <c r="G9" s="52">
        <f t="shared" si="7"/>
        <v>22.208534824433674</v>
      </c>
      <c r="H9" s="59" t="s">
        <v>64</v>
      </c>
      <c r="I9" s="58">
        <f>+I6-I4^2/$I$2</f>
        <v>0.11719599077741805</v>
      </c>
      <c r="J9" s="51">
        <f t="shared" si="1"/>
        <v>11.212488918926244</v>
      </c>
      <c r="K9" s="51">
        <f t="shared" si="2"/>
        <v>1.9884777074577893</v>
      </c>
      <c r="L9" s="55">
        <f t="shared" si="3"/>
        <v>8.3795674361192684E-3</v>
      </c>
      <c r="M9" s="51">
        <f t="shared" si="4"/>
        <v>1.98009814002167</v>
      </c>
      <c r="N9" s="94">
        <f t="shared" si="8"/>
        <v>163113129019.40356</v>
      </c>
      <c r="O9" s="56">
        <f t="shared" si="9"/>
        <v>97.381779751521606</v>
      </c>
      <c r="P9" s="57">
        <f t="shared" si="5"/>
        <v>95.520841557339281</v>
      </c>
      <c r="R9" s="47"/>
      <c r="S9" s="47"/>
      <c r="T9" s="47"/>
    </row>
    <row r="10" spans="1:20" ht="12.75" customHeight="1" x14ac:dyDescent="0.35">
      <c r="A10" s="49">
        <f>'New Vestas G27 105L'!O15</f>
        <v>16778900512.365856</v>
      </c>
      <c r="B10" s="48">
        <f>'New Vestas G27 105L'!T15</f>
        <v>119.13563169228982</v>
      </c>
      <c r="C10" s="50">
        <f t="shared" si="0"/>
        <v>10.224763498980348</v>
      </c>
      <c r="D10" s="50">
        <f t="shared" si="0"/>
        <v>2.07604167191933</v>
      </c>
      <c r="E10" s="51">
        <f t="shared" si="6"/>
        <v>104.54578861008085</v>
      </c>
      <c r="F10" s="51">
        <f t="shared" si="6"/>
        <v>4.3099490235456068</v>
      </c>
      <c r="G10" s="52">
        <f t="shared" si="7"/>
        <v>21.227035109402902</v>
      </c>
      <c r="H10" s="59" t="s">
        <v>65</v>
      </c>
      <c r="I10" s="58">
        <f>+I7-I3*I4/$I$2</f>
        <v>-1.1477132872234961</v>
      </c>
      <c r="J10" s="51">
        <f t="shared" si="1"/>
        <v>11.207866496281875</v>
      </c>
      <c r="K10" s="51">
        <f t="shared" si="2"/>
        <v>1.9889178452819483</v>
      </c>
      <c r="L10" s="55">
        <f t="shared" si="3"/>
        <v>8.3435421582572361E-3</v>
      </c>
      <c r="M10" s="51">
        <f t="shared" si="4"/>
        <v>1.9805743031236911</v>
      </c>
      <c r="N10" s="94">
        <f t="shared" si="8"/>
        <v>161386237334.76877</v>
      </c>
      <c r="O10" s="56">
        <f t="shared" si="9"/>
        <v>97.480521809794126</v>
      </c>
      <c r="P10" s="57">
        <f t="shared" si="5"/>
        <v>95.625628621020084</v>
      </c>
      <c r="R10" s="47"/>
      <c r="S10" s="47"/>
      <c r="T10" s="47"/>
    </row>
    <row r="11" spans="1:20" ht="12.75" customHeight="1" x14ac:dyDescent="0.35">
      <c r="A11" s="49">
        <f>'New Vestas G27 105L'!O16</f>
        <v>20973625640.457321</v>
      </c>
      <c r="B11" s="48">
        <f>'New Vestas G27 105L'!T16</f>
        <v>114.99363409754525</v>
      </c>
      <c r="C11" s="50">
        <f t="shared" si="0"/>
        <v>10.321673511988406</v>
      </c>
      <c r="D11" s="50">
        <f t="shared" si="0"/>
        <v>2.060673799024642</v>
      </c>
      <c r="E11" s="51">
        <f t="shared" si="6"/>
        <v>106.53694408808308</v>
      </c>
      <c r="F11" s="51">
        <f t="shared" si="6"/>
        <v>4.2463765059866505</v>
      </c>
      <c r="G11" s="52">
        <f t="shared" si="7"/>
        <v>21.269602168241168</v>
      </c>
      <c r="H11" s="59" t="s">
        <v>66</v>
      </c>
      <c r="I11" s="58">
        <f>+I3/$I$2</f>
        <v>10.446979783808329</v>
      </c>
      <c r="J11" s="51">
        <f t="shared" si="1"/>
        <v>11.203194345020721</v>
      </c>
      <c r="K11" s="51">
        <f t="shared" si="2"/>
        <v>1.989362718165377</v>
      </c>
      <c r="L11" s="55">
        <f t="shared" si="3"/>
        <v>8.3071937344990233E-3</v>
      </c>
      <c r="M11" s="51">
        <f t="shared" si="4"/>
        <v>1.9810555244308781</v>
      </c>
      <c r="N11" s="94">
        <f t="shared" si="8"/>
        <v>159659345650.13315</v>
      </c>
      <c r="O11" s="56">
        <f t="shared" si="9"/>
        <v>97.580427890996702</v>
      </c>
      <c r="P11" s="57">
        <f t="shared" si="5"/>
        <v>95.731645611865574</v>
      </c>
      <c r="R11" s="47"/>
      <c r="S11" s="47"/>
      <c r="T11" s="47"/>
    </row>
    <row r="12" spans="1:20" ht="12.75" customHeight="1" x14ac:dyDescent="0.35">
      <c r="A12" s="49">
        <f>'New Vestas G27 105L'!O17</f>
        <v>29363075896.640247</v>
      </c>
      <c r="B12" s="48">
        <f>'New Vestas G27 105L'!T17</f>
        <v>113.98806242714483</v>
      </c>
      <c r="C12" s="50">
        <f t="shared" si="0"/>
        <v>10.467801547666642</v>
      </c>
      <c r="D12" s="50">
        <f t="shared" si="0"/>
        <v>2.0568593715690859</v>
      </c>
      <c r="E12" s="51">
        <f t="shared" si="6"/>
        <v>109.57486924133215</v>
      </c>
      <c r="F12" s="51">
        <f t="shared" si="6"/>
        <v>4.2306704744115748</v>
      </c>
      <c r="G12" s="52">
        <f t="shared" si="7"/>
        <v>21.530795713043513</v>
      </c>
      <c r="H12" s="59" t="s">
        <v>67</v>
      </c>
      <c r="I12" s="58">
        <f>+I4/$I$2</f>
        <v>2.0613679537694751</v>
      </c>
      <c r="J12" s="51">
        <f t="shared" si="1"/>
        <v>11.198471383522326</v>
      </c>
      <c r="K12" s="51">
        <f t="shared" si="2"/>
        <v>1.9898124290978085</v>
      </c>
      <c r="L12" s="55">
        <f t="shared" si="3"/>
        <v>8.2705167085803527E-3</v>
      </c>
      <c r="M12" s="51">
        <f t="shared" si="4"/>
        <v>1.9815419123892282</v>
      </c>
      <c r="N12" s="94">
        <f t="shared" si="8"/>
        <v>157932453965.49744</v>
      </c>
      <c r="O12" s="56">
        <f t="shared" si="9"/>
        <v>97.681524532222113</v>
      </c>
      <c r="P12" s="57">
        <f t="shared" si="5"/>
        <v>95.838920295951198</v>
      </c>
      <c r="R12" s="47"/>
      <c r="S12" s="47"/>
      <c r="T12" s="47"/>
    </row>
    <row r="13" spans="1:20" ht="12.75" customHeight="1" x14ac:dyDescent="0.35">
      <c r="A13" s="49">
        <f>'New Vestas G27 105L'!O18</f>
        <v>41947251280.914642</v>
      </c>
      <c r="B13" s="48">
        <f>'New Vestas G27 105L'!T18</f>
        <v>111.52201761640093</v>
      </c>
      <c r="C13" s="50">
        <f t="shared" si="0"/>
        <v>10.622703507652387</v>
      </c>
      <c r="D13" s="50">
        <f t="shared" si="0"/>
        <v>2.0473606179252322</v>
      </c>
      <c r="E13" s="51">
        <f t="shared" si="6"/>
        <v>112.84182981149033</v>
      </c>
      <c r="F13" s="51">
        <f t="shared" si="6"/>
        <v>4.1916854998311885</v>
      </c>
      <c r="G13" s="52">
        <f t="shared" si="7"/>
        <v>21.748504817463722</v>
      </c>
      <c r="H13" s="59" t="s">
        <v>68</v>
      </c>
      <c r="I13" s="60">
        <f>+I10/I8</f>
        <v>-9.5217996713335709E-2</v>
      </c>
      <c r="J13" s="51">
        <f t="shared" si="1"/>
        <v>11.193696494489265</v>
      </c>
      <c r="K13" s="51">
        <f t="shared" si="2"/>
        <v>1.990267084466065</v>
      </c>
      <c r="L13" s="55">
        <f t="shared" si="3"/>
        <v>8.2335055029277831E-3</v>
      </c>
      <c r="M13" s="51">
        <f t="shared" si="4"/>
        <v>1.9820335789631374</v>
      </c>
      <c r="N13" s="94">
        <f t="shared" si="8"/>
        <v>156205562280.8616</v>
      </c>
      <c r="O13" s="56">
        <f t="shared" si="9"/>
        <v>97.783839174134414</v>
      </c>
      <c r="P13" s="57">
        <f t="shared" si="5"/>
        <v>95.947481372465759</v>
      </c>
      <c r="R13" s="47"/>
      <c r="S13" s="47"/>
      <c r="T13" s="47"/>
    </row>
    <row r="14" spans="1:20" ht="12.75" customHeight="1" x14ac:dyDescent="0.35">
      <c r="A14" s="49">
        <f>'New Vestas G27 105L'!O19</f>
        <v>46141976409.006104</v>
      </c>
      <c r="B14" s="48">
        <f>'New Vestas G27 105L'!T19</f>
        <v>109.94183356291457</v>
      </c>
      <c r="C14" s="50">
        <f t="shared" si="0"/>
        <v>10.664096192810611</v>
      </c>
      <c r="D14" s="50">
        <f t="shared" si="0"/>
        <v>2.0411629756678757</v>
      </c>
      <c r="E14" s="51">
        <f t="shared" si="6"/>
        <v>113.72294760951776</v>
      </c>
      <c r="F14" s="51">
        <f t="shared" si="6"/>
        <v>4.1663462932373374</v>
      </c>
      <c r="G14" s="52">
        <f t="shared" si="7"/>
        <v>21.767158317725769</v>
      </c>
      <c r="H14" s="59" t="s">
        <v>69</v>
      </c>
      <c r="I14" s="60">
        <f>+I12-I13*I11</f>
        <v>3.0561084404884213</v>
      </c>
      <c r="J14" s="51">
        <f t="shared" si="1"/>
        <v>11.188868523360622</v>
      </c>
      <c r="K14" s="51">
        <f t="shared" si="2"/>
        <v>1.9907267942051243</v>
      </c>
      <c r="L14" s="55">
        <f t="shared" si="3"/>
        <v>8.1961544161853056E-3</v>
      </c>
      <c r="M14" s="51">
        <f t="shared" si="4"/>
        <v>1.9825306397889391</v>
      </c>
      <c r="N14" s="94">
        <f t="shared" si="8"/>
        <v>154478670596.22659</v>
      </c>
      <c r="O14" s="56">
        <f t="shared" si="9"/>
        <v>97.887400202128433</v>
      </c>
      <c r="P14" s="57">
        <f t="shared" si="5"/>
        <v>96.057358515546511</v>
      </c>
      <c r="R14" s="47"/>
      <c r="S14" s="47"/>
      <c r="T14" s="47"/>
    </row>
    <row r="15" spans="1:20" ht="12.75" customHeight="1" thickBot="1" x14ac:dyDescent="0.4">
      <c r="A15" s="49">
        <f>'New Vestas G27 105L'!O20</f>
        <v>67115602049.463425</v>
      </c>
      <c r="B15" s="48">
        <f>'New Vestas G27 105L'!T20</f>
        <v>109.0080884403999</v>
      </c>
      <c r="C15" s="50">
        <f t="shared" si="0"/>
        <v>10.82682349030831</v>
      </c>
      <c r="D15" s="50">
        <f t="shared" si="0"/>
        <v>2.0374587239470956</v>
      </c>
      <c r="E15" s="51">
        <f t="shared" si="6"/>
        <v>117.22010689029183</v>
      </c>
      <c r="F15" s="51">
        <f t="shared" si="6"/>
        <v>4.1512380517881269</v>
      </c>
      <c r="G15" s="52">
        <f t="shared" si="7"/>
        <v>22.059205972964008</v>
      </c>
      <c r="H15" s="61" t="s">
        <v>70</v>
      </c>
      <c r="I15" s="62">
        <f>+I10^2/(I8*I9)</f>
        <v>0.93248036290125202</v>
      </c>
      <c r="J15" s="51">
        <f t="shared" si="1"/>
        <v>11.183986276636286</v>
      </c>
      <c r="K15" s="51">
        <f t="shared" si="2"/>
        <v>1.9911916719576757</v>
      </c>
      <c r="L15" s="55">
        <f t="shared" si="3"/>
        <v>8.1584576207831133E-3</v>
      </c>
      <c r="M15" s="51">
        <f t="shared" si="4"/>
        <v>1.9830332143368925</v>
      </c>
      <c r="N15" s="94">
        <f t="shared" si="8"/>
        <v>152751778911.59088</v>
      </c>
      <c r="O15" s="56">
        <f t="shared" si="9"/>
        <v>97.992236989847385</v>
      </c>
      <c r="P15" s="57">
        <f t="shared" si="5"/>
        <v>96.168582418467608</v>
      </c>
      <c r="R15" s="47"/>
      <c r="S15" s="47"/>
      <c r="T15" s="47"/>
    </row>
    <row r="16" spans="1:20" ht="12.75" customHeight="1" x14ac:dyDescent="0.35">
      <c r="A16" s="49">
        <f>'New Vestas G27 105L'!O21</f>
        <v>75505052305.646362</v>
      </c>
      <c r="B16" s="48">
        <f>'New Vestas G27 105L'!T21</f>
        <v>108.07434331788519</v>
      </c>
      <c r="C16" s="50">
        <f t="shared" si="0"/>
        <v>10.877976012755692</v>
      </c>
      <c r="D16" s="50">
        <f t="shared" si="0"/>
        <v>2.0337226053504009</v>
      </c>
      <c r="E16" s="51">
        <f t="shared" si="6"/>
        <v>118.33036213408822</v>
      </c>
      <c r="F16" s="51">
        <f t="shared" si="6"/>
        <v>4.1360276355132228</v>
      </c>
      <c r="G16" s="52">
        <f t="shared" si="7"/>
        <v>22.122785717600671</v>
      </c>
      <c r="H16" s="63" t="s">
        <v>71</v>
      </c>
      <c r="I16" s="64"/>
      <c r="J16" s="51">
        <f t="shared" si="1"/>
        <v>11.179048520105994</v>
      </c>
      <c r="K16" s="51">
        <f t="shared" si="2"/>
        <v>1.9916618352427484</v>
      </c>
      <c r="L16" s="55">
        <f t="shared" si="3"/>
        <v>8.1204091605649852E-3</v>
      </c>
      <c r="M16" s="51">
        <f t="shared" si="4"/>
        <v>1.9835414260821835</v>
      </c>
      <c r="N16" s="94">
        <f t="shared" si="8"/>
        <v>151024887226.95514</v>
      </c>
      <c r="O16" s="56">
        <f t="shared" si="9"/>
        <v>98.098379945223826</v>
      </c>
      <c r="P16" s="57">
        <f t="shared" si="5"/>
        <v>96.281184840342533</v>
      </c>
      <c r="R16" s="47"/>
      <c r="S16" s="47"/>
      <c r="T16" s="47"/>
    </row>
    <row r="17" spans="1:20" ht="12.75" customHeight="1" x14ac:dyDescent="0.35">
      <c r="A17" s="49">
        <f>'New Vestas G27 105L'!O22</f>
        <v>79699777433.737823</v>
      </c>
      <c r="B17" s="48">
        <f>'New Vestas G27 105L'!T22</f>
        <v>105.75195160291281</v>
      </c>
      <c r="C17" s="50">
        <f t="shared" si="0"/>
        <v>10.901457108605216</v>
      </c>
      <c r="D17" s="50">
        <f t="shared" si="0"/>
        <v>2.0242883908230147</v>
      </c>
      <c r="E17" s="51">
        <f t="shared" si="6"/>
        <v>118.84176709075921</v>
      </c>
      <c r="F17" s="51">
        <f t="shared" si="6"/>
        <v>4.0977434892208304</v>
      </c>
      <c r="G17" s="52">
        <f t="shared" si="7"/>
        <v>22.067693068004569</v>
      </c>
      <c r="H17" s="53" t="s">
        <v>72</v>
      </c>
      <c r="I17" s="65">
        <f>(+I9-(+I10^2/I8))/($I$2-2)</f>
        <v>1.6149042381060166E-4</v>
      </c>
      <c r="J17" s="51">
        <f t="shared" si="1"/>
        <v>11.174053976976507</v>
      </c>
      <c r="K17" s="51">
        <f t="shared" si="2"/>
        <v>1.9921374056340364</v>
      </c>
      <c r="L17" s="55">
        <f t="shared" si="3"/>
        <v>8.0820029484928602E-3</v>
      </c>
      <c r="M17" s="51">
        <f t="shared" si="4"/>
        <v>1.9840554026855435</v>
      </c>
      <c r="N17" s="94">
        <f t="shared" si="8"/>
        <v>149297995542.31961</v>
      </c>
      <c r="O17" s="56">
        <f t="shared" si="9"/>
        <v>98.205860559219062</v>
      </c>
      <c r="P17" s="57">
        <f t="shared" si="5"/>
        <v>96.395198655512587</v>
      </c>
      <c r="R17" s="47"/>
      <c r="S17" s="47"/>
      <c r="T17" s="47"/>
    </row>
    <row r="18" spans="1:20" ht="12.75" customHeight="1" x14ac:dyDescent="0.35">
      <c r="A18" s="49">
        <f>'New Vestas G27 105L'!O23</f>
        <v>83894502561.829285</v>
      </c>
      <c r="B18" s="48">
        <f>'New Vestas G27 105L'!T23</f>
        <v>105.56041414188415</v>
      </c>
      <c r="C18" s="50">
        <f t="shared" si="0"/>
        <v>10.923733503316368</v>
      </c>
      <c r="D18" s="50">
        <f t="shared" si="0"/>
        <v>2.023501085405365</v>
      </c>
      <c r="E18" s="51">
        <f t="shared" si="6"/>
        <v>119.32795365147651</v>
      </c>
      <c r="F18" s="51">
        <f t="shared" si="6"/>
        <v>4.0945566426366904</v>
      </c>
      <c r="G18" s="52">
        <f t="shared" si="7"/>
        <v>22.104186600639622</v>
      </c>
      <c r="H18" s="66" t="s">
        <v>53</v>
      </c>
      <c r="I18" s="67">
        <v>0.95</v>
      </c>
      <c r="J18" s="51">
        <f t="shared" si="1"/>
        <v>11.169001325889877</v>
      </c>
      <c r="K18" s="51">
        <f t="shared" si="2"/>
        <v>1.9926185089485968</v>
      </c>
      <c r="L18" s="55">
        <f t="shared" si="3"/>
        <v>8.0432327644505038E-3</v>
      </c>
      <c r="M18" s="51">
        <f t="shared" si="4"/>
        <v>1.9845752761841464</v>
      </c>
      <c r="N18" s="94">
        <f t="shared" si="8"/>
        <v>147571103857.68439</v>
      </c>
      <c r="O18" s="56">
        <f t="shared" si="9"/>
        <v>98.31471145745455</v>
      </c>
      <c r="P18" s="57">
        <f t="shared" si="5"/>
        <v>96.510657905808273</v>
      </c>
      <c r="R18" s="47"/>
      <c r="S18" s="47"/>
      <c r="T18" s="47"/>
    </row>
    <row r="19" spans="1:20" ht="12.75" customHeight="1" x14ac:dyDescent="0.35">
      <c r="A19" s="49">
        <f>'New Vestas G27 105L'!O24</f>
        <v>12584175384.274391</v>
      </c>
      <c r="B19" s="48">
        <f>'New Vestas G27 105L'!T24</f>
        <v>126.17252703498713</v>
      </c>
      <c r="C19" s="50">
        <f t="shared" si="0"/>
        <v>10.099824762372048</v>
      </c>
      <c r="D19" s="50">
        <f t="shared" si="0"/>
        <v>2.1009648013741478</v>
      </c>
      <c r="E19" s="51">
        <f t="shared" si="6"/>
        <v>102.0064602306236</v>
      </c>
      <c r="F19" s="51">
        <f t="shared" si="6"/>
        <v>4.4140530966131122</v>
      </c>
      <c r="G19" s="52">
        <f t="shared" si="7"/>
        <v>21.219376325790687</v>
      </c>
      <c r="H19" s="53" t="s">
        <v>73</v>
      </c>
      <c r="I19" s="68">
        <f>_xlfn.T.INV(1-(1-I18)/2,I2-2)</f>
        <v>2.0095752371292388</v>
      </c>
      <c r="J19" s="51">
        <f t="shared" si="1"/>
        <v>11.163889198825025</v>
      </c>
      <c r="K19" s="51">
        <f t="shared" si="2"/>
        <v>1.9931052754466561</v>
      </c>
      <c r="L19" s="55">
        <f t="shared" si="3"/>
        <v>8.0040922531707127E-3</v>
      </c>
      <c r="M19" s="51">
        <f t="shared" si="4"/>
        <v>1.9851011831934853</v>
      </c>
      <c r="N19" s="94">
        <f t="shared" si="8"/>
        <v>145844212173.0488</v>
      </c>
      <c r="O19" s="56">
        <f t="shared" si="9"/>
        <v>98.424966454941</v>
      </c>
      <c r="P19" s="57">
        <f t="shared" si="5"/>
        <v>96.627597855884702</v>
      </c>
      <c r="R19" s="47"/>
      <c r="S19" s="47"/>
      <c r="T19" s="47"/>
    </row>
    <row r="20" spans="1:20" ht="12.75" customHeight="1" x14ac:dyDescent="0.35">
      <c r="A20" s="49">
        <f>'New Vestas G27 105L'!O25</f>
        <v>16778900512.365856</v>
      </c>
      <c r="B20" s="48">
        <f>'New Vestas G27 105L'!T25</f>
        <v>122.38570023480405</v>
      </c>
      <c r="C20" s="50">
        <f t="shared" si="0"/>
        <v>10.224763498980348</v>
      </c>
      <c r="D20" s="50">
        <f t="shared" si="0"/>
        <v>2.0877306770259247</v>
      </c>
      <c r="E20" s="51">
        <f t="shared" si="6"/>
        <v>104.54578861008085</v>
      </c>
      <c r="F20" s="51">
        <f t="shared" si="6"/>
        <v>4.358619379795126</v>
      </c>
      <c r="G20" s="52">
        <f t="shared" si="7"/>
        <v>21.346552422156204</v>
      </c>
      <c r="H20" s="53" t="s">
        <v>74</v>
      </c>
      <c r="I20" s="68">
        <f>_xlfn.F.INV(I18,2,I2-2)</f>
        <v>3.1865823523635823</v>
      </c>
      <c r="J20" s="51">
        <f t="shared" si="1"/>
        <v>11.158716178874382</v>
      </c>
      <c r="K20" s="51">
        <f t="shared" si="2"/>
        <v>1.9935978400433145</v>
      </c>
      <c r="L20" s="55">
        <f t="shared" si="3"/>
        <v>7.9645749223148481E-3</v>
      </c>
      <c r="M20" s="51">
        <f t="shared" si="4"/>
        <v>1.9856332651209996</v>
      </c>
      <c r="N20" s="94">
        <f t="shared" si="8"/>
        <v>144117320488.41299</v>
      </c>
      <c r="O20" s="56">
        <f t="shared" si="9"/>
        <v>98.536660614131776</v>
      </c>
      <c r="P20" s="57">
        <f t="shared" si="5"/>
        <v>96.746055051850647</v>
      </c>
      <c r="R20" s="47"/>
      <c r="S20" s="47"/>
      <c r="T20" s="47"/>
    </row>
    <row r="21" spans="1:20" ht="12.75" customHeight="1" x14ac:dyDescent="0.35">
      <c r="A21" s="49">
        <f>'New Vestas G27 105L'!O26</f>
        <v>20973625640.457321</v>
      </c>
      <c r="B21" s="48">
        <f>'New Vestas G27 105L'!T26</f>
        <v>116.53768922634551</v>
      </c>
      <c r="C21" s="50">
        <f t="shared" si="0"/>
        <v>10.321673511988406</v>
      </c>
      <c r="D21" s="50">
        <f t="shared" si="0"/>
        <v>2.0664664024087003</v>
      </c>
      <c r="E21" s="51">
        <f t="shared" si="6"/>
        <v>106.53694408808308</v>
      </c>
      <c r="F21" s="51">
        <f t="shared" si="6"/>
        <v>4.2702833922839565</v>
      </c>
      <c r="G21" s="52">
        <f t="shared" si="7"/>
        <v>21.329391529155856</v>
      </c>
      <c r="H21" s="53" t="s">
        <v>75</v>
      </c>
      <c r="I21" s="68">
        <f>I19*SQRT(I17)*(($I$8)^(-1/2))</f>
        <v>7.3556401207009858E-3</v>
      </c>
      <c r="J21" s="51">
        <f t="shared" si="1"/>
        <v>11.153480797886479</v>
      </c>
      <c r="K21" s="51">
        <f t="shared" si="2"/>
        <v>1.9940963425330136</v>
      </c>
      <c r="L21" s="55">
        <f t="shared" si="3"/>
        <v>7.9246741407370761E-3</v>
      </c>
      <c r="M21" s="51">
        <f t="shared" si="4"/>
        <v>1.9861716683922765</v>
      </c>
      <c r="N21" s="94">
        <f t="shared" si="8"/>
        <v>142390428803.77774</v>
      </c>
      <c r="O21" s="56">
        <f t="shared" si="9"/>
        <v>98.64983030654362</v>
      </c>
      <c r="P21" s="57">
        <f t="shared" si="5"/>
        <v>96.86606738342627</v>
      </c>
      <c r="R21" s="47"/>
      <c r="S21" s="47"/>
      <c r="T21" s="47"/>
    </row>
    <row r="22" spans="1:20" ht="12.75" customHeight="1" thickBot="1" x14ac:dyDescent="0.4">
      <c r="A22" s="49">
        <f>'New Vestas G27 105L'!O27</f>
        <v>41947251280.914642</v>
      </c>
      <c r="B22" s="48">
        <f>'New Vestas G27 105L'!T27</f>
        <v>114.28476694963702</v>
      </c>
      <c r="C22" s="50">
        <f t="shared" si="0"/>
        <v>10.622703507652387</v>
      </c>
      <c r="D22" s="50">
        <f t="shared" si="0"/>
        <v>2.057988347012996</v>
      </c>
      <c r="E22" s="51">
        <f t="shared" si="6"/>
        <v>112.84182981149033</v>
      </c>
      <c r="F22" s="51">
        <f t="shared" si="6"/>
        <v>4.2353160364412838</v>
      </c>
      <c r="G22" s="52">
        <f t="shared" si="7"/>
        <v>21.861400032522692</v>
      </c>
      <c r="H22" s="61" t="s">
        <v>76</v>
      </c>
      <c r="I22" s="69">
        <f>I19*SQRT(I17)*(1/I2+I11^2/I8)^(1/2)</f>
        <v>7.6927382586267704E-2</v>
      </c>
      <c r="J22" s="51">
        <f t="shared" si="1"/>
        <v>11.148181533964712</v>
      </c>
      <c r="K22" s="51">
        <f t="shared" si="2"/>
        <v>1.9946009278276995</v>
      </c>
      <c r="L22" s="55">
        <f t="shared" si="3"/>
        <v>7.8843831369707577E-3</v>
      </c>
      <c r="M22" s="51">
        <f t="shared" si="4"/>
        <v>1.9867165446907287</v>
      </c>
      <c r="N22" s="94">
        <f t="shared" si="8"/>
        <v>140663537119.14206</v>
      </c>
      <c r="O22" s="56">
        <f t="shared" si="9"/>
        <v>98.764513278211695</v>
      </c>
      <c r="P22" s="57">
        <f t="shared" si="5"/>
        <v>96.987674149887482</v>
      </c>
      <c r="R22" s="47"/>
      <c r="S22" s="47"/>
      <c r="T22" s="47"/>
    </row>
    <row r="23" spans="1:20" ht="12.75" customHeight="1" x14ac:dyDescent="0.35">
      <c r="A23" s="49">
        <f>'New Vestas G27 105L'!O28</f>
        <v>46141976409.006104</v>
      </c>
      <c r="B23" s="48">
        <f>'New Vestas G27 105L'!T28</f>
        <v>111.64836854649269</v>
      </c>
      <c r="C23" s="50">
        <f t="shared" si="0"/>
        <v>10.664096192810611</v>
      </c>
      <c r="D23" s="50">
        <f t="shared" si="0"/>
        <v>2.0478523813579059</v>
      </c>
      <c r="E23" s="51">
        <f t="shared" si="6"/>
        <v>113.72294760951776</v>
      </c>
      <c r="F23" s="51">
        <f t="shared" si="6"/>
        <v>4.1936993758332459</v>
      </c>
      <c r="G23" s="52">
        <f t="shared" si="7"/>
        <v>21.838494783476989</v>
      </c>
      <c r="H23" s="63" t="s">
        <v>77</v>
      </c>
      <c r="I23" s="70"/>
      <c r="J23" s="51">
        <f t="shared" si="1"/>
        <v>11.142816808811615</v>
      </c>
      <c r="K23" s="51">
        <f t="shared" si="2"/>
        <v>1.995111746209695</v>
      </c>
      <c r="L23" s="55">
        <f t="shared" si="3"/>
        <v>7.8436949979797856E-3</v>
      </c>
      <c r="M23" s="51">
        <f t="shared" si="4"/>
        <v>1.9872680512117151</v>
      </c>
      <c r="N23" s="94">
        <f t="shared" si="8"/>
        <v>138936645434.50671</v>
      </c>
      <c r="O23" s="56">
        <f t="shared" si="9"/>
        <v>98.880748719266165</v>
      </c>
      <c r="P23" s="57">
        <f t="shared" si="5"/>
        <v>97.110916130074585</v>
      </c>
      <c r="R23" s="47"/>
      <c r="S23" s="47"/>
      <c r="T23" s="47"/>
    </row>
    <row r="24" spans="1:20" ht="12.75" customHeight="1" x14ac:dyDescent="0.35">
      <c r="A24" s="49">
        <f>'New Vestas G27 105L'!O29</f>
        <v>50336701537.097565</v>
      </c>
      <c r="B24" s="48">
        <f>'New Vestas G27 105L'!T29</f>
        <v>108.77229755650337</v>
      </c>
      <c r="C24" s="50">
        <f t="shared" si="0"/>
        <v>10.701884753700011</v>
      </c>
      <c r="D24" s="50">
        <f t="shared" si="0"/>
        <v>2.0365183020693021</v>
      </c>
      <c r="E24" s="51">
        <f t="shared" si="6"/>
        <v>114.53033728147673</v>
      </c>
      <c r="F24" s="51">
        <f t="shared" si="6"/>
        <v>4.1474067946632331</v>
      </c>
      <c r="G24" s="52">
        <f t="shared" si="7"/>
        <v>21.794584167546496</v>
      </c>
      <c r="H24" s="66" t="s">
        <v>78</v>
      </c>
      <c r="I24" s="71">
        <f>10^(MAX(C:C))</f>
        <v>175201370811.85229</v>
      </c>
      <c r="J24" s="51">
        <f t="shared" si="1"/>
        <v>11.137384984907046</v>
      </c>
      <c r="K24" s="51">
        <f t="shared" si="2"/>
        <v>1.9956289536003877</v>
      </c>
      <c r="L24" s="55">
        <f t="shared" si="3"/>
        <v>7.8026026682238812E-3</v>
      </c>
      <c r="M24" s="51">
        <f t="shared" si="4"/>
        <v>1.9878263509321639</v>
      </c>
      <c r="N24" s="94">
        <f t="shared" si="8"/>
        <v>137209753749.87106</v>
      </c>
      <c r="O24" s="56">
        <f t="shared" si="9"/>
        <v>98.998577337946116</v>
      </c>
      <c r="P24" s="57">
        <f t="shared" si="5"/>
        <v>97.235835656768231</v>
      </c>
      <c r="R24" s="47"/>
      <c r="S24" s="47"/>
      <c r="T24" s="47"/>
    </row>
    <row r="25" spans="1:20" ht="12.75" customHeight="1" thickBot="1" x14ac:dyDescent="0.4">
      <c r="A25" s="49">
        <f>'New Vestas G27 105L'!O30</f>
        <v>62920876921.371964</v>
      </c>
      <c r="B25" s="48">
        <f>'New Vestas G27 105L'!T30</f>
        <v>107.07062222328031</v>
      </c>
      <c r="C25" s="50">
        <f t="shared" si="0"/>
        <v>10.798794766708067</v>
      </c>
      <c r="D25" s="50">
        <f t="shared" si="0"/>
        <v>2.0296703265134846</v>
      </c>
      <c r="E25" s="51">
        <f t="shared" si="6"/>
        <v>116.61396841348153</v>
      </c>
      <c r="F25" s="51">
        <f t="shared" si="6"/>
        <v>4.1195616343293553</v>
      </c>
      <c r="G25" s="52">
        <f t="shared" si="7"/>
        <v>21.91799330009647</v>
      </c>
      <c r="H25" s="72" t="s">
        <v>79</v>
      </c>
      <c r="I25" s="73">
        <f>10^(MIN(C:C))</f>
        <v>2512202348.2997618</v>
      </c>
      <c r="J25" s="51">
        <f t="shared" si="1"/>
        <v>11.13188436250765</v>
      </c>
      <c r="K25" s="51">
        <f t="shared" si="2"/>
        <v>1.9961527118459348</v>
      </c>
      <c r="L25" s="55">
        <f t="shared" si="3"/>
        <v>7.7610989490937447E-3</v>
      </c>
      <c r="M25" s="51">
        <f t="shared" si="4"/>
        <v>1.9883916128968411</v>
      </c>
      <c r="N25" s="94">
        <f t="shared" si="8"/>
        <v>135482862065.2357</v>
      </c>
      <c r="O25" s="56">
        <f t="shared" si="9"/>
        <v>99.118041439393153</v>
      </c>
      <c r="P25" s="57">
        <f t="shared" si="5"/>
        <v>97.362476695761387</v>
      </c>
      <c r="R25" s="47"/>
      <c r="S25" s="47"/>
      <c r="T25" s="47"/>
    </row>
    <row r="26" spans="1:20" ht="12.75" customHeight="1" x14ac:dyDescent="0.35">
      <c r="A26" s="49">
        <f>'New Vestas G27 105L'!O31</f>
        <v>83894502561.829285</v>
      </c>
      <c r="B26" s="48">
        <f>'New Vestas G27 105L'!T31</f>
        <v>106.04003012696514</v>
      </c>
      <c r="C26" s="50">
        <f t="shared" si="0"/>
        <v>10.923733503316368</v>
      </c>
      <c r="D26" s="50">
        <f t="shared" si="0"/>
        <v>2.0254698424482007</v>
      </c>
      <c r="E26" s="51">
        <f t="shared" si="6"/>
        <v>119.32795365147651</v>
      </c>
      <c r="F26" s="51">
        <f t="shared" si="6"/>
        <v>4.1025280826671393</v>
      </c>
      <c r="G26" s="52">
        <f t="shared" si="7"/>
        <v>22.125692777908338</v>
      </c>
      <c r="H26" s="63" t="s">
        <v>80</v>
      </c>
      <c r="I26" s="70"/>
      <c r="J26" s="51">
        <f t="shared" si="1"/>
        <v>11.126313176453861</v>
      </c>
      <c r="K26" s="51">
        <f t="shared" si="2"/>
        <v>1.9966831890212937</v>
      </c>
      <c r="L26" s="55">
        <f t="shared" si="3"/>
        <v>7.7191764987803169E-3</v>
      </c>
      <c r="M26" s="51">
        <f t="shared" si="4"/>
        <v>1.9889640125225134</v>
      </c>
      <c r="N26" s="94">
        <f t="shared" si="8"/>
        <v>133755970380.60014</v>
      </c>
      <c r="O26" s="56">
        <f t="shared" si="9"/>
        <v>99.23918500959789</v>
      </c>
      <c r="P26" s="57">
        <f t="shared" si="5"/>
        <v>97.490884929986564</v>
      </c>
      <c r="R26" s="47" t="s">
        <v>81</v>
      </c>
      <c r="S26" s="47"/>
      <c r="T26" s="47"/>
    </row>
    <row r="27" spans="1:20" ht="12.75" customHeight="1" x14ac:dyDescent="0.35">
      <c r="A27" s="49">
        <f>'New Vestas G27 105L'!O32</f>
        <v>16778900512.365856</v>
      </c>
      <c r="B27" s="48">
        <f>'New Vestas G27 105L'!T32</f>
        <v>122.25432118368342</v>
      </c>
      <c r="C27" s="50">
        <f t="shared" si="0"/>
        <v>10.224763498980348</v>
      </c>
      <c r="D27" s="50">
        <f t="shared" si="0"/>
        <v>2.0872642185773547</v>
      </c>
      <c r="E27" s="51">
        <f t="shared" si="6"/>
        <v>104.54578861008085</v>
      </c>
      <c r="F27" s="51">
        <f t="shared" si="6"/>
        <v>4.3566719181533351</v>
      </c>
      <c r="G27" s="52">
        <f t="shared" si="7"/>
        <v>21.341782994837473</v>
      </c>
      <c r="H27" s="53" t="str">
        <f>"m lower " &amp; TEXT(I18,"##%") &amp; " conf"</f>
        <v>m lower 95% conf</v>
      </c>
      <c r="I27" s="74">
        <f>-I13-I21</f>
        <v>8.7862356592634722E-2</v>
      </c>
      <c r="J27" s="51">
        <f t="shared" si="1"/>
        <v>11.120669592769429</v>
      </c>
      <c r="K27" s="51">
        <f t="shared" si="2"/>
        <v>1.9972205597540094</v>
      </c>
      <c r="L27" s="55">
        <f t="shared" si="3"/>
        <v>7.6768278326515742E-3</v>
      </c>
      <c r="M27" s="51">
        <f t="shared" si="4"/>
        <v>1.9895437319213578</v>
      </c>
      <c r="N27" s="94">
        <f t="shared" si="8"/>
        <v>132029078695.96454</v>
      </c>
      <c r="O27" s="56">
        <f t="shared" si="9"/>
        <v>99.362053804909493</v>
      </c>
      <c r="P27" s="57">
        <f t="shared" si="5"/>
        <v>97.621107849087736</v>
      </c>
      <c r="R27" s="47"/>
      <c r="S27" s="47"/>
      <c r="T27" s="47"/>
    </row>
    <row r="28" spans="1:20" ht="12.75" customHeight="1" x14ac:dyDescent="0.35">
      <c r="A28" s="49">
        <f>'New Vestas G27 105L'!O33</f>
        <v>25168350768.548782</v>
      </c>
      <c r="B28" s="48">
        <f>'New Vestas G27 105L'!T33</f>
        <v>120.29311410924292</v>
      </c>
      <c r="C28" s="50">
        <f t="shared" si="0"/>
        <v>10.400854758036029</v>
      </c>
      <c r="D28" s="50">
        <f t="shared" si="0"/>
        <v>2.0802407679055199</v>
      </c>
      <c r="E28" s="51">
        <f t="shared" si="6"/>
        <v>108.17777969776071</v>
      </c>
      <c r="F28" s="51">
        <f t="shared" si="6"/>
        <v>4.3274016524561469</v>
      </c>
      <c r="G28" s="52">
        <f t="shared" si="7"/>
        <v>21.636282088730649</v>
      </c>
      <c r="H28" s="75" t="s">
        <v>82</v>
      </c>
      <c r="I28" s="76">
        <f>-I13</f>
        <v>9.5217996713335709E-2</v>
      </c>
      <c r="J28" s="51">
        <f t="shared" si="1"/>
        <v>11.114951705037074</v>
      </c>
      <c r="K28" s="51">
        <f t="shared" si="2"/>
        <v>1.9977650055693161</v>
      </c>
      <c r="L28" s="55">
        <f t="shared" si="3"/>
        <v>7.6340453242206641E-3</v>
      </c>
      <c r="M28" s="51">
        <f t="shared" si="4"/>
        <v>1.9901309602450954</v>
      </c>
      <c r="N28" s="94">
        <f t="shared" si="8"/>
        <v>130302187011.32869</v>
      </c>
      <c r="O28" s="56">
        <f t="shared" si="9"/>
        <v>99.486695447552876</v>
      </c>
      <c r="P28" s="57">
        <f t="shared" si="5"/>
        <v>97.753194844862719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G27 105L'!O34</f>
        <v>29363075896.640247</v>
      </c>
      <c r="B29" s="48">
        <f>'New Vestas G27 105L'!T34</f>
        <v>116.89687746813868</v>
      </c>
      <c r="C29" s="50">
        <f t="shared" si="0"/>
        <v>10.467801547666642</v>
      </c>
      <c r="D29" s="50">
        <f t="shared" si="0"/>
        <v>2.067802910507702</v>
      </c>
      <c r="E29" s="51">
        <f t="shared" si="6"/>
        <v>109.57486924133215</v>
      </c>
      <c r="F29" s="51">
        <f t="shared" si="6"/>
        <v>4.275808876704124</v>
      </c>
      <c r="G29" s="52">
        <f t="shared" si="7"/>
        <v>21.64535050688211</v>
      </c>
      <c r="H29" s="77" t="str">
        <f>"m upper " &amp; TEXT(I18,"##%") &amp; " conf"</f>
        <v>m upper 95% conf</v>
      </c>
      <c r="I29" s="74">
        <f>-I13+I21</f>
        <v>0.1025736368340367</v>
      </c>
      <c r="J29" s="51">
        <f t="shared" si="1"/>
        <v>11.109157530532352</v>
      </c>
      <c r="K29" s="51">
        <f t="shared" si="2"/>
        <v>1.9983167152582633</v>
      </c>
      <c r="L29" s="55">
        <f t="shared" si="3"/>
        <v>7.5908212068017582E-3</v>
      </c>
      <c r="M29" s="51">
        <f t="shared" si="4"/>
        <v>1.9907258940514616</v>
      </c>
      <c r="N29" s="94">
        <f t="shared" si="8"/>
        <v>128575295326.69328</v>
      </c>
      <c r="O29" s="56">
        <f t="shared" si="9"/>
        <v>99.613159527644228</v>
      </c>
      <c r="P29" s="57">
        <f t="shared" si="5"/>
        <v>97.887197313042392</v>
      </c>
      <c r="R29" s="47"/>
      <c r="S29" s="47"/>
      <c r="T29" s="47"/>
    </row>
    <row r="30" spans="1:20" ht="12.75" customHeight="1" x14ac:dyDescent="0.35">
      <c r="A30" s="49">
        <f>'New Vestas G27 105L'!O35</f>
        <v>41947251280.914642</v>
      </c>
      <c r="B30" s="48">
        <f>'New Vestas G27 105L'!T35</f>
        <v>111.82643966592674</v>
      </c>
      <c r="C30" s="50">
        <f t="shared" si="0"/>
        <v>10.622703507652387</v>
      </c>
      <c r="D30" s="50">
        <f t="shared" si="0"/>
        <v>2.0485444980357794</v>
      </c>
      <c r="E30" s="51">
        <f t="shared" si="6"/>
        <v>112.84182981149033</v>
      </c>
      <c r="F30" s="51">
        <f t="shared" si="6"/>
        <v>4.1965345604326636</v>
      </c>
      <c r="G30" s="52">
        <f t="shared" si="7"/>
        <v>21.761080824866674</v>
      </c>
      <c r="H30" s="77" t="str">
        <f>"C lower " &amp; TEXT(I18,"##%") &amp; " conf"</f>
        <v>C lower 95% conf</v>
      </c>
      <c r="I30" s="78">
        <f>10^(I14-I22)</f>
        <v>953.19346872566268</v>
      </c>
      <c r="J30" s="51">
        <f t="shared" si="1"/>
        <v>11.103285006096119</v>
      </c>
      <c r="K30" s="51">
        <f t="shared" si="2"/>
        <v>1.9988758852707313</v>
      </c>
      <c r="L30" s="55">
        <f t="shared" si="3"/>
        <v>7.547147575963517E-3</v>
      </c>
      <c r="M30" s="51">
        <f t="shared" si="4"/>
        <v>1.9913287376947679</v>
      </c>
      <c r="N30" s="94">
        <f t="shared" si="8"/>
        <v>126848403642.05811</v>
      </c>
      <c r="O30" s="56">
        <f t="shared" si="9"/>
        <v>99.741497712239976</v>
      </c>
      <c r="P30" s="57">
        <f t="shared" si="5"/>
        <v>98.023168761913695</v>
      </c>
      <c r="R30" s="47"/>
      <c r="S30" s="47"/>
      <c r="T30" s="47"/>
    </row>
    <row r="31" spans="1:20" ht="12.75" customHeight="1" x14ac:dyDescent="0.35">
      <c r="A31" s="49">
        <f>'New Vestas G27 105L'!O36</f>
        <v>62920876921.371964</v>
      </c>
      <c r="B31" s="48">
        <f>'New Vestas G27 105L'!T36</f>
        <v>111.41984795537198</v>
      </c>
      <c r="C31" s="50">
        <f t="shared" si="0"/>
        <v>10.798794766708067</v>
      </c>
      <c r="D31" s="50">
        <f t="shared" si="0"/>
        <v>2.0469625614812772</v>
      </c>
      <c r="E31" s="51">
        <f t="shared" si="6"/>
        <v>116.61396841348153</v>
      </c>
      <c r="F31" s="51">
        <f t="shared" si="6"/>
        <v>4.1900557281059916</v>
      </c>
      <c r="G31" s="52">
        <f t="shared" si="7"/>
        <v>22.104728596571356</v>
      </c>
      <c r="H31" s="75" t="s">
        <v>83</v>
      </c>
      <c r="I31" s="79">
        <f>10^I14</f>
        <v>1137.9113793743234</v>
      </c>
      <c r="J31" s="51">
        <f t="shared" si="1"/>
        <v>11.097331983724068</v>
      </c>
      <c r="K31" s="51">
        <f t="shared" si="2"/>
        <v>1.9994427201353877</v>
      </c>
      <c r="L31" s="55">
        <f t="shared" si="3"/>
        <v>7.5030163929063519E-3</v>
      </c>
      <c r="M31" s="51">
        <f t="shared" si="4"/>
        <v>1.9919397037424813</v>
      </c>
      <c r="N31" s="94">
        <f t="shared" si="8"/>
        <v>125121511957.42249</v>
      </c>
      <c r="O31" s="56">
        <f t="shared" si="9"/>
        <v>99.87176386200764</v>
      </c>
      <c r="P31" s="57">
        <f t="shared" si="5"/>
        <v>98.161164928345102</v>
      </c>
      <c r="R31" s="47"/>
      <c r="S31" s="47"/>
      <c r="T31" s="47"/>
    </row>
    <row r="32" spans="1:20" ht="12.75" customHeight="1" thickBot="1" x14ac:dyDescent="0.4">
      <c r="A32" s="49">
        <f>'New Vestas G27 105L'!O37</f>
        <v>79699777433.737823</v>
      </c>
      <c r="B32" s="48">
        <f>'New Vestas G27 105L'!T37</f>
        <v>110.00873554815261</v>
      </c>
      <c r="C32" s="50">
        <f t="shared" si="0"/>
        <v>10.901457108605216</v>
      </c>
      <c r="D32" s="50">
        <f t="shared" si="0"/>
        <v>2.0414271728830111</v>
      </c>
      <c r="E32" s="51">
        <f t="shared" si="6"/>
        <v>118.84176709075921</v>
      </c>
      <c r="F32" s="51">
        <f t="shared" si="6"/>
        <v>4.1674249021851235</v>
      </c>
      <c r="G32" s="52">
        <f t="shared" si="7"/>
        <v>22.254530765525352</v>
      </c>
      <c r="H32" s="61" t="str">
        <f>"C upper " &amp; TEXT(I18,"##%") &amp; " conf"</f>
        <v>C upper 95% conf</v>
      </c>
      <c r="I32" s="80">
        <f>10^(I14+I22)</f>
        <v>1358.4254926134449</v>
      </c>
      <c r="J32" s="51">
        <f t="shared" si="1"/>
        <v>11.091296225849794</v>
      </c>
      <c r="K32" s="51">
        <f t="shared" si="2"/>
        <v>2.0000174329088232</v>
      </c>
      <c r="L32" s="55">
        <f t="shared" si="3"/>
        <v>7.4584194889081596E-3</v>
      </c>
      <c r="M32" s="51">
        <f t="shared" si="4"/>
        <v>1.9925590134199149</v>
      </c>
      <c r="N32" s="94">
        <f t="shared" si="8"/>
        <v>123394620272.78706</v>
      </c>
      <c r="O32" s="56">
        <f t="shared" si="9"/>
        <v>100.00401415616354</v>
      </c>
      <c r="P32" s="57">
        <f t="shared" si="5"/>
        <v>98.301243901820584</v>
      </c>
      <c r="R32" s="47"/>
      <c r="S32" s="47"/>
      <c r="T32" s="47"/>
    </row>
    <row r="33" spans="1:20" ht="12.75" customHeight="1" x14ac:dyDescent="0.35">
      <c r="A33" s="49">
        <f>'New Vestas G27 105L'!O38</f>
        <v>2512202348.299758</v>
      </c>
      <c r="B33" s="48">
        <f>'New Vestas G27 105L'!T38</f>
        <v>140.09555954729694</v>
      </c>
      <c r="C33" s="50">
        <f t="shared" si="0"/>
        <v>9.4000546172350479</v>
      </c>
      <c r="D33" s="50">
        <f t="shared" si="0"/>
        <v>2.1464243701560961</v>
      </c>
      <c r="E33" s="51">
        <f t="shared" si="6"/>
        <v>88.361026807001949</v>
      </c>
      <c r="F33" s="51">
        <f t="shared" si="6"/>
        <v>4.6071375767999942</v>
      </c>
      <c r="G33" s="52">
        <f t="shared" si="7"/>
        <v>20.176506311231641</v>
      </c>
      <c r="H33" s="63" t="s">
        <v>84</v>
      </c>
      <c r="I33" s="81"/>
      <c r="J33" s="51">
        <f t="shared" si="1"/>
        <v>11.0851754002954</v>
      </c>
      <c r="K33" s="51">
        <f t="shared" si="2"/>
        <v>2.0006002456563441</v>
      </c>
      <c r="L33" s="55">
        <f t="shared" si="3"/>
        <v>7.4133485710039058E-3</v>
      </c>
      <c r="M33" s="51">
        <f t="shared" si="4"/>
        <v>1.9931868970853401</v>
      </c>
      <c r="N33" s="94">
        <f t="shared" si="8"/>
        <v>121667728588.15132</v>
      </c>
      <c r="O33" s="56">
        <f t="shared" si="9"/>
        <v>100.1383072263902</v>
      </c>
      <c r="P33" s="57">
        <f t="shared" si="5"/>
        <v>98.443466257155194</v>
      </c>
      <c r="R33" s="47"/>
      <c r="S33" s="47"/>
      <c r="T33" s="47"/>
    </row>
    <row r="34" spans="1:20" ht="12.75" customHeight="1" thickBot="1" x14ac:dyDescent="0.4">
      <c r="A34" s="49">
        <f>'New Vestas G27 105L'!O39</f>
        <v>5024404696.5995159</v>
      </c>
      <c r="B34" s="48">
        <f>'New Vestas G27 105L'!T39</f>
        <v>125.70535893441595</v>
      </c>
      <c r="C34" s="50">
        <f t="shared" si="0"/>
        <v>9.7010846128990291</v>
      </c>
      <c r="D34" s="50">
        <f t="shared" si="0"/>
        <v>2.0993537924515615</v>
      </c>
      <c r="E34" s="51">
        <f t="shared" si="6"/>
        <v>94.111042666626304</v>
      </c>
      <c r="F34" s="51">
        <f t="shared" si="6"/>
        <v>4.4072863458807543</v>
      </c>
      <c r="G34" s="52">
        <f t="shared" si="7"/>
        <v>20.366008772983065</v>
      </c>
      <c r="H34" s="82" t="str">
        <f>"G27 Fit: S = " &amp; TEXT(I31,"0,00 E+00 ") &amp; " * N ^ -" &amp; TEXT(I28,"0,00")</f>
        <v>G27 Fit: S = 1,138 E+00  * N ^ -000</v>
      </c>
      <c r="I34" s="62"/>
      <c r="J34" s="51">
        <f t="shared" si="1"/>
        <v>11.078967074861195</v>
      </c>
      <c r="K34" s="51">
        <f t="shared" si="2"/>
        <v>2.0011913899671336</v>
      </c>
      <c r="L34" s="55">
        <f t="shared" si="3"/>
        <v>7.3677952290895831E-3</v>
      </c>
      <c r="M34" s="51">
        <f t="shared" si="4"/>
        <v>1.993823594738044</v>
      </c>
      <c r="N34" s="94">
        <f t="shared" si="8"/>
        <v>119940836903.51579</v>
      </c>
      <c r="O34" s="56">
        <f t="shared" si="9"/>
        <v>100.27470430051532</v>
      </c>
      <c r="P34" s="57">
        <f t="shared" si="5"/>
        <v>98.587895196624828</v>
      </c>
      <c r="R34" s="47"/>
      <c r="S34" s="47"/>
      <c r="T34" s="47"/>
    </row>
    <row r="35" spans="1:20" ht="12.75" customHeight="1" thickBot="1" x14ac:dyDescent="0.4">
      <c r="A35" s="49">
        <f>'New Vestas G27 105L'!O40</f>
        <v>7536607044.8992739</v>
      </c>
      <c r="B35" s="48">
        <f>'New Vestas G27 105L'!T40</f>
        <v>123.2687711812389</v>
      </c>
      <c r="C35" s="50">
        <f t="shared" si="0"/>
        <v>9.8771758719547105</v>
      </c>
      <c r="D35" s="50">
        <f t="shared" si="0"/>
        <v>2.0908530666891902</v>
      </c>
      <c r="E35" s="51">
        <f t="shared" si="6"/>
        <v>97.558603205524292</v>
      </c>
      <c r="F35" s="51">
        <f t="shared" si="6"/>
        <v>4.3716665464835911</v>
      </c>
      <c r="G35" s="52">
        <f t="shared" si="7"/>
        <v>20.651723462104982</v>
      </c>
      <c r="H35" s="82" t="str">
        <f>"G27 Fit: N = " &amp; TEXT((1/I31)^(-1/I28),"0,00 E+00 ") &amp; " * S ^ -" &amp; TEXT(1/I28,"0,00")</f>
        <v>G27 Fit: N = 001 E+32  * S ^ -011</v>
      </c>
      <c r="I35" s="84"/>
      <c r="J35" s="51">
        <f t="shared" si="1"/>
        <v>11.07266871152302</v>
      </c>
      <c r="K35" s="51">
        <f t="shared" si="2"/>
        <v>2.0017911075067674</v>
      </c>
      <c r="L35" s="55">
        <f t="shared" si="3"/>
        <v>7.3217509446685336E-3</v>
      </c>
      <c r="M35" s="51">
        <f t="shared" si="4"/>
        <v>1.9944693565620988</v>
      </c>
      <c r="N35" s="94">
        <f t="shared" si="8"/>
        <v>118213945218.88004</v>
      </c>
      <c r="O35" s="56">
        <f t="shared" si="9"/>
        <v>100.41326935681411</v>
      </c>
      <c r="P35" s="57">
        <f t="shared" si="5"/>
        <v>98.734596702317646</v>
      </c>
      <c r="R35" s="47"/>
      <c r="S35" s="47"/>
      <c r="T35" s="47"/>
    </row>
    <row r="36" spans="1:20" ht="12.75" customHeight="1" x14ac:dyDescent="0.35">
      <c r="A36" s="49">
        <f>'New Vestas G27 105L'!O41</f>
        <v>10048809393.199032</v>
      </c>
      <c r="B36" s="48">
        <f>'New Vestas G27 105L'!T41</f>
        <v>121.06150933424321</v>
      </c>
      <c r="C36" s="50">
        <f t="shared" si="0"/>
        <v>10.00211460856301</v>
      </c>
      <c r="D36" s="50">
        <f t="shared" si="0"/>
        <v>2.0830060841762932</v>
      </c>
      <c r="E36" s="51">
        <f t="shared" si="6"/>
        <v>100.04229664282958</v>
      </c>
      <c r="F36" s="51">
        <f t="shared" si="6"/>
        <v>4.3389143467154545</v>
      </c>
      <c r="G36" s="52">
        <f t="shared" si="7"/>
        <v>20.834465584265335</v>
      </c>
      <c r="H36" s="83"/>
      <c r="I36" s="83"/>
      <c r="J36" s="51">
        <f t="shared" si="1"/>
        <v>11.066277660202594</v>
      </c>
      <c r="K36" s="51">
        <f t="shared" si="2"/>
        <v>2.00239965061039</v>
      </c>
      <c r="L36" s="55">
        <f t="shared" si="3"/>
        <v>7.2752071014911789E-3</v>
      </c>
      <c r="M36" s="51">
        <f t="shared" si="4"/>
        <v>1.9951244435088988</v>
      </c>
      <c r="N36" s="94">
        <f t="shared" si="8"/>
        <v>116487053534.2449</v>
      </c>
      <c r="O36" s="56">
        <f t="shared" si="9"/>
        <v>100.55406928989274</v>
      </c>
      <c r="P36" s="57">
        <f t="shared" si="5"/>
        <v>98.88363969959866</v>
      </c>
      <c r="R36" s="47"/>
      <c r="S36" s="47"/>
      <c r="T36" s="47"/>
    </row>
    <row r="37" spans="1:20" ht="12.75" customHeight="1" x14ac:dyDescent="0.35">
      <c r="A37" s="49">
        <f>'New Vestas G27 105L'!O42</f>
        <v>12561011741.498789</v>
      </c>
      <c r="B37" s="48">
        <f>'New Vestas G27 105L'!T42</f>
        <v>120.63152326015314</v>
      </c>
      <c r="C37" s="50">
        <f t="shared" si="0"/>
        <v>10.099024621571067</v>
      </c>
      <c r="D37" s="50">
        <f t="shared" si="0"/>
        <v>2.0814608118589013</v>
      </c>
      <c r="E37" s="51">
        <f t="shared" si="6"/>
        <v>101.99029830709863</v>
      </c>
      <c r="F37" s="51">
        <f t="shared" si="6"/>
        <v>4.3324791113043162</v>
      </c>
      <c r="G37" s="52">
        <f t="shared" si="7"/>
        <v>21.020723987798345</v>
      </c>
      <c r="H37" s="95">
        <f>1/I28</f>
        <v>10.50221633007687</v>
      </c>
      <c r="I37" s="85">
        <f>I31-I30</f>
        <v>184.71791064866068</v>
      </c>
      <c r="J37" s="51">
        <f t="shared" si="1"/>
        <v>11.059791152072588</v>
      </c>
      <c r="K37" s="51">
        <f t="shared" si="2"/>
        <v>2.0030172829201942</v>
      </c>
      <c r="L37" s="55">
        <f t="shared" si="3"/>
        <v>7.2281549983764784E-3</v>
      </c>
      <c r="M37" s="51">
        <f t="shared" si="4"/>
        <v>1.9957891279218178</v>
      </c>
      <c r="N37" s="94">
        <f t="shared" si="8"/>
        <v>114760161849.60899</v>
      </c>
      <c r="O37" s="56">
        <f t="shared" si="9"/>
        <v>100.69717408920388</v>
      </c>
      <c r="P37" s="57">
        <f t="shared" si="5"/>
        <v>99.035096232666987</v>
      </c>
      <c r="R37" s="47"/>
      <c r="S37" s="47"/>
      <c r="T37" s="47"/>
    </row>
    <row r="38" spans="1:20" ht="12.75" customHeight="1" x14ac:dyDescent="0.35">
      <c r="A38" s="49">
        <f>'New Vestas G27 105L'!O43</f>
        <v>15073214089.798548</v>
      </c>
      <c r="B38" s="48">
        <f>'New Vestas G27 105L'!T43</f>
        <v>120.05820849469971</v>
      </c>
      <c r="C38" s="50">
        <f t="shared" si="0"/>
        <v>10.178205867618692</v>
      </c>
      <c r="D38" s="50">
        <f t="shared" si="0"/>
        <v>2.0793918585378366</v>
      </c>
      <c r="E38" s="51">
        <f t="shared" si="6"/>
        <v>103.59587468362757</v>
      </c>
      <c r="F38" s="51">
        <f t="shared" si="6"/>
        <v>4.3238705013534382</v>
      </c>
      <c r="G38" s="52">
        <f t="shared" si="7"/>
        <v>21.164478415648343</v>
      </c>
      <c r="H38" s="95">
        <f>((1/I27)-(1/I29))/2</f>
        <v>0.81617233798175981</v>
      </c>
      <c r="I38" s="85">
        <f>I32-I31</f>
        <v>220.51411323912157</v>
      </c>
      <c r="J38" s="51">
        <f t="shared" si="1"/>
        <v>11.053206292354108</v>
      </c>
      <c r="K38" s="51">
        <f t="shared" si="2"/>
        <v>2.0036442800712262</v>
      </c>
      <c r="L38" s="55">
        <f t="shared" si="3"/>
        <v>7.1805858645471194E-3</v>
      </c>
      <c r="M38" s="51">
        <f t="shared" si="4"/>
        <v>1.9964636942066791</v>
      </c>
      <c r="N38" s="94">
        <f t="shared" si="8"/>
        <v>113033270164.97372</v>
      </c>
      <c r="O38" s="56">
        <f t="shared" si="9"/>
        <v>100.84265703136522</v>
      </c>
      <c r="P38" s="57">
        <f t="shared" si="5"/>
        <v>99.189041653288498</v>
      </c>
      <c r="R38" s="47"/>
      <c r="S38" s="47"/>
      <c r="T38" s="47"/>
    </row>
    <row r="39" spans="1:20" ht="12.75" customHeight="1" x14ac:dyDescent="0.35">
      <c r="A39" s="49">
        <f>'New Vestas G27 105L'!O44</f>
        <v>17585416438.098301</v>
      </c>
      <c r="B39" s="48">
        <f>'New Vestas G27 105L'!T44</f>
        <v>118.13760403043072</v>
      </c>
      <c r="C39" s="50">
        <f t="shared" si="0"/>
        <v>10.245152657249305</v>
      </c>
      <c r="D39" s="50">
        <f t="shared" si="0"/>
        <v>2.0723881586081463</v>
      </c>
      <c r="E39" s="51">
        <f t="shared" si="6"/>
        <v>104.96315297034249</v>
      </c>
      <c r="F39" s="51">
        <f t="shared" si="6"/>
        <v>4.2947926799392633</v>
      </c>
      <c r="G39" s="52">
        <f t="shared" si="7"/>
        <v>21.231933050016245</v>
      </c>
      <c r="H39" s="86"/>
      <c r="I39" s="86"/>
      <c r="J39" s="51">
        <f t="shared" si="1"/>
        <v>11.046520052559686</v>
      </c>
      <c r="K39" s="51">
        <f t="shared" si="2"/>
        <v>2.0042809304299962</v>
      </c>
      <c r="L39" s="55">
        <f t="shared" si="3"/>
        <v>7.1324908778607988E-3</v>
      </c>
      <c r="M39" s="51">
        <f t="shared" si="4"/>
        <v>1.9971484395521355</v>
      </c>
      <c r="N39" s="94">
        <f t="shared" si="8"/>
        <v>111306378480.33832</v>
      </c>
      <c r="O39" s="56">
        <f t="shared" si="9"/>
        <v>100.99059488757656</v>
      </c>
      <c r="P39" s="57">
        <f t="shared" si="5"/>
        <v>99.345554823904152</v>
      </c>
      <c r="R39" s="47"/>
      <c r="S39" s="47"/>
      <c r="T39" s="47"/>
    </row>
    <row r="40" spans="1:20" ht="12.75" customHeight="1" x14ac:dyDescent="0.35">
      <c r="A40" s="49">
        <f>'New Vestas G27 105L'!O45</f>
        <v>22609821134.697815</v>
      </c>
      <c r="B40" s="48">
        <f>'New Vestas G27 105L'!T45</f>
        <v>116.90497728470585</v>
      </c>
      <c r="C40" s="50">
        <f t="shared" si="0"/>
        <v>10.354297126674373</v>
      </c>
      <c r="D40" s="50">
        <f t="shared" si="0"/>
        <v>2.067833001848463</v>
      </c>
      <c r="E40" s="51">
        <f t="shared" si="6"/>
        <v>107.21146898745718</v>
      </c>
      <c r="F40" s="51">
        <f t="shared" si="6"/>
        <v>4.2759333235336259</v>
      </c>
      <c r="G40" s="52">
        <f t="shared" si="7"/>
        <v>21.410957309481983</v>
      </c>
      <c r="H40" s="86" t="b">
        <f>H37=H38</f>
        <v>0</v>
      </c>
      <c r="I40" s="86"/>
      <c r="J40" s="51">
        <f t="shared" si="1"/>
        <v>11.03972926212975</v>
      </c>
      <c r="K40" s="51">
        <f t="shared" si="2"/>
        <v>2.0049275358908347</v>
      </c>
      <c r="L40" s="55">
        <f t="shared" si="3"/>
        <v>7.083861186378668E-3</v>
      </c>
      <c r="M40" s="51">
        <f t="shared" si="4"/>
        <v>1.9978436747044561</v>
      </c>
      <c r="N40" s="94">
        <f t="shared" si="8"/>
        <v>109579486795.70238</v>
      </c>
      <c r="O40" s="56">
        <f t="shared" si="9"/>
        <v>101.14106814757572</v>
      </c>
      <c r="P40" s="57">
        <f t="shared" si="5"/>
        <v>99.504718336436099</v>
      </c>
      <c r="R40" s="47"/>
      <c r="S40" s="47"/>
      <c r="T40" s="47"/>
    </row>
    <row r="41" spans="1:20" ht="12.75" customHeight="1" x14ac:dyDescent="0.35">
      <c r="A41" s="49">
        <f>'New Vestas G27 105L'!O46</f>
        <v>2512202348.299758</v>
      </c>
      <c r="B41" s="48">
        <f>'New Vestas G27 105L'!T46</f>
        <v>151.18427342926574</v>
      </c>
      <c r="C41" s="50">
        <f t="shared" si="0"/>
        <v>9.4000546172350479</v>
      </c>
      <c r="D41" s="50">
        <f t="shared" si="0"/>
        <v>2.1795066171036015</v>
      </c>
      <c r="E41" s="51">
        <f t="shared" si="6"/>
        <v>88.361026807001949</v>
      </c>
      <c r="F41" s="51">
        <f t="shared" si="6"/>
        <v>4.7502490939983852</v>
      </c>
      <c r="G41" s="52">
        <f t="shared" si="7"/>
        <v>20.487481239399049</v>
      </c>
      <c r="H41" s="86"/>
      <c r="I41" s="86"/>
      <c r="J41" s="51">
        <f t="shared" si="1"/>
        <v>11.032830599404784</v>
      </c>
      <c r="K41" s="51">
        <f t="shared" si="2"/>
        <v>2.0055844127355069</v>
      </c>
      <c r="L41" s="55">
        <f t="shared" si="3"/>
        <v>7.0346879337799661E-3</v>
      </c>
      <c r="M41" s="51">
        <f t="shared" si="4"/>
        <v>1.998549724801727</v>
      </c>
      <c r="N41" s="94">
        <f t="shared" si="8"/>
        <v>107852595111.06685</v>
      </c>
      <c r="O41" s="56">
        <f t="shared" si="9"/>
        <v>101.29416126173589</v>
      </c>
      <c r="P41" s="57">
        <f t="shared" si="5"/>
        <v>99.666618748263687</v>
      </c>
      <c r="R41" s="47"/>
      <c r="S41" s="47"/>
      <c r="T41" s="47"/>
    </row>
    <row r="42" spans="1:20" ht="12.75" customHeight="1" x14ac:dyDescent="0.35">
      <c r="A42" s="49">
        <f>'New Vestas G27 105L'!O47</f>
        <v>5024404696.5995159</v>
      </c>
      <c r="B42" s="48">
        <f>'New Vestas G27 105L'!T47</f>
        <v>140.46954198969809</v>
      </c>
      <c r="C42" s="50">
        <f t="shared" si="0"/>
        <v>9.7010846128990291</v>
      </c>
      <c r="D42" s="50">
        <f t="shared" si="0"/>
        <v>2.1475821663778514</v>
      </c>
      <c r="E42" s="51">
        <f t="shared" si="6"/>
        <v>94.111042666626304</v>
      </c>
      <c r="F42" s="51">
        <f t="shared" si="6"/>
        <v>4.6121091613441854</v>
      </c>
      <c r="G42" s="52">
        <f t="shared" si="7"/>
        <v>20.833876309184536</v>
      </c>
      <c r="H42" s="86"/>
      <c r="I42" s="86"/>
      <c r="J42" s="51">
        <f t="shared" si="1"/>
        <v>11.025820581868782</v>
      </c>
      <c r="K42" s="51">
        <f t="shared" si="2"/>
        <v>2.0062518925622106</v>
      </c>
      <c r="L42" s="55">
        <f t="shared" si="3"/>
        <v>6.9849622892110006E-3</v>
      </c>
      <c r="M42" s="51">
        <f t="shared" si="4"/>
        <v>1.9992669302729995</v>
      </c>
      <c r="N42" s="94">
        <f t="shared" si="8"/>
        <v>106125703426.43127</v>
      </c>
      <c r="O42" s="56">
        <f t="shared" si="9"/>
        <v>101.44996290309106</v>
      </c>
      <c r="P42" s="57">
        <f t="shared" si="5"/>
        <v>99.831346837002897</v>
      </c>
      <c r="R42" s="47"/>
      <c r="S42" s="47"/>
      <c r="T42" s="47"/>
    </row>
    <row r="43" spans="1:20" ht="12.75" customHeight="1" thickBot="1" x14ac:dyDescent="0.4">
      <c r="A43" s="49">
        <f>'New Vestas G27 105L'!O48</f>
        <v>7536607044.8992739</v>
      </c>
      <c r="B43" s="48">
        <f>'New Vestas G27 105L'!T48</f>
        <v>133.86260302177348</v>
      </c>
      <c r="C43" s="50">
        <f t="shared" si="0"/>
        <v>9.8771758719547105</v>
      </c>
      <c r="D43" s="50">
        <f t="shared" si="0"/>
        <v>2.1266592658116701</v>
      </c>
      <c r="E43" s="51">
        <f t="shared" si="6"/>
        <v>97.558603205524292</v>
      </c>
      <c r="F43" s="51">
        <f t="shared" si="6"/>
        <v>4.5226796328626317</v>
      </c>
      <c r="G43" s="52">
        <f t="shared" si="7"/>
        <v>21.005387588143947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11.018695555592316</v>
      </c>
      <c r="K43" s="51">
        <f t="shared" si="2"/>
        <v>2.0069303232907854</v>
      </c>
      <c r="L43" s="55">
        <f t="shared" si="3"/>
        <v>6.9346754822493277E-3</v>
      </c>
      <c r="M43" s="51">
        <f t="shared" si="4"/>
        <v>1.9999956478085361</v>
      </c>
      <c r="N43" s="94">
        <f t="shared" si="8"/>
        <v>104398811741.7959</v>
      </c>
      <c r="O43" s="56">
        <f t="shared" si="9"/>
        <v>101.60856625128352</v>
      </c>
      <c r="P43" s="57">
        <f t="shared" si="5"/>
        <v>99.998997875902717</v>
      </c>
      <c r="R43" s="47"/>
      <c r="S43" s="47"/>
      <c r="T43" s="47"/>
    </row>
    <row r="44" spans="1:20" ht="12.75" customHeight="1" x14ac:dyDescent="0.35">
      <c r="A44" s="49">
        <f>'New Vestas G27 105L'!O49</f>
        <v>10048809393.199032</v>
      </c>
      <c r="B44" s="48">
        <f>'New Vestas G27 105L'!T49</f>
        <v>126.30771195903883</v>
      </c>
      <c r="C44" s="50">
        <f t="shared" si="0"/>
        <v>10.00211460856301</v>
      </c>
      <c r="D44" s="50">
        <f t="shared" si="0"/>
        <v>2.1014298680454764</v>
      </c>
      <c r="E44" s="51">
        <f t="shared" si="6"/>
        <v>100.04229664282958</v>
      </c>
      <c r="F44" s="51">
        <f t="shared" si="6"/>
        <v>4.4160074903136284</v>
      </c>
      <c r="G44" s="52">
        <f t="shared" si="7"/>
        <v>21.018742382048298</v>
      </c>
      <c r="H44" s="86"/>
      <c r="I44" s="86"/>
      <c r="J44" s="51">
        <f t="shared" si="1"/>
        <v>11.011451683795061</v>
      </c>
      <c r="K44" s="51">
        <f t="shared" si="2"/>
        <v>2.0076200702517681</v>
      </c>
      <c r="L44" s="55">
        <f t="shared" si="3"/>
        <v>6.8838188437713305E-3</v>
      </c>
      <c r="M44" s="51">
        <f t="shared" si="4"/>
        <v>2.0007362514079969</v>
      </c>
      <c r="N44" s="94">
        <f t="shared" si="8"/>
        <v>102671920057.16043</v>
      </c>
      <c r="O44" s="56">
        <f t="shared" si="9"/>
        <v>101.77006930066541</v>
      </c>
      <c r="P44" s="57">
        <f t="shared" si="5"/>
        <v>100.16967193188385</v>
      </c>
      <c r="R44" s="47"/>
      <c r="S44" s="47"/>
      <c r="T44" s="47"/>
    </row>
    <row r="45" spans="1:20" ht="12.75" customHeight="1" x14ac:dyDescent="0.35">
      <c r="A45" s="49">
        <f>'New Vestas G27 105L'!O50</f>
        <v>15073214089.798548</v>
      </c>
      <c r="B45" s="48">
        <f>'New Vestas G27 105L'!T50</f>
        <v>121.05088661287125</v>
      </c>
      <c r="C45" s="50">
        <f t="shared" ref="C45:C52" si="10">IF(ISNA(A45),"",LOG10(A45))</f>
        <v>10.178205867618692</v>
      </c>
      <c r="D45" s="50">
        <f t="shared" ref="D45:D52" si="11">IF(ISNA(B45),"",LOG10(B45))</f>
        <v>2.0829679746919809</v>
      </c>
      <c r="E45" s="51">
        <f t="shared" ref="E45:E52" si="12">IF(C45="","",C45^2)</f>
        <v>103.59587468362757</v>
      </c>
      <c r="F45" s="51">
        <f t="shared" ref="F45:F52" si="13">IF(D45="","",D45^2)</f>
        <v>4.3387555835924125</v>
      </c>
      <c r="G45" s="52">
        <f t="shared" ref="G45:G52" si="14">IF(OR(C45="",D45=""),"",C45*D45)</f>
        <v>21.200876862071741</v>
      </c>
      <c r="H45" s="86"/>
      <c r="I45" s="86"/>
      <c r="J45" s="51">
        <f t="shared" si="1"/>
        <v>11.004084934438175</v>
      </c>
      <c r="K45" s="51">
        <f t="shared" si="2"/>
        <v>2.0083215173678202</v>
      </c>
      <c r="L45" s="55">
        <f t="shared" si="3"/>
        <v>6.8323838536379407E-3</v>
      </c>
      <c r="M45" s="51">
        <f t="shared" si="4"/>
        <v>2.0014891335141822</v>
      </c>
      <c r="N45" s="94">
        <f t="shared" si="8"/>
        <v>100945028372.52495</v>
      </c>
      <c r="O45" s="56">
        <f t="shared" si="9"/>
        <v>101.93457519505213</v>
      </c>
      <c r="P45" s="57">
        <f t="shared" si="5"/>
        <v>100.34347418847742</v>
      </c>
      <c r="R45" s="47"/>
      <c r="S45" s="47"/>
      <c r="T45" s="47"/>
    </row>
    <row r="46" spans="1:20" ht="12.75" customHeight="1" x14ac:dyDescent="0.35">
      <c r="A46" s="49">
        <f>'New Vestas G27 105L'!O51</f>
        <v>25122023482.997578</v>
      </c>
      <c r="B46" s="48">
        <f>'New Vestas G27 105L'!T51</f>
        <v>119.21243402712456</v>
      </c>
      <c r="C46" s="50">
        <f t="shared" si="10"/>
        <v>10.400054617235048</v>
      </c>
      <c r="D46" s="50">
        <f t="shared" si="11"/>
        <v>2.0763215553013894</v>
      </c>
      <c r="E46" s="51">
        <f t="shared" si="12"/>
        <v>108.16113604147203</v>
      </c>
      <c r="F46" s="51">
        <f t="shared" si="13"/>
        <v>4.3111112010091803</v>
      </c>
      <c r="G46" s="52">
        <f t="shared" si="14"/>
        <v>21.593857578076872</v>
      </c>
      <c r="H46" s="86"/>
      <c r="I46" s="86"/>
      <c r="J46" s="51">
        <f t="shared" si="1"/>
        <v>10.996591066746062</v>
      </c>
      <c r="K46" s="51">
        <f t="shared" si="2"/>
        <v>2.0090350684370981</v>
      </c>
      <c r="L46" s="55">
        <f t="shared" si="3"/>
        <v>6.7803621962602943E-3</v>
      </c>
      <c r="M46" s="51">
        <f t="shared" si="4"/>
        <v>2.002254706240838</v>
      </c>
      <c r="N46" s="94">
        <f t="shared" si="8"/>
        <v>99218136687.889435</v>
      </c>
      <c r="O46" s="56">
        <f t="shared" si="9"/>
        <v>102.10219259193539</v>
      </c>
      <c r="P46" s="57">
        <f t="shared" si="5"/>
        <v>100.52051529618603</v>
      </c>
      <c r="R46" s="47"/>
      <c r="S46" s="47"/>
      <c r="T46" s="47"/>
    </row>
    <row r="47" spans="1:20" ht="12.75" customHeight="1" x14ac:dyDescent="0.35">
      <c r="A47" s="49">
        <f>'New Vestas G27 105L'!O52</f>
        <v>5024404696.5995159</v>
      </c>
      <c r="B47" s="48">
        <f>'New Vestas G27 105L'!T52</f>
        <v>138.21626111911107</v>
      </c>
      <c r="C47" s="50">
        <f t="shared" si="10"/>
        <v>9.7010846128990291</v>
      </c>
      <c r="D47" s="50">
        <f t="shared" si="11"/>
        <v>2.1405591407144096</v>
      </c>
      <c r="E47" s="51">
        <f t="shared" si="12"/>
        <v>94.111042666626304</v>
      </c>
      <c r="F47" s="51">
        <f t="shared" si="13"/>
        <v>4.5819934348960114</v>
      </c>
      <c r="G47" s="52">
        <f t="shared" si="14"/>
        <v>20.765745342984925</v>
      </c>
      <c r="H47" s="86"/>
      <c r="I47" s="86"/>
      <c r="J47" s="51">
        <f t="shared" si="1"/>
        <v>10.988965616544718</v>
      </c>
      <c r="K47" s="51">
        <f t="shared" si="2"/>
        <v>2.0097611485293072</v>
      </c>
      <c r="L47" s="55">
        <f t="shared" si="3"/>
        <v>6.7277458252808552E-3</v>
      </c>
      <c r="M47" s="51">
        <f t="shared" si="4"/>
        <v>2.0030334027040264</v>
      </c>
      <c r="N47" s="94">
        <f t="shared" si="8"/>
        <v>97491245003.253876</v>
      </c>
      <c r="O47" s="56">
        <f t="shared" si="9"/>
        <v>102.27303605930965</v>
      </c>
      <c r="P47" s="57">
        <f t="shared" si="5"/>
        <v>100.70091175309665</v>
      </c>
      <c r="R47" s="47"/>
      <c r="S47" s="47"/>
      <c r="T47" s="47"/>
    </row>
    <row r="48" spans="1:20" ht="12.75" customHeight="1" x14ac:dyDescent="0.35">
      <c r="A48" s="49">
        <f>'New Vestas G27 105L'!O53</f>
        <v>7536607044.8992739</v>
      </c>
      <c r="B48" s="48">
        <f>'New Vestas G27 105L'!T53</f>
        <v>129.98058130777247</v>
      </c>
      <c r="C48" s="50">
        <f t="shared" si="10"/>
        <v>9.8771758719547105</v>
      </c>
      <c r="D48" s="50">
        <f t="shared" si="11"/>
        <v>2.113878474915968</v>
      </c>
      <c r="E48" s="51">
        <f t="shared" si="12"/>
        <v>97.558603205524292</v>
      </c>
      <c r="F48" s="51">
        <f t="shared" si="13"/>
        <v>4.468482206713059</v>
      </c>
      <c r="G48" s="52">
        <f t="shared" si="14"/>
        <v>20.879149468684421</v>
      </c>
      <c r="H48" s="86"/>
      <c r="I48" s="86"/>
      <c r="J48" s="51">
        <f t="shared" si="1"/>
        <v>10.981203880289756</v>
      </c>
      <c r="K48" s="51">
        <f t="shared" si="2"/>
        <v>2.010500205506522</v>
      </c>
      <c r="L48" s="55">
        <f t="shared" si="3"/>
        <v>6.6745270388084248E-3</v>
      </c>
      <c r="M48" s="51">
        <f t="shared" si="4"/>
        <v>2.0038256784677135</v>
      </c>
      <c r="N48" s="94">
        <f t="shared" si="8"/>
        <v>95764353318.618408</v>
      </c>
      <c r="O48" s="56">
        <f t="shared" si="9"/>
        <v>102.44722650867052</v>
      </c>
      <c r="P48" s="57">
        <f t="shared" si="5"/>
        <v>100.8847863189155</v>
      </c>
      <c r="R48" s="47"/>
      <c r="S48" s="47"/>
      <c r="T48" s="47"/>
    </row>
    <row r="49" spans="1:20" ht="12.75" customHeight="1" x14ac:dyDescent="0.35">
      <c r="A49" s="49">
        <f>'New Vestas G27 105L'!O54</f>
        <v>10048809393.199032</v>
      </c>
      <c r="B49" s="48">
        <f>'New Vestas G27 105L'!T54</f>
        <v>127.25448519557391</v>
      </c>
      <c r="C49" s="50">
        <f t="shared" si="10"/>
        <v>10.00211460856301</v>
      </c>
      <c r="D49" s="50">
        <f t="shared" si="11"/>
        <v>2.1046730983672242</v>
      </c>
      <c r="E49" s="51">
        <f t="shared" si="12"/>
        <v>100.04229664282958</v>
      </c>
      <c r="F49" s="51">
        <f t="shared" si="13"/>
        <v>4.4296488509906915</v>
      </c>
      <c r="G49" s="52">
        <f t="shared" si="14"/>
        <v>21.051181543428388</v>
      </c>
      <c r="H49" s="86"/>
      <c r="I49" s="86"/>
      <c r="J49" s="51">
        <f t="shared" si="1"/>
        <v>10.973300897640982</v>
      </c>
      <c r="K49" s="51">
        <f t="shared" si="2"/>
        <v>2.0112527116823986</v>
      </c>
      <c r="L49" s="55">
        <f t="shared" si="3"/>
        <v>6.6206985668849959E-3</v>
      </c>
      <c r="M49" s="51">
        <f t="shared" si="4"/>
        <v>2.0046320131155135</v>
      </c>
      <c r="N49" s="94">
        <f t="shared" si="8"/>
        <v>94037461633.982697</v>
      </c>
      <c r="O49" s="56">
        <f t="shared" si="9"/>
        <v>102.62489166819896</v>
      </c>
      <c r="P49" s="57">
        <f t="shared" si="5"/>
        <v>101.07226846599193</v>
      </c>
      <c r="R49" s="47"/>
      <c r="S49" s="47"/>
      <c r="T49" s="47"/>
    </row>
    <row r="50" spans="1:20" ht="12.75" customHeight="1" x14ac:dyDescent="0.35">
      <c r="A50" s="49">
        <f>'New Vestas G27 105L'!O55</f>
        <v>15073214089.798548</v>
      </c>
      <c r="B50" s="48">
        <f>'New Vestas G27 105L'!T55</f>
        <v>124.93012956898552</v>
      </c>
      <c r="C50" s="50">
        <f t="shared" si="10"/>
        <v>10.178205867618692</v>
      </c>
      <c r="D50" s="50">
        <f t="shared" si="11"/>
        <v>2.0966671903961478</v>
      </c>
      <c r="E50" s="51">
        <f t="shared" si="12"/>
        <v>103.59587468362757</v>
      </c>
      <c r="F50" s="51">
        <f t="shared" si="13"/>
        <v>4.3960133072836767</v>
      </c>
      <c r="G50" s="52">
        <f t="shared" si="14"/>
        <v>21.34031029973367</v>
      </c>
      <c r="H50" s="86"/>
      <c r="I50" s="86"/>
      <c r="J50" s="51">
        <f t="shared" si="1"/>
        <v>10.965251432421917</v>
      </c>
      <c r="K50" s="51">
        <f t="shared" si="2"/>
        <v>2.0120191656351718</v>
      </c>
      <c r="L50" s="55">
        <f t="shared" si="3"/>
        <v>6.5662536731448508E-3</v>
      </c>
      <c r="M50" s="51">
        <f t="shared" si="4"/>
        <v>2.0054529119620268</v>
      </c>
      <c r="N50" s="94">
        <f t="shared" si="8"/>
        <v>92310569949.347382</v>
      </c>
      <c r="O50" s="56">
        <f t="shared" si="9"/>
        <v>102.80616660067733</v>
      </c>
      <c r="P50" s="57">
        <f t="shared" si="5"/>
        <v>101.2634948713462</v>
      </c>
      <c r="R50" s="47"/>
      <c r="S50" s="47"/>
      <c r="T50" s="47"/>
    </row>
    <row r="51" spans="1:20" ht="12.75" customHeight="1" x14ac:dyDescent="0.35">
      <c r="A51" s="49">
        <f>'New Vestas G27 105L'!O56</f>
        <v>20097618786.398064</v>
      </c>
      <c r="B51" s="48">
        <f>'New Vestas G27 105L'!T56</f>
        <v>121.94577173299243</v>
      </c>
      <c r="C51" s="50">
        <f t="shared" si="10"/>
        <v>10.303144604226992</v>
      </c>
      <c r="D51" s="50">
        <f t="shared" si="11"/>
        <v>2.0861667464712781</v>
      </c>
      <c r="E51" s="51">
        <f t="shared" si="12"/>
        <v>106.15478873561177</v>
      </c>
      <c r="F51" s="51">
        <f t="shared" si="13"/>
        <v>4.3520916940825582</v>
      </c>
      <c r="G51" s="52">
        <f t="shared" si="14"/>
        <v>21.494077657423329</v>
      </c>
      <c r="H51" s="86"/>
      <c r="I51" s="86"/>
      <c r="J51" s="51">
        <f t="shared" si="1"/>
        <v>10.95704995178118</v>
      </c>
      <c r="K51" s="51">
        <f t="shared" si="2"/>
        <v>2.0128000941918658</v>
      </c>
      <c r="L51" s="55">
        <f t="shared" si="3"/>
        <v>6.5111862729587879E-3</v>
      </c>
      <c r="M51" s="51">
        <f t="shared" si="4"/>
        <v>2.0062889079189068</v>
      </c>
      <c r="N51" s="94">
        <f t="shared" si="8"/>
        <v>90583678264.711868</v>
      </c>
      <c r="O51" s="56">
        <f t="shared" si="9"/>
        <v>102.99119427129064</v>
      </c>
      <c r="P51" s="57">
        <f t="shared" si="5"/>
        <v>101.45860995423891</v>
      </c>
      <c r="R51" s="47"/>
      <c r="S51" s="47"/>
      <c r="T51" s="47"/>
    </row>
    <row r="52" spans="1:20" ht="12.75" customHeight="1" x14ac:dyDescent="0.35">
      <c r="A52" s="49">
        <f>'New Vestas G27 105L'!O57</f>
        <v>22609821134.697815</v>
      </c>
      <c r="B52" s="48">
        <f>'New Vestas G27 105L'!T57</f>
        <v>120.56837580196087</v>
      </c>
      <c r="C52" s="50">
        <f t="shared" si="10"/>
        <v>10.354297126674373</v>
      </c>
      <c r="D52" s="50">
        <f t="shared" si="11"/>
        <v>2.081233410492878</v>
      </c>
      <c r="E52" s="51">
        <f t="shared" si="12"/>
        <v>107.21146898745718</v>
      </c>
      <c r="F52" s="51">
        <f t="shared" si="13"/>
        <v>4.3315325089518169</v>
      </c>
      <c r="G52" s="52">
        <f t="shared" si="14"/>
        <v>21.549709122205112</v>
      </c>
      <c r="H52" s="86"/>
      <c r="I52" s="86"/>
      <c r="J52" s="51">
        <f t="shared" si="1"/>
        <v>10.948690603348073</v>
      </c>
      <c r="K52" s="51">
        <f t="shared" si="2"/>
        <v>2.0135960546034948</v>
      </c>
      <c r="L52" s="55">
        <f t="shared" si="3"/>
        <v>6.4554910707513083E-3</v>
      </c>
      <c r="M52" s="51">
        <f t="shared" si="4"/>
        <v>2.0071405635327433</v>
      </c>
      <c r="N52" s="94">
        <f t="shared" si="8"/>
        <v>88856786580.076294</v>
      </c>
      <c r="O52" s="56">
        <f t="shared" si="9"/>
        <v>103.18012617117384</v>
      </c>
      <c r="P52" s="57">
        <f t="shared" si="5"/>
        <v>101.65776646440871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10.940167190146118</v>
      </c>
      <c r="K53" s="51">
        <f t="shared" si="2"/>
        <v>2.0144076369337451</v>
      </c>
      <c r="L53" s="55">
        <f t="shared" si="3"/>
        <v>6.3991637196449611E-3</v>
      </c>
      <c r="M53" s="51">
        <f t="shared" si="4"/>
        <v>2.0080084732141001</v>
      </c>
      <c r="N53" s="94">
        <f t="shared" si="8"/>
        <v>87129894895.44075</v>
      </c>
      <c r="O53" s="56">
        <f t="shared" si="9"/>
        <v>103.37312300337742</v>
      </c>
      <c r="P53" s="57">
        <f t="shared" si="5"/>
        <v>101.86112612679521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10.931473142995184</v>
      </c>
      <c r="K54" s="51">
        <f t="shared" si="2"/>
        <v>2.0152354666867884</v>
      </c>
      <c r="L54" s="55">
        <f t="shared" si="3"/>
        <v>6.3422010071407216E-3</v>
      </c>
      <c r="M54" s="51">
        <f t="shared" si="4"/>
        <v>2.0088932656796477</v>
      </c>
      <c r="N54" s="94">
        <f t="shared" si="8"/>
        <v>85403003210.80513</v>
      </c>
      <c r="O54" s="56">
        <f t="shared" si="9"/>
        <v>103.5703554388794</v>
      </c>
      <c r="P54" s="57">
        <f t="shared" si="5"/>
        <v>102.06886034935826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10.922601490094358</v>
      </c>
      <c r="K55" s="51">
        <f t="shared" si="2"/>
        <v>2.0160802077035411</v>
      </c>
      <c r="L55" s="55">
        <f t="shared" si="3"/>
        <v>6.2846010712026392E-3</v>
      </c>
      <c r="M55" s="51">
        <f t="shared" si="4"/>
        <v>2.0097956066323386</v>
      </c>
      <c r="N55" s="94">
        <f t="shared" si="8"/>
        <v>83676111526.169617</v>
      </c>
      <c r="O55" s="56">
        <f t="shared" si="9"/>
        <v>103.77200495137478</v>
      </c>
      <c r="P55" s="57">
        <f t="shared" si="5"/>
        <v>102.28115100152425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10.913544823432698</v>
      </c>
      <c r="K56" s="51">
        <f t="shared" si="2"/>
        <v>2.0169425653599649</v>
      </c>
      <c r="L56" s="55">
        <f t="shared" si="3"/>
        <v>6.2263636519000352E-3</v>
      </c>
      <c r="M56" s="51">
        <f t="shared" si="4"/>
        <v>2.0107162017080649</v>
      </c>
      <c r="N56" s="94">
        <f t="shared" si="8"/>
        <v>81949219841.534241</v>
      </c>
      <c r="O56" s="56">
        <f t="shared" si="9"/>
        <v>103.97826474086543</v>
      </c>
      <c r="P56" s="57">
        <f t="shared" si="5"/>
        <v>102.49819127186272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10.904295261622467</v>
      </c>
      <c r="K57" s="51">
        <f t="shared" si="2"/>
        <v>2.0178232901060111</v>
      </c>
      <c r="L57" s="55">
        <f t="shared" si="3"/>
        <v>6.1674903846983776E-3</v>
      </c>
      <c r="M57" s="51">
        <f t="shared" si="4"/>
        <v>2.0116557997213129</v>
      </c>
      <c r="N57" s="94">
        <f t="shared" si="8"/>
        <v>80222328156.898529</v>
      </c>
      <c r="O57" s="56">
        <f t="shared" si="9"/>
        <v>104.18934075759471</v>
      </c>
      <c r="P57" s="57">
        <f t="shared" si="5"/>
        <v>102.72018661484564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10.894844408687611</v>
      </c>
      <c r="K58" s="51">
        <f t="shared" si="2"/>
        <v>2.0187231813897002</v>
      </c>
      <c r="L58" s="55">
        <f t="shared" si="3"/>
        <v>6.1079851426100781E-3</v>
      </c>
      <c r="M58" s="51">
        <f t="shared" si="4"/>
        <v>2.01261519624709</v>
      </c>
      <c r="N58" s="94">
        <f t="shared" si="8"/>
        <v>78495436472.263153</v>
      </c>
      <c r="O58" s="56">
        <f t="shared" si="9"/>
        <v>104.40545283965068</v>
      </c>
      <c r="P58" s="57">
        <f t="shared" si="5"/>
        <v>102.94735579800874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10.885183308267479</v>
      </c>
      <c r="K59" s="51">
        <f t="shared" si="2"/>
        <v>2.0196430920177519</v>
      </c>
      <c r="L59" s="55">
        <f t="shared" si="3"/>
        <v>6.0478544357584658E-3</v>
      </c>
      <c r="M59" s="51">
        <f t="shared" si="4"/>
        <v>2.0135952375819937</v>
      </c>
      <c r="N59" s="94">
        <f t="shared" si="8"/>
        <v>76768544787.627411</v>
      </c>
      <c r="O59" s="56">
        <f t="shared" si="9"/>
        <v>104.62683597967238</v>
      </c>
      <c r="P59" s="57">
        <f t="shared" si="5"/>
        <v>103.17993206255451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10.875302392609809</v>
      </c>
      <c r="K60" s="51">
        <f t="shared" si="2"/>
        <v>2.0205839330123685</v>
      </c>
      <c r="L60" s="55">
        <f t="shared" si="3"/>
        <v>5.9871078785181065E-3</v>
      </c>
      <c r="M60" s="51">
        <f t="shared" si="4"/>
        <v>2.0145968251338502</v>
      </c>
      <c r="N60" s="94">
        <f t="shared" si="8"/>
        <v>75041653102.992065</v>
      </c>
      <c r="O60" s="56">
        <f t="shared" si="9"/>
        <v>104.85374173858214</v>
      </c>
      <c r="P60" s="57">
        <f t="shared" si="5"/>
        <v>103.41816441246175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10.865191425624873</v>
      </c>
      <c r="K61" s="51">
        <f t="shared" si="2"/>
        <v>2.0215466790335088</v>
      </c>
      <c r="L61" s="55">
        <f t="shared" si="3"/>
        <v>5.9257587363280009E-3</v>
      </c>
      <c r="M61" s="51">
        <f t="shared" si="4"/>
        <v>2.0156209202971809</v>
      </c>
      <c r="N61" s="94">
        <f t="shared" si="8"/>
        <v>73314761418.356277</v>
      </c>
      <c r="O61" s="56">
        <f t="shared" si="9"/>
        <v>105.08643982724159</v>
      </c>
      <c r="P61" s="57">
        <f t="shared" si="5"/>
        <v>103.6623190495835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10.854839439151245</v>
      </c>
      <c r="K62" s="51">
        <f t="shared" si="2"/>
        <v>2.0225323744475312</v>
      </c>
      <c r="L62" s="55">
        <f t="shared" si="3"/>
        <v>5.8638245666015982E-3</v>
      </c>
      <c r="M62" s="51">
        <f t="shared" si="4"/>
        <v>2.0166685498809298</v>
      </c>
      <c r="N62" s="94">
        <f t="shared" si="8"/>
        <v>71587869733.721008</v>
      </c>
      <c r="O62" s="56">
        <f t="shared" si="9"/>
        <v>105.32521988045505</v>
      </c>
      <c r="P62" s="57">
        <f t="shared" si="5"/>
        <v>103.91268097505518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10.844234661438293</v>
      </c>
      <c r="K63" s="51">
        <f t="shared" si="2"/>
        <v>2.0235421401369491</v>
      </c>
      <c r="L63" s="55">
        <f t="shared" si="3"/>
        <v>5.8013279709604607E-3</v>
      </c>
      <c r="M63" s="51">
        <f t="shared" si="4"/>
        <v>2.0177408121659886</v>
      </c>
      <c r="N63" s="94">
        <f t="shared" si="8"/>
        <v>69860978049.085312</v>
      </c>
      <c r="O63" s="56">
        <f t="shared" si="9"/>
        <v>105.57039345199478</v>
      </c>
      <c r="P63" s="57">
        <f t="shared" si="5"/>
        <v>104.16955578076876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10.83336443667625</v>
      </c>
      <c r="K64" s="51">
        <f t="shared" si="2"/>
        <v>2.0245771811626141</v>
      </c>
      <c r="L64" s="55">
        <f t="shared" si="3"/>
        <v>5.7382974794012503E-3</v>
      </c>
      <c r="M64" s="51">
        <f t="shared" si="4"/>
        <v>2.018838883683213</v>
      </c>
      <c r="N64" s="94">
        <f t="shared" si="8"/>
        <v>68134086364.449661</v>
      </c>
      <c r="O64" s="56">
        <f t="shared" si="9"/>
        <v>105.82229626441175</v>
      </c>
      <c r="P64" s="57">
        <f t="shared" si="5"/>
        <v>104.43327165875009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10.822215134194421</v>
      </c>
      <c r="K65" s="51">
        <f t="shared" si="2"/>
        <v>2.0256387954096851</v>
      </c>
      <c r="L65" s="55">
        <f t="shared" si="3"/>
        <v>5.6747685910892428E-3</v>
      </c>
      <c r="M65" s="51">
        <f t="shared" si="4"/>
        <v>2.0199640268185957</v>
      </c>
      <c r="N65" s="94">
        <f t="shared" si="8"/>
        <v>66407194679.814224</v>
      </c>
      <c r="O65" s="56">
        <f t="shared" si="9"/>
        <v>106.08129075356538</v>
      </c>
      <c r="P65" s="57">
        <f t="shared" si="5"/>
        <v>104.70418166123073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5">LOG($I$24+($I$25-$I$24)*(ROW()-2)/100)</f>
        <v>10.810772045693639</v>
      </c>
      <c r="K66" s="51">
        <f t="shared" ref="K66:K129" si="16">+$I$14+$I$13*J66</f>
        <v>2.0267283833729426</v>
      </c>
      <c r="L66" s="55">
        <f t="shared" ref="L66:L129" si="17">SQRT(2*$I$20*$I$17)*SQRT((1/$I$2)+((J66-$I$11)^2/$I$8))</f>
        <v>5.6107850014085209E-3</v>
      </c>
      <c r="M66" s="51">
        <f t="shared" ref="M66:M102" si="18">+$I$14+$I$13*J66-L66</f>
        <v>2.0211175983715339</v>
      </c>
      <c r="N66" s="94">
        <f t="shared" si="8"/>
        <v>64680302995.178879</v>
      </c>
      <c r="O66" s="56">
        <f t="shared" si="9"/>
        <v>106.34776895527041</v>
      </c>
      <c r="P66" s="57">
        <f t="shared" ref="P66:P102" si="19">10^M66</f>
        <v>104.98266625018734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5"/>
        <v>10.799019268569445</v>
      </c>
      <c r="K67" s="51">
        <f t="shared" si="16"/>
        <v>2.027847459266527</v>
      </c>
      <c r="L67" s="55">
        <f t="shared" si="17"/>
        <v>5.5464000508681126E-3</v>
      </c>
      <c r="M67" s="51">
        <f t="shared" si="18"/>
        <v>2.0223010592156587</v>
      </c>
      <c r="N67" s="94">
        <f t="shared" ref="N67:N101" si="20">10^$J67</f>
        <v>62953411310.543442</v>
      </c>
      <c r="O67" s="56">
        <f t="shared" ref="O67:O102" si="21">10^K67</f>
        <v>106.62215579058881</v>
      </c>
      <c r="P67" s="57">
        <f t="shared" si="19"/>
        <v>105.26913618243221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5"/>
        <v>10.786939573003874</v>
      </c>
      <c r="K68" s="51">
        <f t="shared" si="16"/>
        <v>2.0289976636791875</v>
      </c>
      <c r="L68" s="55">
        <f t="shared" si="17"/>
        <v>5.4816784386837207E-3</v>
      </c>
      <c r="M68" s="51">
        <f t="shared" si="18"/>
        <v>2.023515985240504</v>
      </c>
      <c r="N68" s="94">
        <f t="shared" si="20"/>
        <v>61226519625.907677</v>
      </c>
      <c r="O68" s="56">
        <f t="shared" si="21"/>
        <v>106.90491281745796</v>
      </c>
      <c r="P68" s="57">
        <f t="shared" si="19"/>
        <v>105.56403578529486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5"/>
        <v>10.774514250038505</v>
      </c>
      <c r="K69" s="51">
        <f t="shared" si="16"/>
        <v>2.0301807780404664</v>
      </c>
      <c r="L69" s="55">
        <f t="shared" si="17"/>
        <v>5.416698252586033E-3</v>
      </c>
      <c r="M69" s="51">
        <f t="shared" si="18"/>
        <v>2.0247640797878805</v>
      </c>
      <c r="N69" s="94">
        <f t="shared" si="20"/>
        <v>59499627941.272408</v>
      </c>
      <c r="O69" s="56">
        <f t="shared" si="21"/>
        <v>107.19654253011902</v>
      </c>
      <c r="P69" s="57">
        <f t="shared" si="19"/>
        <v>105.86784668899516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5"/>
        <v>10.76172293726647</v>
      </c>
      <c r="K70" s="51">
        <f t="shared" si="16"/>
        <v>2.0313987412179531</v>
      </c>
      <c r="L70" s="55">
        <f t="shared" si="17"/>
        <v>5.3515533769580171E-3</v>
      </c>
      <c r="M70" s="51">
        <f t="shared" si="18"/>
        <v>2.0260471878409949</v>
      </c>
      <c r="N70" s="94">
        <f t="shared" si="20"/>
        <v>57772736256.636627</v>
      </c>
      <c r="O70" s="56">
        <f t="shared" si="21"/>
        <v>107.49759330485894</v>
      </c>
      <c r="P70" s="57">
        <f t="shared" si="19"/>
        <v>106.18109209554842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5"/>
        <v>10.748543418066571</v>
      </c>
      <c r="K71" s="51">
        <f t="shared" si="16"/>
        <v>2.0326536686338121</v>
      </c>
      <c r="L71" s="55">
        <f t="shared" si="17"/>
        <v>5.2863563541385933E-3</v>
      </c>
      <c r="M71" s="51">
        <f t="shared" si="18"/>
        <v>2.0273673122796736</v>
      </c>
      <c r="N71" s="94">
        <f t="shared" si="20"/>
        <v>56045844572.001205</v>
      </c>
      <c r="O71" s="56">
        <f t="shared" si="21"/>
        <v>107.80866511183555</v>
      </c>
      <c r="P71" s="57">
        <f t="shared" si="19"/>
        <v>106.50434168124544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5"/>
        <v>10.734951389409002</v>
      </c>
      <c r="K72" s="51">
        <f t="shared" si="16"/>
        <v>2.0339478743738564</v>
      </c>
      <c r="L72" s="55">
        <f t="shared" si="17"/>
        <v>5.2212417890686183E-3</v>
      </c>
      <c r="M72" s="51">
        <f t="shared" si="18"/>
        <v>2.0287266325847879</v>
      </c>
      <c r="N72" s="94">
        <f t="shared" si="20"/>
        <v>54318952887.365585</v>
      </c>
      <c r="O72" s="56">
        <f t="shared" si="21"/>
        <v>108.13041613940011</v>
      </c>
      <c r="P72" s="57">
        <f t="shared" si="19"/>
        <v>106.83821725143453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5"/>
        <v>10.720920192137466</v>
      </c>
      <c r="K73" s="51">
        <f t="shared" si="16"/>
        <v>2.0352838968695419</v>
      </c>
      <c r="L73" s="55">
        <f t="shared" si="17"/>
        <v>5.1563704058794502E-3</v>
      </c>
      <c r="M73" s="51">
        <f t="shared" si="18"/>
        <v>2.0301275264636627</v>
      </c>
      <c r="N73" s="94">
        <f t="shared" si="20"/>
        <v>52592061202.730034</v>
      </c>
      <c r="O73" s="56">
        <f t="shared" si="21"/>
        <v>108.46357051096331</v>
      </c>
      <c r="P73" s="57">
        <f t="shared" si="19"/>
        <v>107.18339929390648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5"/>
        <v>10.706420496207214</v>
      </c>
      <c r="K74" s="51">
        <f t="shared" si="16"/>
        <v>2.0366645288689726</v>
      </c>
      <c r="L74" s="55">
        <f t="shared" si="17"/>
        <v>5.0919338870696034E-3</v>
      </c>
      <c r="M74" s="51">
        <f t="shared" si="18"/>
        <v>2.031572594981903</v>
      </c>
      <c r="N74" s="94">
        <f t="shared" si="20"/>
        <v>50865169518.094528</v>
      </c>
      <c r="O74" s="56">
        <f t="shared" si="21"/>
        <v>108.80892731719217</v>
      </c>
      <c r="P74" s="57">
        <f t="shared" si="19"/>
        <v>107.5406346125144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5"/>
        <v>10.691419931539016</v>
      </c>
      <c r="K75" s="51">
        <f t="shared" si="16"/>
        <v>2.0380928525862476</v>
      </c>
      <c r="L75" s="55">
        <f t="shared" si="17"/>
        <v>5.0281606521649473E-3</v>
      </c>
      <c r="M75" s="51">
        <f t="shared" si="18"/>
        <v>2.0330646919340825</v>
      </c>
      <c r="N75" s="94">
        <f t="shared" si="20"/>
        <v>49138277833.459129</v>
      </c>
      <c r="O75" s="56">
        <f t="shared" si="21"/>
        <v>109.16737124104428</v>
      </c>
      <c r="P75" s="57">
        <f t="shared" si="19"/>
        <v>107.91074526834603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5"/>
        <v>10.675882652808617</v>
      </c>
      <c r="K76" s="51">
        <f t="shared" si="16"/>
        <v>2.0395722811413326</v>
      </c>
      <c r="L76" s="55">
        <f t="shared" si="17"/>
        <v>4.9653227638234831E-3</v>
      </c>
      <c r="M76" s="51">
        <f t="shared" si="18"/>
        <v>2.034606958377509</v>
      </c>
      <c r="N76" s="94">
        <f t="shared" si="20"/>
        <v>47411386148.823479</v>
      </c>
      <c r="O76" s="56">
        <f t="shared" si="21"/>
        <v>109.53988512374445</v>
      </c>
      <c r="P76" s="57">
        <f t="shared" si="19"/>
        <v>108.29463911537063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5"/>
        <v>10.659768823455332</v>
      </c>
      <c r="K77" s="51">
        <f t="shared" si="16"/>
        <v>2.041106607691733</v>
      </c>
      <c r="L77" s="55">
        <f t="shared" si="17"/>
        <v>4.9037441858408451E-3</v>
      </c>
      <c r="M77" s="51">
        <f t="shared" si="18"/>
        <v>2.036202863505892</v>
      </c>
      <c r="N77" s="94">
        <f t="shared" si="20"/>
        <v>45684494464.187965</v>
      </c>
      <c r="O77" s="56">
        <f t="shared" si="21"/>
        <v>109.92756491168048</v>
      </c>
      <c r="P77" s="57">
        <f t="shared" si="19"/>
        <v>108.69332229598314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5"/>
        <v>10.643034000220974</v>
      </c>
      <c r="K78" s="51">
        <f t="shared" si="16"/>
        <v>2.0427000640354604</v>
      </c>
      <c r="L78" s="55">
        <f t="shared" si="17"/>
        <v>4.8438106600259857E-3</v>
      </c>
      <c r="M78" s="51">
        <f t="shared" si="18"/>
        <v>2.0378562533754345</v>
      </c>
      <c r="N78" s="94">
        <f t="shared" si="20"/>
        <v>43957602779.552589</v>
      </c>
      <c r="O78" s="56">
        <f t="shared" si="21"/>
        <v>110.33163754477664</v>
      </c>
      <c r="P78" s="57">
        <f t="shared" si="19"/>
        <v>109.10791416624588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5"/>
        <v>10.625628394283028</v>
      </c>
      <c r="K79" s="51">
        <f t="shared" si="16"/>
        <v>2.0443573909644535</v>
      </c>
      <c r="L79" s="55">
        <f t="shared" si="17"/>
        <v>4.7859815180021845E-3</v>
      </c>
      <c r="M79" s="51">
        <f t="shared" si="18"/>
        <v>2.0395714094464514</v>
      </c>
      <c r="N79" s="94">
        <f t="shared" si="20"/>
        <v>42230711094.916939</v>
      </c>
      <c r="O79" s="56">
        <f t="shared" si="21"/>
        <v>110.75348250673611</v>
      </c>
      <c r="P79" s="57">
        <f t="shared" si="19"/>
        <v>109.53966526080518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5"/>
        <v>10.607495978044271</v>
      </c>
      <c r="K80" s="51">
        <f t="shared" si="16"/>
        <v>2.0460839233142805</v>
      </c>
      <c r="L80" s="55">
        <f t="shared" si="17"/>
        <v>4.7308038002161022E-3</v>
      </c>
      <c r="M80" s="51">
        <f t="shared" si="18"/>
        <v>2.0413531195140644</v>
      </c>
      <c r="N80" s="94">
        <f t="shared" si="20"/>
        <v>40503819410.281525</v>
      </c>
      <c r="O80" s="56">
        <f t="shared" si="21"/>
        <v>111.19465797153806</v>
      </c>
      <c r="P80" s="57">
        <f t="shared" si="19"/>
        <v>109.98997909760715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5"/>
        <v>10.588573397196159</v>
      </c>
      <c r="K81" s="51">
        <f t="shared" si="16"/>
        <v>2.0478856935552834</v>
      </c>
      <c r="L81" s="55">
        <f t="shared" si="17"/>
        <v>4.6789291186053817E-3</v>
      </c>
      <c r="M81" s="51">
        <f t="shared" si="18"/>
        <v>2.043206764436678</v>
      </c>
      <c r="N81" s="94">
        <f t="shared" si="20"/>
        <v>38776927725.645813</v>
      </c>
      <c r="O81" s="56">
        <f t="shared" si="21"/>
        <v>111.65693277028473</v>
      </c>
      <c r="P81" s="57">
        <f t="shared" si="19"/>
        <v>110.46043888313419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5"/>
        <v>10.568788634782399</v>
      </c>
      <c r="K82" s="51">
        <f t="shared" si="16"/>
        <v>2.0497695589977711</v>
      </c>
      <c r="L82" s="55">
        <f t="shared" si="17"/>
        <v>4.6311337730719866E-3</v>
      </c>
      <c r="M82" s="51">
        <f t="shared" si="18"/>
        <v>2.0451384252246991</v>
      </c>
      <c r="N82" s="94">
        <f t="shared" si="20"/>
        <v>37050036041.010391</v>
      </c>
      <c r="O82" s="56">
        <f t="shared" si="21"/>
        <v>112.14232579938873</v>
      </c>
      <c r="P82" s="57">
        <f t="shared" si="19"/>
        <v>110.95284053977335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5"/>
        <v>10.548059356169437</v>
      </c>
      <c r="K83" s="51">
        <f t="shared" si="16"/>
        <v>2.0517433593806098</v>
      </c>
      <c r="L83" s="55">
        <f t="shared" si="17"/>
        <v>4.5883427187866461E-3</v>
      </c>
      <c r="M83" s="51">
        <f t="shared" si="18"/>
        <v>2.0471550166618231</v>
      </c>
      <c r="N83" s="94">
        <f t="shared" si="20"/>
        <v>35323144356.374825</v>
      </c>
      <c r="O83" s="56">
        <f t="shared" si="21"/>
        <v>112.65315504186339</v>
      </c>
      <c r="P83" s="57">
        <f t="shared" si="19"/>
        <v>111.46923398212513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5"/>
        <v>10.526290838855774</v>
      </c>
      <c r="K84" s="51">
        <f t="shared" si="16"/>
        <v>2.0538161139906368</v>
      </c>
      <c r="L84" s="55">
        <f t="shared" si="17"/>
        <v>4.5516580897550663E-3</v>
      </c>
      <c r="M84" s="51">
        <f t="shared" si="18"/>
        <v>2.0492644559008819</v>
      </c>
      <c r="N84" s="94">
        <f t="shared" si="20"/>
        <v>33596252671.739349</v>
      </c>
      <c r="O84" s="56">
        <f t="shared" si="21"/>
        <v>113.19209914855529</v>
      </c>
      <c r="P84" s="57">
        <f t="shared" si="19"/>
        <v>112.01197528422713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5"/>
        <v>10.503373355517756</v>
      </c>
      <c r="K85" s="51">
        <f t="shared" si="16"/>
        <v>2.0559982708437938</v>
      </c>
      <c r="L85" s="55">
        <f t="shared" si="17"/>
        <v>4.5223931321129287E-3</v>
      </c>
      <c r="M85" s="51">
        <f t="shared" si="18"/>
        <v>2.0514758777116811</v>
      </c>
      <c r="N85" s="94">
        <f t="shared" si="20"/>
        <v>31869360987.103779</v>
      </c>
      <c r="O85" s="56">
        <f t="shared" si="21"/>
        <v>113.76227563360736</v>
      </c>
      <c r="P85" s="57">
        <f t="shared" si="19"/>
        <v>112.58379340421808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5"/>
        <v>10.479178827292104</v>
      </c>
      <c r="K86" s="51">
        <f t="shared" si="16"/>
        <v>2.0583020253528646</v>
      </c>
      <c r="L86" s="55">
        <f t="shared" si="17"/>
        <v>4.5021126254394753E-3</v>
      </c>
      <c r="M86" s="51">
        <f t="shared" si="18"/>
        <v>2.0537999127274249</v>
      </c>
      <c r="N86" s="94">
        <f t="shared" si="20"/>
        <v>30142469302.468231</v>
      </c>
      <c r="O86" s="56">
        <f t="shared" si="21"/>
        <v>114.36734134743466</v>
      </c>
      <c r="P86" s="57">
        <f t="shared" si="19"/>
        <v>113.18787662014913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5"/>
        <v>10.453556488594288</v>
      </c>
      <c r="K87" s="51">
        <f t="shared" si="16"/>
        <v>2.0607417331147815</v>
      </c>
      <c r="L87" s="55">
        <f t="shared" si="17"/>
        <v>4.4926812444921532E-3</v>
      </c>
      <c r="M87" s="51">
        <f t="shared" si="18"/>
        <v>2.0562490518702892</v>
      </c>
      <c r="N87" s="94">
        <f t="shared" si="20"/>
        <v>28415577617.832703</v>
      </c>
      <c r="O87" s="56">
        <f t="shared" si="21"/>
        <v>115.01162327137307</v>
      </c>
      <c r="P87" s="57">
        <f t="shared" si="19"/>
        <v>113.82798602163963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5"/>
        <v>10.426327191022027</v>
      </c>
      <c r="K88" s="51">
        <f t="shared" si="16"/>
        <v>2.0633344522815231</v>
      </c>
      <c r="L88" s="55">
        <f t="shared" si="17"/>
        <v>4.496321972643943E-3</v>
      </c>
      <c r="M88" s="51">
        <f t="shared" si="18"/>
        <v>2.058838130308879</v>
      </c>
      <c r="N88" s="94">
        <f t="shared" si="20"/>
        <v>26688685933.197128</v>
      </c>
      <c r="O88" s="56">
        <f t="shared" si="21"/>
        <v>115.70029127336244</v>
      </c>
      <c r="P88" s="57">
        <f t="shared" si="19"/>
        <v>114.50860668649057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5"/>
        <v>10.397275799129106</v>
      </c>
      <c r="K89" s="51">
        <f t="shared" si="16"/>
        <v>2.0661006676193012</v>
      </c>
      <c r="L89" s="55">
        <f t="shared" si="17"/>
        <v>4.5156878661656193E-3</v>
      </c>
      <c r="M89" s="51">
        <f t="shared" si="18"/>
        <v>2.0615849797531358</v>
      </c>
      <c r="N89" s="94">
        <f t="shared" si="20"/>
        <v>24961794248.561642</v>
      </c>
      <c r="O89" s="56">
        <f t="shared" si="21"/>
        <v>116.4395900163931</v>
      </c>
      <c r="P89" s="57">
        <f t="shared" si="19"/>
        <v>115.23515219759666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5"/>
        <v>10.366140855595264</v>
      </c>
      <c r="K90" s="51">
        <f t="shared" si="16"/>
        <v>2.0690652745703764</v>
      </c>
      <c r="L90" s="55">
        <f t="shared" si="17"/>
        <v>4.5539526140969157E-3</v>
      </c>
      <c r="M90" s="51">
        <f t="shared" si="18"/>
        <v>2.0645113219562794</v>
      </c>
      <c r="N90" s="94">
        <f t="shared" si="20"/>
        <v>23234902563.926151</v>
      </c>
      <c r="O90" s="56">
        <f t="shared" si="21"/>
        <v>117.2371560048494</v>
      </c>
      <c r="P90" s="57">
        <f t="shared" si="19"/>
        <v>116.01424603983244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5"/>
        <v>10.332600247482162</v>
      </c>
      <c r="K91" s="51">
        <f t="shared" si="16"/>
        <v>2.0722589440834529</v>
      </c>
      <c r="L91" s="55">
        <f t="shared" si="17"/>
        <v>4.6149291850674278E-3</v>
      </c>
      <c r="M91" s="51">
        <f t="shared" si="18"/>
        <v>2.0676440148983857</v>
      </c>
      <c r="N91" s="94">
        <f t="shared" si="20"/>
        <v>21508010879.290581</v>
      </c>
      <c r="O91" s="56">
        <f t="shared" si="21"/>
        <v>118.10246008013389</v>
      </c>
      <c r="P91" s="57">
        <f t="shared" si="19"/>
        <v>116.85411615330143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5"/>
        <v>10.29625085987553</v>
      </c>
      <c r="K92" s="51">
        <f t="shared" si="16"/>
        <v>2.0757200599531132</v>
      </c>
      <c r="L92" s="55">
        <f t="shared" si="17"/>
        <v>4.7032326981401289E-3</v>
      </c>
      <c r="M92" s="51">
        <f t="shared" si="18"/>
        <v>2.0710168272549732</v>
      </c>
      <c r="N92" s="94">
        <f t="shared" si="20"/>
        <v>19781119194.655083</v>
      </c>
      <c r="O92" s="56">
        <f t="shared" si="21"/>
        <v>119.04743977916795</v>
      </c>
      <c r="P92" s="57">
        <f t="shared" si="19"/>
        <v>117.76516021453934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5"/>
        <v>10.25657891091222</v>
      </c>
      <c r="K93" s="51">
        <f t="shared" si="16"/>
        <v>2.0794975434591132</v>
      </c>
      <c r="L93" s="55">
        <f t="shared" si="17"/>
        <v>4.8245158438508231E-3</v>
      </c>
      <c r="M93" s="51">
        <f t="shared" si="18"/>
        <v>2.0746730276152623</v>
      </c>
      <c r="N93" s="94">
        <f t="shared" si="20"/>
        <v>18054227510.019547</v>
      </c>
      <c r="O93" s="56">
        <f t="shared" si="21"/>
        <v>120.08742803768753</v>
      </c>
      <c r="P93" s="57">
        <f t="shared" si="19"/>
        <v>118.76077625687023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5"/>
        <v>10.212915325537171</v>
      </c>
      <c r="K94" s="51">
        <f t="shared" si="16"/>
        <v>2.0836551025878469</v>
      </c>
      <c r="L94" s="55">
        <f t="shared" si="17"/>
        <v>4.9858272108459604E-3</v>
      </c>
      <c r="M94" s="51">
        <f t="shared" si="18"/>
        <v>2.0786692753770009</v>
      </c>
      <c r="N94" s="94">
        <f t="shared" si="20"/>
        <v>16327335825.384008</v>
      </c>
      <c r="O94" s="56">
        <f t="shared" si="21"/>
        <v>121.2425613396767</v>
      </c>
      <c r="P94" s="57">
        <f t="shared" si="19"/>
        <v>119.85862062523009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5"/>
        <v>10.164366067081863</v>
      </c>
      <c r="K95" s="51">
        <f t="shared" si="16"/>
        <v>2.0882778657198795</v>
      </c>
      <c r="L95" s="55">
        <f t="shared" si="17"/>
        <v>5.1961840763284535E-3</v>
      </c>
      <c r="M95" s="51">
        <f t="shared" si="18"/>
        <v>2.0830816816435509</v>
      </c>
      <c r="N95" s="94">
        <f t="shared" si="20"/>
        <v>14600444140.748463</v>
      </c>
      <c r="O95" s="56">
        <f t="shared" si="21"/>
        <v>122.53999710052076</v>
      </c>
      <c r="P95" s="57">
        <f t="shared" si="19"/>
        <v>121.08258429709275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5"/>
        <v>10.109698406981932</v>
      </c>
      <c r="K96" s="51">
        <f t="shared" si="16"/>
        <v>2.0934832107996004</v>
      </c>
      <c r="L96" s="55">
        <f t="shared" si="17"/>
        <v>5.4675327040346151E-3</v>
      </c>
      <c r="M96" s="51">
        <f t="shared" si="18"/>
        <v>2.0880156780955659</v>
      </c>
      <c r="N96" s="94">
        <f t="shared" si="20"/>
        <v>12873552456.112953</v>
      </c>
      <c r="O96" s="56">
        <f t="shared" si="21"/>
        <v>124.01756807830188</v>
      </c>
      <c r="P96" s="57">
        <f t="shared" si="19"/>
        <v>122.46604088904596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5"/>
        <v>10.047144784359919</v>
      </c>
      <c r="K97" s="51">
        <f t="shared" si="16"/>
        <v>2.0994394414328306</v>
      </c>
      <c r="L97" s="55">
        <f t="shared" si="17"/>
        <v>5.8164431131602018E-3</v>
      </c>
      <c r="M97" s="51">
        <f t="shared" si="18"/>
        <v>2.0936229983196704</v>
      </c>
      <c r="N97" s="94">
        <f t="shared" si="20"/>
        <v>11146660771.477396</v>
      </c>
      <c r="O97" s="56">
        <f t="shared" si="21"/>
        <v>125.73015224427245</v>
      </c>
      <c r="P97" s="57">
        <f t="shared" si="19"/>
        <v>124.05749236773755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5"/>
        <v>9.9740402567695714</v>
      </c>
      <c r="K98" s="51">
        <f t="shared" si="16"/>
        <v>2.1064003081006581</v>
      </c>
      <c r="L98" s="55">
        <f t="shared" si="17"/>
        <v>6.2672936872867104E-3</v>
      </c>
      <c r="M98" s="51">
        <f t="shared" si="18"/>
        <v>2.1001330144133714</v>
      </c>
      <c r="N98" s="94">
        <f t="shared" si="20"/>
        <v>9419769086.8418636</v>
      </c>
      <c r="O98" s="56">
        <f t="shared" si="21"/>
        <v>127.76159003469455</v>
      </c>
      <c r="P98" s="57">
        <f t="shared" si="19"/>
        <v>125.93110507524497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5"/>
        <v>9.8860888113446066</v>
      </c>
      <c r="K99" s="51">
        <f t="shared" si="16"/>
        <v>2.1147748685420655</v>
      </c>
      <c r="L99" s="55">
        <f t="shared" si="17"/>
        <v>6.8587804319482403E-3</v>
      </c>
      <c r="M99" s="51">
        <f t="shared" si="18"/>
        <v>2.1079160881101173</v>
      </c>
      <c r="N99" s="94">
        <f t="shared" si="20"/>
        <v>7692877402.2063637</v>
      </c>
      <c r="O99" s="56">
        <f t="shared" si="21"/>
        <v>130.24914122679903</v>
      </c>
      <c r="P99" s="57">
        <f t="shared" si="19"/>
        <v>128.20828420270215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5"/>
        <v>9.7756822093365372</v>
      </c>
      <c r="K100" s="51">
        <f t="shared" si="16"/>
        <v>2.1252875640092004</v>
      </c>
      <c r="L100" s="55">
        <f t="shared" si="17"/>
        <v>7.6589133308454923E-3</v>
      </c>
      <c r="M100" s="51">
        <f t="shared" si="18"/>
        <v>2.117628650678355</v>
      </c>
      <c r="N100" s="94">
        <f t="shared" si="20"/>
        <v>5965985717.5708532</v>
      </c>
      <c r="O100" s="56">
        <f t="shared" si="21"/>
        <v>133.44047032382352</v>
      </c>
      <c r="P100" s="57">
        <f t="shared" si="19"/>
        <v>131.10783644558296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5"/>
        <v>9.6272730503337254</v>
      </c>
      <c r="K101" s="51">
        <f t="shared" si="16"/>
        <v>2.1394187868233594</v>
      </c>
      <c r="L101" s="55">
        <f t="shared" si="17"/>
        <v>8.806423468095962E-3</v>
      </c>
      <c r="M101" s="51">
        <f t="shared" si="18"/>
        <v>2.1306123633552634</v>
      </c>
      <c r="N101" s="94">
        <f t="shared" si="20"/>
        <v>4239094032.9352994</v>
      </c>
      <c r="O101" s="56">
        <f t="shared" si="21"/>
        <v>137.85381418872288</v>
      </c>
      <c r="P101" s="57">
        <f t="shared" si="19"/>
        <v>135.08662871293419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5"/>
        <v>9.4000546172350514</v>
      </c>
      <c r="K102" s="51">
        <f t="shared" si="16"/>
        <v>2.161054070839358</v>
      </c>
      <c r="L102" s="55">
        <f t="shared" si="17"/>
        <v>1.0666217832437163E-2</v>
      </c>
      <c r="M102" s="51">
        <f t="shared" si="18"/>
        <v>2.1503878530069209</v>
      </c>
      <c r="N102" s="94">
        <f>10^$J102</f>
        <v>2512202348.2997799</v>
      </c>
      <c r="O102" s="56">
        <f t="shared" si="21"/>
        <v>144.89522407938932</v>
      </c>
      <c r="P102" s="57">
        <f t="shared" si="19"/>
        <v>141.37995952947179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11.24353749985543</v>
      </c>
      <c r="K104" s="51">
        <f t="shared" si="16"/>
        <v>1.9855213237809202</v>
      </c>
      <c r="L104" s="55">
        <f t="shared" si="17"/>
        <v>8.6231303070858425E-3</v>
      </c>
      <c r="M104" s="51">
        <f>+$I$14+$I$13*J104+L104</f>
        <v>1.994144454088006</v>
      </c>
      <c r="N104" s="94">
        <f t="shared" ref="N104:N167" si="22">10^$J104</f>
        <v>175201370811.85229</v>
      </c>
      <c r="O104" s="56">
        <f t="shared" ref="O104:O167" si="23">10^K104</f>
        <v>96.721121538081348</v>
      </c>
      <c r="P104" s="57">
        <f t="shared" ref="P104:P167" si="24">10^M104</f>
        <v>98.660759433754194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5">LOG($I$24+($I$25-$I$24)*(ROW()-104)/100)</f>
        <v>11.239235592155891</v>
      </c>
      <c r="K105" s="51">
        <f t="shared" si="16"/>
        <v>1.9859309428141159</v>
      </c>
      <c r="L105" s="55">
        <f t="shared" si="17"/>
        <v>8.5892239378144736E-3</v>
      </c>
      <c r="M105" s="51">
        <f t="shared" ref="M105:M168" si="26">+$I$14+$I$13*J105+L105</f>
        <v>1.9945201667519303</v>
      </c>
      <c r="N105" s="94">
        <f t="shared" si="22"/>
        <v>173474479127.21735</v>
      </c>
      <c r="O105" s="56">
        <f t="shared" si="23"/>
        <v>96.812390259444243</v>
      </c>
      <c r="P105" s="57">
        <f t="shared" si="24"/>
        <v>98.74614881105299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5"/>
        <v>11.234890645191657</v>
      </c>
      <c r="K106" s="51">
        <f t="shared" si="16"/>
        <v>1.986344659959876</v>
      </c>
      <c r="L106" s="55">
        <f t="shared" si="17"/>
        <v>8.5550294307461215E-3</v>
      </c>
      <c r="M106" s="51">
        <f t="shared" si="26"/>
        <v>1.9948996893906221</v>
      </c>
      <c r="N106" s="94">
        <f t="shared" si="22"/>
        <v>171747587442.58179</v>
      </c>
      <c r="O106" s="56">
        <f t="shared" si="23"/>
        <v>96.904659517053275</v>
      </c>
      <c r="P106" s="57">
        <f t="shared" si="24"/>
        <v>98.832479124441406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5"/>
        <v>11.230501789063082</v>
      </c>
      <c r="K107" s="51">
        <f t="shared" si="16"/>
        <v>1.9867625580483019</v>
      </c>
      <c r="L107" s="55">
        <f t="shared" si="17"/>
        <v>8.5205421085145956E-3</v>
      </c>
      <c r="M107" s="51">
        <f t="shared" si="26"/>
        <v>1.9952831001568165</v>
      </c>
      <c r="N107" s="94">
        <f t="shared" si="22"/>
        <v>170020695757.94635</v>
      </c>
      <c r="O107" s="56">
        <f t="shared" si="23"/>
        <v>96.997950506455382</v>
      </c>
      <c r="P107" s="57">
        <f t="shared" si="24"/>
        <v>98.919770512871352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5"/>
        <v>11.226068127227729</v>
      </c>
      <c r="K108" s="51">
        <f t="shared" si="16"/>
        <v>1.9871847224463688</v>
      </c>
      <c r="L108" s="55">
        <f t="shared" si="17"/>
        <v>8.4857571899654115E-3</v>
      </c>
      <c r="M108" s="51">
        <f t="shared" si="26"/>
        <v>1.9956704796363343</v>
      </c>
      <c r="N108" s="94">
        <f t="shared" si="22"/>
        <v>168293804073.31088</v>
      </c>
      <c r="O108" s="56">
        <f t="shared" si="23"/>
        <v>97.092285093290911</v>
      </c>
      <c r="P108" s="57">
        <f t="shared" si="24"/>
        <v>99.008043760387267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5"/>
        <v>11.221588735401133</v>
      </c>
      <c r="K109" s="51">
        <f t="shared" si="16"/>
        <v>1.9876112411625912</v>
      </c>
      <c r="L109" s="55">
        <f t="shared" si="17"/>
        <v>8.4506697876909655E-3</v>
      </c>
      <c r="M109" s="51">
        <f t="shared" si="26"/>
        <v>1.9960619109502822</v>
      </c>
      <c r="N109" s="94">
        <f t="shared" si="22"/>
        <v>166566912388.67511</v>
      </c>
      <c r="O109" s="56">
        <f t="shared" si="23"/>
        <v>97.187685841611994</v>
      </c>
      <c r="P109" s="57">
        <f t="shared" si="24"/>
        <v>99.097320323808447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5"/>
        <v>11.217062660400289</v>
      </c>
      <c r="K110" s="51">
        <f t="shared" si="16"/>
        <v>1.9880422049571458</v>
      </c>
      <c r="L110" s="55">
        <f t="shared" si="17"/>
        <v>8.4152749055417479E-3</v>
      </c>
      <c r="M110" s="51">
        <f t="shared" si="26"/>
        <v>1.9964574798626875</v>
      </c>
      <c r="N110" s="94">
        <f t="shared" si="22"/>
        <v>164840020704.03937</v>
      </c>
      <c r="O110" s="56">
        <f t="shared" si="23"/>
        <v>97.284176043706481</v>
      </c>
      <c r="P110" s="57">
        <f t="shared" si="24"/>
        <v>99.187622361907344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5"/>
        <v>11.212488918926244</v>
      </c>
      <c r="K111" s="51">
        <f t="shared" si="16"/>
        <v>1.9884777074577893</v>
      </c>
      <c r="L111" s="55">
        <f t="shared" si="17"/>
        <v>8.3795674361192684E-3</v>
      </c>
      <c r="M111" s="51">
        <f t="shared" si="26"/>
        <v>1.9968572748939086</v>
      </c>
      <c r="N111" s="94">
        <f t="shared" si="22"/>
        <v>163113129019.40356</v>
      </c>
      <c r="O111" s="56">
        <f t="shared" si="23"/>
        <v>97.381779751521606</v>
      </c>
      <c r="P111" s="57">
        <f t="shared" si="24"/>
        <v>99.278972766182008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5"/>
        <v>11.207866496281875</v>
      </c>
      <c r="K112" s="51">
        <f t="shared" si="16"/>
        <v>1.9889178452819483</v>
      </c>
      <c r="L112" s="55">
        <f t="shared" si="17"/>
        <v>8.3435421582572361E-3</v>
      </c>
      <c r="M112" s="51">
        <f t="shared" si="26"/>
        <v>1.9972613874402054</v>
      </c>
      <c r="N112" s="94">
        <f t="shared" si="22"/>
        <v>161386237334.76877</v>
      </c>
      <c r="O112" s="56">
        <f t="shared" si="23"/>
        <v>97.480521809794126</v>
      </c>
      <c r="P112" s="57">
        <f t="shared" si="24"/>
        <v>99.371395193327331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5"/>
        <v>11.203194345020721</v>
      </c>
      <c r="K113" s="51">
        <f t="shared" si="16"/>
        <v>1.989362718165377</v>
      </c>
      <c r="L113" s="55">
        <f t="shared" si="17"/>
        <v>8.3071937344990233E-3</v>
      </c>
      <c r="M113" s="51">
        <f t="shared" si="26"/>
        <v>1.997669911899876</v>
      </c>
      <c r="N113" s="94">
        <f t="shared" si="22"/>
        <v>159659345650.13315</v>
      </c>
      <c r="O113" s="56">
        <f t="shared" si="23"/>
        <v>97.580427890996702</v>
      </c>
      <c r="P113" s="57">
        <f t="shared" si="24"/>
        <v>99.464914099521025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5"/>
        <v>11.198471383522326</v>
      </c>
      <c r="K114" s="51">
        <f t="shared" si="16"/>
        <v>1.9898124290978085</v>
      </c>
      <c r="L114" s="55">
        <f t="shared" si="17"/>
        <v>8.2705167085803527E-3</v>
      </c>
      <c r="M114" s="51">
        <f t="shared" si="26"/>
        <v>1.9980829458063889</v>
      </c>
      <c r="N114" s="94">
        <f t="shared" si="22"/>
        <v>157932453965.49744</v>
      </c>
      <c r="O114" s="56">
        <f t="shared" si="23"/>
        <v>97.681524532222113</v>
      </c>
      <c r="P114" s="57">
        <f t="shared" si="24"/>
        <v>99.559554776643267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5"/>
        <v>11.193696494489265</v>
      </c>
      <c r="K115" s="51">
        <f t="shared" si="16"/>
        <v>1.990267084466065</v>
      </c>
      <c r="L115" s="55">
        <f t="shared" si="17"/>
        <v>8.2335055029277831E-3</v>
      </c>
      <c r="M115" s="51">
        <f t="shared" si="26"/>
        <v>1.9985005899689927</v>
      </c>
      <c r="N115" s="94">
        <f t="shared" si="22"/>
        <v>156205562280.8616</v>
      </c>
      <c r="O115" s="56">
        <f t="shared" si="23"/>
        <v>97.783839174134414</v>
      </c>
      <c r="P115" s="57">
        <f t="shared" si="24"/>
        <v>99.655343390565633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5"/>
        <v>11.188868523360622</v>
      </c>
      <c r="K116" s="51">
        <f t="shared" si="16"/>
        <v>1.9907267942051243</v>
      </c>
      <c r="L116" s="55">
        <f t="shared" si="17"/>
        <v>8.1961544161853056E-3</v>
      </c>
      <c r="M116" s="51">
        <f t="shared" si="26"/>
        <v>1.9989229486213096</v>
      </c>
      <c r="N116" s="94">
        <f t="shared" si="22"/>
        <v>154478670596.22659</v>
      </c>
      <c r="O116" s="56">
        <f t="shared" si="23"/>
        <v>97.887400202128433</v>
      </c>
      <c r="P116" s="57">
        <f t="shared" si="24"/>
        <v>99.752307021651504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5"/>
        <v>11.183986276636286</v>
      </c>
      <c r="K117" s="51">
        <f t="shared" si="16"/>
        <v>1.9911916719576757</v>
      </c>
      <c r="L117" s="55">
        <f t="shared" si="17"/>
        <v>8.1584576207831133E-3</v>
      </c>
      <c r="M117" s="51">
        <f t="shared" si="26"/>
        <v>1.9993501295784588</v>
      </c>
      <c r="N117" s="94">
        <f t="shared" si="22"/>
        <v>152751778911.59088</v>
      </c>
      <c r="O117" s="56">
        <f t="shared" si="23"/>
        <v>97.992236989847385</v>
      </c>
      <c r="P117" s="57">
        <f t="shared" si="24"/>
        <v>99.850473707621418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5"/>
        <v>11.179048520105994</v>
      </c>
      <c r="K118" s="51">
        <f t="shared" si="16"/>
        <v>1.9916618352427484</v>
      </c>
      <c r="L118" s="55">
        <f t="shared" si="17"/>
        <v>8.1204091605649852E-3</v>
      </c>
      <c r="M118" s="51">
        <f t="shared" si="26"/>
        <v>1.9997822444033133</v>
      </c>
      <c r="N118" s="94">
        <f t="shared" si="22"/>
        <v>151024887226.95514</v>
      </c>
      <c r="O118" s="56">
        <f t="shared" si="23"/>
        <v>98.098379945223826</v>
      </c>
      <c r="P118" s="57">
        <f t="shared" si="24"/>
        <v>99.949872488952408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5"/>
        <v>11.174053976976507</v>
      </c>
      <c r="K119" s="51">
        <f t="shared" si="16"/>
        <v>1.9921374056340364</v>
      </c>
      <c r="L119" s="55">
        <f t="shared" si="17"/>
        <v>8.0820029484928602E-3</v>
      </c>
      <c r="M119" s="51">
        <f t="shared" si="26"/>
        <v>2.0002194085825291</v>
      </c>
      <c r="N119" s="94">
        <f t="shared" si="22"/>
        <v>149297995542.31961</v>
      </c>
      <c r="O119" s="56">
        <f t="shared" si="23"/>
        <v>98.205860559219062</v>
      </c>
      <c r="P119" s="57">
        <f t="shared" si="24"/>
        <v>100.05053345699226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5"/>
        <v>11.169001325889877</v>
      </c>
      <c r="K120" s="51">
        <f t="shared" si="16"/>
        <v>1.9926185089485968</v>
      </c>
      <c r="L120" s="55">
        <f t="shared" si="17"/>
        <v>8.0432327644505038E-3</v>
      </c>
      <c r="M120" s="51">
        <f t="shared" si="26"/>
        <v>2.0006617417130474</v>
      </c>
      <c r="N120" s="94">
        <f t="shared" si="22"/>
        <v>147571103857.68439</v>
      </c>
      <c r="O120" s="56">
        <f t="shared" si="23"/>
        <v>98.31471145745455</v>
      </c>
      <c r="P120" s="57">
        <f t="shared" si="24"/>
        <v>100.15248780498503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5"/>
        <v>11.163889198825025</v>
      </c>
      <c r="K121" s="51">
        <f t="shared" si="16"/>
        <v>1.9931052754466561</v>
      </c>
      <c r="L121" s="55">
        <f t="shared" si="17"/>
        <v>8.0040922531707127E-3</v>
      </c>
      <c r="M121" s="51">
        <f t="shared" si="26"/>
        <v>2.0011093676998266</v>
      </c>
      <c r="N121" s="94">
        <f t="shared" si="22"/>
        <v>145844212173.0488</v>
      </c>
      <c r="O121" s="56">
        <f t="shared" si="23"/>
        <v>98.424966454941</v>
      </c>
      <c r="P121" s="57">
        <f t="shared" si="24"/>
        <v>100.25576788222192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5"/>
        <v>11.158716178874382</v>
      </c>
      <c r="K122" s="51">
        <f t="shared" si="16"/>
        <v>1.9935978400433145</v>
      </c>
      <c r="L122" s="55">
        <f t="shared" si="17"/>
        <v>7.9645749223148481E-3</v>
      </c>
      <c r="M122" s="51">
        <f t="shared" si="26"/>
        <v>2.0015624149656293</v>
      </c>
      <c r="N122" s="94">
        <f t="shared" si="22"/>
        <v>144117320488.41299</v>
      </c>
      <c r="O122" s="56">
        <f t="shared" si="23"/>
        <v>98.536660614131776</v>
      </c>
      <c r="P122" s="57">
        <f t="shared" si="24"/>
        <v>100.36040725154972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5"/>
        <v>11.153480797886479</v>
      </c>
      <c r="K123" s="51">
        <f t="shared" si="16"/>
        <v>1.9940963425330136</v>
      </c>
      <c r="L123" s="55">
        <f t="shared" si="17"/>
        <v>7.9246741407370761E-3</v>
      </c>
      <c r="M123" s="51">
        <f t="shared" si="26"/>
        <v>2.0020210166737509</v>
      </c>
      <c r="N123" s="94">
        <f t="shared" si="22"/>
        <v>142390428803.77774</v>
      </c>
      <c r="O123" s="56">
        <f t="shared" si="23"/>
        <v>98.64983030654362</v>
      </c>
      <c r="P123" s="57">
        <f t="shared" si="24"/>
        <v>100.46644075048881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5"/>
        <v>11.148181533964712</v>
      </c>
      <c r="K124" s="51">
        <f t="shared" si="16"/>
        <v>1.9946009278276995</v>
      </c>
      <c r="L124" s="55">
        <f t="shared" si="17"/>
        <v>7.8843831369707577E-3</v>
      </c>
      <c r="M124" s="51">
        <f t="shared" si="26"/>
        <v>2.0024853109646701</v>
      </c>
      <c r="N124" s="94">
        <f t="shared" si="22"/>
        <v>140663537119.14206</v>
      </c>
      <c r="O124" s="56">
        <f t="shared" si="23"/>
        <v>98.764513278211695</v>
      </c>
      <c r="P124" s="57">
        <f t="shared" si="24"/>
        <v>100.57390455623543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5"/>
        <v>11.142816808811615</v>
      </c>
      <c r="K125" s="51">
        <f t="shared" si="16"/>
        <v>1.995111746209695</v>
      </c>
      <c r="L125" s="55">
        <f t="shared" si="17"/>
        <v>7.8436949979797856E-3</v>
      </c>
      <c r="M125" s="51">
        <f t="shared" si="26"/>
        <v>2.0029554412076749</v>
      </c>
      <c r="N125" s="94">
        <f t="shared" si="22"/>
        <v>138936645434.50671</v>
      </c>
      <c r="O125" s="56">
        <f t="shared" si="23"/>
        <v>98.880748719266165</v>
      </c>
      <c r="P125" s="57">
        <f t="shared" si="24"/>
        <v>100.68283625484874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5"/>
        <v>11.137384984907046</v>
      </c>
      <c r="K126" s="51">
        <f t="shared" si="16"/>
        <v>1.9956289536003877</v>
      </c>
      <c r="L126" s="55">
        <f t="shared" si="17"/>
        <v>7.8026026682238812E-3</v>
      </c>
      <c r="M126" s="51">
        <f t="shared" si="26"/>
        <v>2.0034315562686116</v>
      </c>
      <c r="N126" s="94">
        <f t="shared" si="22"/>
        <v>137209753749.87106</v>
      </c>
      <c r="O126" s="56">
        <f t="shared" si="23"/>
        <v>98.998577337946116</v>
      </c>
      <c r="P126" s="57">
        <f t="shared" si="24"/>
        <v>100.79327491494753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5"/>
        <v>11.13188436250765</v>
      </c>
      <c r="K127" s="51">
        <f t="shared" si="16"/>
        <v>1.9961527118459348</v>
      </c>
      <c r="L127" s="55">
        <f t="shared" si="17"/>
        <v>7.7610989490937447E-3</v>
      </c>
      <c r="M127" s="51">
        <f t="shared" si="26"/>
        <v>2.0039138107950287</v>
      </c>
      <c r="N127" s="94">
        <f t="shared" si="22"/>
        <v>135482862065.2357</v>
      </c>
      <c r="O127" s="56">
        <f t="shared" si="23"/>
        <v>99.118041439393153</v>
      </c>
      <c r="P127" s="57">
        <f t="shared" si="24"/>
        <v>100.90526116627593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5"/>
        <v>11.126313176453861</v>
      </c>
      <c r="K128" s="51">
        <f t="shared" si="16"/>
        <v>1.9966831890212937</v>
      </c>
      <c r="L128" s="55">
        <f t="shared" si="17"/>
        <v>7.7191764987803169E-3</v>
      </c>
      <c r="M128" s="51">
        <f t="shared" si="26"/>
        <v>2.004402365520074</v>
      </c>
      <c r="N128" s="94">
        <f t="shared" si="22"/>
        <v>133755970380.60014</v>
      </c>
      <c r="O128" s="56">
        <f t="shared" si="23"/>
        <v>99.23918500959789</v>
      </c>
      <c r="P128" s="57">
        <f t="shared" si="24"/>
        <v>101.01883728352519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5"/>
        <v>11.120669592769429</v>
      </c>
      <c r="K129" s="51">
        <f t="shared" si="16"/>
        <v>1.9972205597540094</v>
      </c>
      <c r="L129" s="55">
        <f t="shared" si="17"/>
        <v>7.6768278326515742E-3</v>
      </c>
      <c r="M129" s="51">
        <f t="shared" si="26"/>
        <v>2.0048973875866611</v>
      </c>
      <c r="N129" s="94">
        <f t="shared" si="22"/>
        <v>132029078695.96454</v>
      </c>
      <c r="O129" s="56">
        <f t="shared" si="23"/>
        <v>99.362053804909493</v>
      </c>
      <c r="P129" s="57">
        <f t="shared" si="24"/>
        <v>101.13404727584221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5"/>
        <v>11.114951705037074</v>
      </c>
      <c r="K130" s="51">
        <f t="shared" ref="K130:K193" si="27">+$I$14+$I$13*J130</f>
        <v>1.9977650055693161</v>
      </c>
      <c r="L130" s="55">
        <f t="shared" ref="L130:L193" si="28">SQRT(2*$I$20*$I$17)*SQRT((1/$I$2)+((J130-$I$11)^2/$I$8))</f>
        <v>7.6340453242206641E-3</v>
      </c>
      <c r="M130" s="51">
        <f t="shared" si="26"/>
        <v>2.0053990508935366</v>
      </c>
      <c r="N130" s="94">
        <f t="shared" si="22"/>
        <v>130302187011.32869</v>
      </c>
      <c r="O130" s="56">
        <f t="shared" si="23"/>
        <v>99.486695447552876</v>
      </c>
      <c r="P130" s="57">
        <f t="shared" si="24"/>
        <v>101.25093698248865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5"/>
        <v>11.109157530532352</v>
      </c>
      <c r="K131" s="51">
        <f t="shared" si="27"/>
        <v>1.9983167152582633</v>
      </c>
      <c r="L131" s="55">
        <f t="shared" si="28"/>
        <v>7.5908212068017582E-3</v>
      </c>
      <c r="M131" s="51">
        <f t="shared" si="26"/>
        <v>2.0059075364650649</v>
      </c>
      <c r="N131" s="94">
        <f t="shared" si="22"/>
        <v>128575295326.69328</v>
      </c>
      <c r="O131" s="56">
        <f t="shared" si="23"/>
        <v>99.613159527644228</v>
      </c>
      <c r="P131" s="57">
        <f t="shared" si="24"/>
        <v>101.36955417516899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5"/>
        <v>11.103285006096119</v>
      </c>
      <c r="K132" s="51">
        <f t="shared" si="27"/>
        <v>1.9988758852707313</v>
      </c>
      <c r="L132" s="55">
        <f t="shared" si="28"/>
        <v>7.547147575963517E-3</v>
      </c>
      <c r="M132" s="51">
        <f t="shared" si="26"/>
        <v>2.006423032846695</v>
      </c>
      <c r="N132" s="94">
        <f t="shared" si="22"/>
        <v>126848403642.05811</v>
      </c>
      <c r="O132" s="56">
        <f t="shared" si="23"/>
        <v>99.741497712239976</v>
      </c>
      <c r="P132" s="57">
        <f t="shared" si="24"/>
        <v>101.48994866758642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5"/>
        <v>11.097331983724068</v>
      </c>
      <c r="K133" s="51">
        <f t="shared" si="27"/>
        <v>1.9994427201353877</v>
      </c>
      <c r="L133" s="55">
        <f t="shared" si="28"/>
        <v>7.5030163929063519E-3</v>
      </c>
      <c r="M133" s="51">
        <f t="shared" si="26"/>
        <v>2.0069457365282939</v>
      </c>
      <c r="N133" s="94">
        <f t="shared" si="22"/>
        <v>125121511957.42249</v>
      </c>
      <c r="O133" s="56">
        <f t="shared" si="23"/>
        <v>99.87176386200764</v>
      </c>
      <c r="P133" s="57">
        <f t="shared" si="24"/>
        <v>101.61217243285179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5"/>
        <v>11.091296225849794</v>
      </c>
      <c r="K134" s="51">
        <f t="shared" si="27"/>
        <v>2.0000174329088232</v>
      </c>
      <c r="L134" s="55">
        <f t="shared" si="28"/>
        <v>7.4584194889081596E-3</v>
      </c>
      <c r="M134" s="51">
        <f t="shared" si="26"/>
        <v>2.0074758523977314</v>
      </c>
      <c r="N134" s="94">
        <f t="shared" si="22"/>
        <v>123394620272.78706</v>
      </c>
      <c r="O134" s="56">
        <f t="shared" si="23"/>
        <v>100.00401415616354</v>
      </c>
      <c r="P134" s="57">
        <f t="shared" si="24"/>
        <v>101.73627972942606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5"/>
        <v>11.0851754002954</v>
      </c>
      <c r="K135" s="51">
        <f t="shared" si="27"/>
        <v>2.0006002456563441</v>
      </c>
      <c r="L135" s="55">
        <f t="shared" si="28"/>
        <v>7.4133485710039058E-3</v>
      </c>
      <c r="M135" s="51">
        <f t="shared" si="26"/>
        <v>2.0080135942273478</v>
      </c>
      <c r="N135" s="94">
        <f t="shared" si="22"/>
        <v>121667728588.15132</v>
      </c>
      <c r="O135" s="56">
        <f t="shared" si="23"/>
        <v>100.1383072263902</v>
      </c>
      <c r="P135" s="57">
        <f t="shared" si="24"/>
        <v>101.86232723634998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5"/>
        <v>11.078967074861195</v>
      </c>
      <c r="K136" s="51">
        <f t="shared" si="27"/>
        <v>2.0011913899671336</v>
      </c>
      <c r="L136" s="55">
        <f t="shared" si="28"/>
        <v>7.3677952290895831E-3</v>
      </c>
      <c r="M136" s="51">
        <f t="shared" si="26"/>
        <v>2.0085591851962232</v>
      </c>
      <c r="N136" s="94">
        <f t="shared" si="22"/>
        <v>119940836903.51579</v>
      </c>
      <c r="O136" s="56">
        <f t="shared" si="23"/>
        <v>100.27470430051532</v>
      </c>
      <c r="P136" s="57">
        <f t="shared" si="24"/>
        <v>101.99037419859656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5"/>
        <v>11.07266871152302</v>
      </c>
      <c r="K137" s="51">
        <f t="shared" si="27"/>
        <v>2.0017911075067674</v>
      </c>
      <c r="L137" s="55">
        <f t="shared" si="28"/>
        <v>7.3217509446685336E-3</v>
      </c>
      <c r="M137" s="51">
        <f t="shared" si="26"/>
        <v>2.0091128584514357</v>
      </c>
      <c r="N137" s="94">
        <f t="shared" si="22"/>
        <v>118213945218.88004</v>
      </c>
      <c r="O137" s="56">
        <f t="shared" si="23"/>
        <v>100.41326935681411</v>
      </c>
      <c r="P137" s="57">
        <f t="shared" si="24"/>
        <v>102.1204825834613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5"/>
        <v>11.066277660202594</v>
      </c>
      <c r="K138" s="51">
        <f t="shared" si="27"/>
        <v>2.00239965061039</v>
      </c>
      <c r="L138" s="55">
        <f t="shared" si="28"/>
        <v>7.2752071014911789E-3</v>
      </c>
      <c r="M138" s="51">
        <f t="shared" si="26"/>
        <v>2.009674857711881</v>
      </c>
      <c r="N138" s="94">
        <f t="shared" si="22"/>
        <v>116487053534.2449</v>
      </c>
      <c r="O138" s="56">
        <f t="shared" si="23"/>
        <v>100.55406928989274</v>
      </c>
      <c r="P138" s="57">
        <f t="shared" si="24"/>
        <v>102.25271724901503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5"/>
        <v>11.059791152072588</v>
      </c>
      <c r="K139" s="51">
        <f t="shared" si="27"/>
        <v>2.0030172829201942</v>
      </c>
      <c r="L139" s="55">
        <f t="shared" si="28"/>
        <v>7.2281549983764784E-3</v>
      </c>
      <c r="M139" s="51">
        <f t="shared" si="26"/>
        <v>2.0102454379185706</v>
      </c>
      <c r="N139" s="94">
        <f t="shared" si="22"/>
        <v>114760161849.60899</v>
      </c>
      <c r="O139" s="56">
        <f t="shared" si="23"/>
        <v>100.69717408920388</v>
      </c>
      <c r="P139" s="57">
        <f t="shared" si="24"/>
        <v>102.38714612574651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5"/>
        <v>11.053206292354108</v>
      </c>
      <c r="K140" s="51">
        <f t="shared" si="27"/>
        <v>2.0036442800712262</v>
      </c>
      <c r="L140" s="55">
        <f t="shared" si="28"/>
        <v>7.1805858645471194E-3</v>
      </c>
      <c r="M140" s="51">
        <f t="shared" si="26"/>
        <v>2.0108248659357733</v>
      </c>
      <c r="N140" s="94">
        <f t="shared" si="22"/>
        <v>113033270164.97372</v>
      </c>
      <c r="O140" s="56">
        <f t="shared" si="23"/>
        <v>100.84265703136522</v>
      </c>
      <c r="P140" s="57">
        <f t="shared" si="24"/>
        <v>102.5238404126512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5"/>
        <v>11.046520052559686</v>
      </c>
      <c r="K141" s="51">
        <f t="shared" si="27"/>
        <v>2.0042809304299962</v>
      </c>
      <c r="L141" s="55">
        <f t="shared" si="28"/>
        <v>7.1324908778607988E-3</v>
      </c>
      <c r="M141" s="51">
        <f t="shared" si="26"/>
        <v>2.0114134213078572</v>
      </c>
      <c r="N141" s="94">
        <f t="shared" si="22"/>
        <v>111306378480.33832</v>
      </c>
      <c r="O141" s="56">
        <f t="shared" si="23"/>
        <v>100.99059488757656</v>
      </c>
      <c r="P141" s="57">
        <f t="shared" si="24"/>
        <v>102.66287478916517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5"/>
        <v>11.03972926212975</v>
      </c>
      <c r="K142" s="51">
        <f t="shared" si="27"/>
        <v>2.0049275358908347</v>
      </c>
      <c r="L142" s="55">
        <f t="shared" si="28"/>
        <v>7.083861186378668E-3</v>
      </c>
      <c r="M142" s="51">
        <f t="shared" si="26"/>
        <v>2.0120113970772135</v>
      </c>
      <c r="N142" s="94">
        <f t="shared" si="22"/>
        <v>109579486795.70238</v>
      </c>
      <c r="O142" s="56">
        <f t="shared" si="23"/>
        <v>101.14106814757572</v>
      </c>
      <c r="P142" s="57">
        <f t="shared" si="24"/>
        <v>102.80432764449903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5"/>
        <v>11.032830599404784</v>
      </c>
      <c r="K143" s="51">
        <f t="shared" si="27"/>
        <v>2.0055844127355069</v>
      </c>
      <c r="L143" s="55">
        <f t="shared" si="28"/>
        <v>7.0346879337799661E-3</v>
      </c>
      <c r="M143" s="51">
        <f t="shared" si="26"/>
        <v>2.0126191006692871</v>
      </c>
      <c r="N143" s="94">
        <f t="shared" si="22"/>
        <v>107852595111.06685</v>
      </c>
      <c r="O143" s="56">
        <f t="shared" si="23"/>
        <v>101.29416126173589</v>
      </c>
      <c r="P143" s="57">
        <f t="shared" si="24"/>
        <v>102.94828132611167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5"/>
        <v>11.025820581868782</v>
      </c>
      <c r="K144" s="51">
        <f t="shared" si="27"/>
        <v>2.0062518925622106</v>
      </c>
      <c r="L144" s="55">
        <f t="shared" si="28"/>
        <v>6.9849622892110006E-3</v>
      </c>
      <c r="M144" s="51">
        <f t="shared" si="26"/>
        <v>2.0132368548514217</v>
      </c>
      <c r="N144" s="94">
        <f t="shared" si="22"/>
        <v>106125703426.43127</v>
      </c>
      <c r="O144" s="56">
        <f t="shared" si="23"/>
        <v>101.44996290309106</v>
      </c>
      <c r="P144" s="57">
        <f t="shared" si="24"/>
        <v>103.09482240926509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5"/>
        <v>11.018695555592316</v>
      </c>
      <c r="K145" s="51">
        <f t="shared" si="27"/>
        <v>2.0069303232907854</v>
      </c>
      <c r="L145" s="55">
        <f t="shared" si="28"/>
        <v>6.9346754822493277E-3</v>
      </c>
      <c r="M145" s="51">
        <f t="shared" si="26"/>
        <v>2.0138649987730348</v>
      </c>
      <c r="N145" s="94">
        <f t="shared" si="22"/>
        <v>104398811741.7959</v>
      </c>
      <c r="O145" s="56">
        <f t="shared" si="23"/>
        <v>101.60856625128352</v>
      </c>
      <c r="P145" s="57">
        <f t="shared" si="24"/>
        <v>103.24404198983859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5"/>
        <v>11.011451683795061</v>
      </c>
      <c r="K146" s="51">
        <f t="shared" si="27"/>
        <v>2.0076200702517681</v>
      </c>
      <c r="L146" s="55">
        <f t="shared" si="28"/>
        <v>6.8838188437713305E-3</v>
      </c>
      <c r="M146" s="51">
        <f t="shared" si="26"/>
        <v>2.0145038890955393</v>
      </c>
      <c r="N146" s="94">
        <f t="shared" si="22"/>
        <v>102671920057.16043</v>
      </c>
      <c r="O146" s="56">
        <f t="shared" si="23"/>
        <v>101.77006930066541</v>
      </c>
      <c r="P146" s="57">
        <f t="shared" si="24"/>
        <v>103.39603600284495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5"/>
        <v>11.004084934438175</v>
      </c>
      <c r="K147" s="51">
        <f t="shared" si="27"/>
        <v>2.0083215173678202</v>
      </c>
      <c r="L147" s="55">
        <f t="shared" si="28"/>
        <v>6.8323838536379407E-3</v>
      </c>
      <c r="M147" s="51">
        <f t="shared" si="26"/>
        <v>2.0151539012214581</v>
      </c>
      <c r="N147" s="94">
        <f t="shared" si="22"/>
        <v>100945028372.52495</v>
      </c>
      <c r="O147" s="56">
        <f t="shared" si="23"/>
        <v>101.93457519505213</v>
      </c>
      <c r="P147" s="57">
        <f t="shared" si="24"/>
        <v>103.55090556939199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5"/>
        <v>10.996591066746062</v>
      </c>
      <c r="K148" s="51">
        <f t="shared" si="27"/>
        <v>2.0090350684370981</v>
      </c>
      <c r="L148" s="55">
        <f t="shared" si="28"/>
        <v>6.7803621962602943E-3</v>
      </c>
      <c r="M148" s="51">
        <f t="shared" si="26"/>
        <v>2.0158154306333582</v>
      </c>
      <c r="N148" s="94">
        <f t="shared" si="22"/>
        <v>99218136687.889435</v>
      </c>
      <c r="O148" s="56">
        <f t="shared" si="23"/>
        <v>102.10219259193539</v>
      </c>
      <c r="P148" s="57">
        <f t="shared" si="24"/>
        <v>103.70875737518438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5"/>
        <v>10.988965616544718</v>
      </c>
      <c r="K149" s="51">
        <f t="shared" si="27"/>
        <v>2.0097611485293072</v>
      </c>
      <c r="L149" s="55">
        <f t="shared" si="28"/>
        <v>6.7277458252808552E-3</v>
      </c>
      <c r="M149" s="51">
        <f t="shared" si="26"/>
        <v>2.016488894354588</v>
      </c>
      <c r="N149" s="94">
        <f t="shared" si="22"/>
        <v>97491245003.253876</v>
      </c>
      <c r="O149" s="56">
        <f t="shared" si="23"/>
        <v>102.27303605930965</v>
      </c>
      <c r="P149" s="57">
        <f t="shared" si="24"/>
        <v>103.86970408405665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5"/>
        <v>10.981203880289756</v>
      </c>
      <c r="K150" s="51">
        <f t="shared" si="27"/>
        <v>2.010500205506522</v>
      </c>
      <c r="L150" s="55">
        <f t="shared" si="28"/>
        <v>6.6745270388084248E-3</v>
      </c>
      <c r="M150" s="51">
        <f t="shared" si="26"/>
        <v>2.0171747325453304</v>
      </c>
      <c r="N150" s="94">
        <f t="shared" si="22"/>
        <v>95764353318.618408</v>
      </c>
      <c r="O150" s="56">
        <f t="shared" si="23"/>
        <v>102.44722650867052</v>
      </c>
      <c r="P150" s="57">
        <f t="shared" si="24"/>
        <v>104.03386479048319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5"/>
        <v>10.973300897640982</v>
      </c>
      <c r="K151" s="51">
        <f t="shared" si="27"/>
        <v>2.0112527116823986</v>
      </c>
      <c r="L151" s="55">
        <f t="shared" si="28"/>
        <v>6.6206985668849959E-3</v>
      </c>
      <c r="M151" s="51">
        <f t="shared" si="26"/>
        <v>2.0178734102492837</v>
      </c>
      <c r="N151" s="94">
        <f t="shared" si="22"/>
        <v>94037461633.982697</v>
      </c>
      <c r="O151" s="56">
        <f t="shared" si="23"/>
        <v>102.62489166819896</v>
      </c>
      <c r="P151" s="57">
        <f t="shared" si="24"/>
        <v>104.20136551553969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5"/>
        <v>10.965251432421917</v>
      </c>
      <c r="K152" s="51">
        <f t="shared" si="27"/>
        <v>2.0120191656351718</v>
      </c>
      <c r="L152" s="55">
        <f t="shared" si="28"/>
        <v>6.5662536731448508E-3</v>
      </c>
      <c r="M152" s="51">
        <f t="shared" si="26"/>
        <v>2.0185854193083168</v>
      </c>
      <c r="N152" s="94">
        <f t="shared" si="22"/>
        <v>92310569949.347382</v>
      </c>
      <c r="O152" s="56">
        <f t="shared" si="23"/>
        <v>102.80616660067733</v>
      </c>
      <c r="P152" s="57">
        <f t="shared" si="24"/>
        <v>104.37233975139918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5"/>
        <v>10.95704995178118</v>
      </c>
      <c r="K153" s="51">
        <f t="shared" si="27"/>
        <v>2.0128000941918658</v>
      </c>
      <c r="L153" s="55">
        <f t="shared" si="28"/>
        <v>6.5111862729587879E-3</v>
      </c>
      <c r="M153" s="51">
        <f t="shared" si="26"/>
        <v>2.0193112804648248</v>
      </c>
      <c r="N153" s="94">
        <f t="shared" si="22"/>
        <v>90583678264.711868</v>
      </c>
      <c r="O153" s="56">
        <f t="shared" si="23"/>
        <v>102.99119427129064</v>
      </c>
      <c r="P153" s="57">
        <f t="shared" si="24"/>
        <v>104.54692906014493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5"/>
        <v>10.948690603348073</v>
      </c>
      <c r="K154" s="51">
        <f t="shared" si="27"/>
        <v>2.0135960546034948</v>
      </c>
      <c r="L154" s="55">
        <f t="shared" si="28"/>
        <v>6.4554910707513083E-3</v>
      </c>
      <c r="M154" s="51">
        <f t="shared" si="26"/>
        <v>2.0200515456742463</v>
      </c>
      <c r="N154" s="94">
        <f t="shared" si="22"/>
        <v>88856786580.076294</v>
      </c>
      <c r="O154" s="56">
        <f t="shared" si="23"/>
        <v>103.18012617117384</v>
      </c>
      <c r="P154" s="57">
        <f t="shared" si="24"/>
        <v>104.72528373350264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5"/>
        <v>10.940167190146118</v>
      </c>
      <c r="K155" s="51">
        <f t="shared" si="27"/>
        <v>2.0144076369337451</v>
      </c>
      <c r="L155" s="55">
        <f t="shared" si="28"/>
        <v>6.3991637196449611E-3</v>
      </c>
      <c r="M155" s="51">
        <f t="shared" si="26"/>
        <v>2.0208068006533901</v>
      </c>
      <c r="N155" s="94">
        <f t="shared" si="22"/>
        <v>87129894895.44075</v>
      </c>
      <c r="O155" s="56">
        <f t="shared" si="23"/>
        <v>103.37312300337742</v>
      </c>
      <c r="P155" s="57">
        <f t="shared" si="24"/>
        <v>104.90756352103951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5"/>
        <v>10.931473142995184</v>
      </c>
      <c r="K156" s="51">
        <f t="shared" si="27"/>
        <v>2.0152354666867884</v>
      </c>
      <c r="L156" s="55">
        <f t="shared" si="28"/>
        <v>6.3422010071407216E-3</v>
      </c>
      <c r="M156" s="51">
        <f t="shared" si="26"/>
        <v>2.0215776676939292</v>
      </c>
      <c r="N156" s="94">
        <f t="shared" si="22"/>
        <v>85403003210.80513</v>
      </c>
      <c r="O156" s="56">
        <f t="shared" si="23"/>
        <v>103.5703554388794</v>
      </c>
      <c r="P156" s="57">
        <f t="shared" si="24"/>
        <v>105.09393843548749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5"/>
        <v>10.922601490094358</v>
      </c>
      <c r="K157" s="51">
        <f t="shared" si="27"/>
        <v>2.0160802077035411</v>
      </c>
      <c r="L157" s="55">
        <f t="shared" si="28"/>
        <v>6.2846010712026392E-3</v>
      </c>
      <c r="M157" s="51">
        <f t="shared" si="26"/>
        <v>2.0223648087747437</v>
      </c>
      <c r="N157" s="94">
        <f t="shared" si="22"/>
        <v>83676111526.169617</v>
      </c>
      <c r="O157" s="56">
        <f t="shared" si="23"/>
        <v>103.77200495137478</v>
      </c>
      <c r="P157" s="57">
        <f t="shared" si="24"/>
        <v>105.28458964514061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5"/>
        <v>10.913544823432698</v>
      </c>
      <c r="K158" s="51">
        <f t="shared" si="27"/>
        <v>2.0169425653599649</v>
      </c>
      <c r="L158" s="55">
        <f t="shared" si="28"/>
        <v>6.2263636519000352E-3</v>
      </c>
      <c r="M158" s="51">
        <f t="shared" si="26"/>
        <v>2.0231689290118648</v>
      </c>
      <c r="N158" s="94">
        <f t="shared" si="22"/>
        <v>81949219841.534241</v>
      </c>
      <c r="O158" s="56">
        <f t="shared" si="23"/>
        <v>103.97826474086543</v>
      </c>
      <c r="P158" s="57">
        <f t="shared" si="24"/>
        <v>105.47971046479735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5"/>
        <v>10.904295261622467</v>
      </c>
      <c r="K159" s="51">
        <f t="shared" si="27"/>
        <v>2.0178232901060111</v>
      </c>
      <c r="L159" s="55">
        <f t="shared" si="28"/>
        <v>6.1674903846983776E-3</v>
      </c>
      <c r="M159" s="51">
        <f t="shared" si="26"/>
        <v>2.0239907804907094</v>
      </c>
      <c r="N159" s="94">
        <f t="shared" si="22"/>
        <v>80222328156.898529</v>
      </c>
      <c r="O159" s="56">
        <f t="shared" si="23"/>
        <v>104.18934075759471</v>
      </c>
      <c r="P159" s="57">
        <f t="shared" si="24"/>
        <v>105.67950745850091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5"/>
        <v>10.894844408687611</v>
      </c>
      <c r="K160" s="51">
        <f t="shared" si="27"/>
        <v>2.0187231813897002</v>
      </c>
      <c r="L160" s="55">
        <f t="shared" si="28"/>
        <v>6.1079851426100781E-3</v>
      </c>
      <c r="M160" s="51">
        <f t="shared" si="26"/>
        <v>2.0248311665323104</v>
      </c>
      <c r="N160" s="94">
        <f t="shared" si="22"/>
        <v>78495436472.263153</v>
      </c>
      <c r="O160" s="56">
        <f t="shared" si="23"/>
        <v>104.40545283965068</v>
      </c>
      <c r="P160" s="57">
        <f t="shared" si="24"/>
        <v>105.88420166944553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5"/>
        <v>10.885183308267479</v>
      </c>
      <c r="K161" s="51">
        <f t="shared" si="27"/>
        <v>2.0196430920177519</v>
      </c>
      <c r="L161" s="55">
        <f t="shared" si="28"/>
        <v>6.0478544357584658E-3</v>
      </c>
      <c r="M161" s="51">
        <f t="shared" si="26"/>
        <v>2.0256909464535102</v>
      </c>
      <c r="N161" s="94">
        <f t="shared" si="22"/>
        <v>76768544787.627411</v>
      </c>
      <c r="O161" s="56">
        <f t="shared" si="23"/>
        <v>104.62683597967238</v>
      </c>
      <c r="P161" s="57">
        <f t="shared" si="24"/>
        <v>106.09402999490827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5"/>
        <v>10.875302392609809</v>
      </c>
      <c r="K162" s="51">
        <f t="shared" si="27"/>
        <v>2.0205839330123685</v>
      </c>
      <c r="L162" s="55">
        <f t="shared" si="28"/>
        <v>5.9871078785181065E-3</v>
      </c>
      <c r="M162" s="51">
        <f t="shared" si="26"/>
        <v>2.0265710408908868</v>
      </c>
      <c r="N162" s="94">
        <f t="shared" si="22"/>
        <v>75041653102.992065</v>
      </c>
      <c r="O162" s="56">
        <f t="shared" si="23"/>
        <v>104.85374173858214</v>
      </c>
      <c r="P162" s="57">
        <f t="shared" si="24"/>
        <v>106.30924672703323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5"/>
        <v>10.865191425624873</v>
      </c>
      <c r="K163" s="51">
        <f t="shared" si="27"/>
        <v>2.0215466790335088</v>
      </c>
      <c r="L163" s="55">
        <f t="shared" si="28"/>
        <v>5.9257587363280009E-3</v>
      </c>
      <c r="M163" s="51">
        <f t="shared" si="26"/>
        <v>2.0274724377698368</v>
      </c>
      <c r="N163" s="94">
        <f t="shared" si="22"/>
        <v>73314761418.356277</v>
      </c>
      <c r="O163" s="56">
        <f t="shared" si="23"/>
        <v>105.08643982724159</v>
      </c>
      <c r="P163" s="57">
        <f t="shared" si="24"/>
        <v>106.5301252838299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5"/>
        <v>10.854839439151245</v>
      </c>
      <c r="K164" s="51">
        <f t="shared" si="27"/>
        <v>2.0225323744475312</v>
      </c>
      <c r="L164" s="55">
        <f t="shared" si="28"/>
        <v>5.8638245666015982E-3</v>
      </c>
      <c r="M164" s="51">
        <f t="shared" si="26"/>
        <v>2.0283961990141326</v>
      </c>
      <c r="N164" s="94">
        <f t="shared" si="22"/>
        <v>71587869733.721008</v>
      </c>
      <c r="O164" s="56">
        <f t="shared" si="23"/>
        <v>105.32521988045505</v>
      </c>
      <c r="P164" s="57">
        <f t="shared" si="24"/>
        <v>106.75696015897459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5"/>
        <v>10.844234661438293</v>
      </c>
      <c r="K165" s="51">
        <f t="shared" si="27"/>
        <v>2.0235421401369491</v>
      </c>
      <c r="L165" s="55">
        <f t="shared" si="28"/>
        <v>5.8013279709604607E-3</v>
      </c>
      <c r="M165" s="51">
        <f t="shared" si="26"/>
        <v>2.0293434681079097</v>
      </c>
      <c r="N165" s="94">
        <f t="shared" si="22"/>
        <v>69860978049.085312</v>
      </c>
      <c r="O165" s="56">
        <f t="shared" si="23"/>
        <v>105.57039345199478</v>
      </c>
      <c r="P165" s="57">
        <f t="shared" si="24"/>
        <v>106.9900691240783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5"/>
        <v>10.83336443667625</v>
      </c>
      <c r="K166" s="51">
        <f t="shared" si="27"/>
        <v>2.0245771811626141</v>
      </c>
      <c r="L166" s="55">
        <f t="shared" si="28"/>
        <v>5.7382974794012503E-3</v>
      </c>
      <c r="M166" s="51">
        <f t="shared" si="26"/>
        <v>2.0303154786420152</v>
      </c>
      <c r="N166" s="94">
        <f t="shared" si="22"/>
        <v>68134086364.449661</v>
      </c>
      <c r="O166" s="56">
        <f t="shared" si="23"/>
        <v>105.82229626441175</v>
      </c>
      <c r="P166" s="57">
        <f t="shared" si="24"/>
        <v>107.22979572319731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5"/>
        <v>10.822215134194421</v>
      </c>
      <c r="K167" s="51">
        <f t="shared" si="27"/>
        <v>2.0256387954096851</v>
      </c>
      <c r="L167" s="55">
        <f t="shared" si="28"/>
        <v>5.6747685910892428E-3</v>
      </c>
      <c r="M167" s="51">
        <f t="shared" si="26"/>
        <v>2.0313135640007745</v>
      </c>
      <c r="N167" s="94">
        <f t="shared" si="22"/>
        <v>66407194679.814224</v>
      </c>
      <c r="O167" s="56">
        <f t="shared" si="23"/>
        <v>106.08129075356538</v>
      </c>
      <c r="P167" s="57">
        <f t="shared" si="24"/>
        <v>107.47651210676787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5"/>
        <v>10.810772045693639</v>
      </c>
      <c r="K168" s="51">
        <f t="shared" si="27"/>
        <v>2.0267283833729426</v>
      </c>
      <c r="L168" s="55">
        <f t="shared" si="28"/>
        <v>5.6107850014085209E-3</v>
      </c>
      <c r="M168" s="51">
        <f t="shared" si="26"/>
        <v>2.0323391683743512</v>
      </c>
      <c r="N168" s="94">
        <f t="shared" ref="N168:N204" si="29">10^$J168</f>
        <v>64680302995.178879</v>
      </c>
      <c r="O168" s="56">
        <f t="shared" ref="O168:O204" si="30">10^K168</f>
        <v>106.34776895527041</v>
      </c>
      <c r="P168" s="57">
        <f t="shared" ref="P168:P204" si="31">10^M168</f>
        <v>107.73062226111432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32">LOG($I$24+($I$25-$I$24)*(ROW()-104)/100)</f>
        <v>10.799019268569445</v>
      </c>
      <c r="K169" s="51">
        <f t="shared" si="27"/>
        <v>2.027847459266527</v>
      </c>
      <c r="L169" s="55">
        <f t="shared" si="28"/>
        <v>5.5464000508681126E-3</v>
      </c>
      <c r="M169" s="51">
        <f t="shared" ref="M169:M204" si="33">+$I$14+$I$13*J169+L169</f>
        <v>2.0333938593173952</v>
      </c>
      <c r="N169" s="94">
        <f t="shared" si="29"/>
        <v>62953411310.543442</v>
      </c>
      <c r="O169" s="56">
        <f t="shared" si="30"/>
        <v>106.62215579058881</v>
      </c>
      <c r="P169" s="57">
        <f t="shared" si="31"/>
        <v>107.99256570065567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32"/>
        <v>10.786939573003874</v>
      </c>
      <c r="K170" s="51">
        <f t="shared" si="27"/>
        <v>2.0289976636791875</v>
      </c>
      <c r="L170" s="55">
        <f t="shared" si="28"/>
        <v>5.4816784386837207E-3</v>
      </c>
      <c r="M170" s="51">
        <f t="shared" si="33"/>
        <v>2.0344793421178711</v>
      </c>
      <c r="N170" s="94">
        <f t="shared" si="29"/>
        <v>61226519625.907677</v>
      </c>
      <c r="O170" s="56">
        <f t="shared" si="30"/>
        <v>106.90491281745796</v>
      </c>
      <c r="P170" s="57">
        <f t="shared" si="31"/>
        <v>108.262821703339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32"/>
        <v>10.774514250038505</v>
      </c>
      <c r="K171" s="51">
        <f t="shared" si="27"/>
        <v>2.0301807780404664</v>
      </c>
      <c r="L171" s="55">
        <f t="shared" si="28"/>
        <v>5.416698252586033E-3</v>
      </c>
      <c r="M171" s="51">
        <f t="shared" si="33"/>
        <v>2.0355974762930522</v>
      </c>
      <c r="N171" s="94">
        <f t="shared" si="29"/>
        <v>59499627941.272408</v>
      </c>
      <c r="O171" s="56">
        <f t="shared" si="30"/>
        <v>107.19654253011902</v>
      </c>
      <c r="P171" s="57">
        <f t="shared" si="31"/>
        <v>108.54191418635996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32"/>
        <v>10.76172293726647</v>
      </c>
      <c r="K172" s="51">
        <f t="shared" si="27"/>
        <v>2.0313987412179531</v>
      </c>
      <c r="L172" s="55">
        <f t="shared" si="28"/>
        <v>5.3515533769580171E-3</v>
      </c>
      <c r="M172" s="51">
        <f t="shared" si="33"/>
        <v>2.0367502945949112</v>
      </c>
      <c r="N172" s="94">
        <f t="shared" si="29"/>
        <v>57772736256.636627</v>
      </c>
      <c r="O172" s="56">
        <f t="shared" si="30"/>
        <v>107.49759330485894</v>
      </c>
      <c r="P172" s="57">
        <f t="shared" si="31"/>
        <v>108.83041733963593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32"/>
        <v>10.748543418066571</v>
      </c>
      <c r="K173" s="51">
        <f t="shared" si="27"/>
        <v>2.0326536686338121</v>
      </c>
      <c r="L173" s="55">
        <f t="shared" si="28"/>
        <v>5.2863563541385933E-3</v>
      </c>
      <c r="M173" s="51">
        <f t="shared" si="33"/>
        <v>2.0379400249879507</v>
      </c>
      <c r="N173" s="94">
        <f t="shared" si="29"/>
        <v>56045844572.001205</v>
      </c>
      <c r="O173" s="56">
        <f t="shared" si="30"/>
        <v>107.80866511183555</v>
      </c>
      <c r="P173" s="57">
        <f t="shared" si="31"/>
        <v>109.12896215988324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32"/>
        <v>10.734951389409002</v>
      </c>
      <c r="K174" s="51">
        <f t="shared" si="27"/>
        <v>2.0339478743738564</v>
      </c>
      <c r="L174" s="55">
        <f t="shared" si="28"/>
        <v>5.2212417890686183E-3</v>
      </c>
      <c r="M174" s="51">
        <f t="shared" si="33"/>
        <v>2.0391691161629248</v>
      </c>
      <c r="N174" s="94">
        <f t="shared" si="29"/>
        <v>54318952887.365585</v>
      </c>
      <c r="O174" s="56">
        <f t="shared" si="30"/>
        <v>108.13041613940011</v>
      </c>
      <c r="P174" s="57">
        <f t="shared" si="31"/>
        <v>109.43824405983196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32"/>
        <v>10.720920192137466</v>
      </c>
      <c r="K175" s="51">
        <f t="shared" si="27"/>
        <v>2.0352838968695419</v>
      </c>
      <c r="L175" s="55">
        <f t="shared" si="28"/>
        <v>5.1563704058794502E-3</v>
      </c>
      <c r="M175" s="51">
        <f t="shared" si="33"/>
        <v>2.0404402672754212</v>
      </c>
      <c r="N175" s="94">
        <f t="shared" si="29"/>
        <v>52592061202.730034</v>
      </c>
      <c r="O175" s="56">
        <f t="shared" si="30"/>
        <v>108.46357051096331</v>
      </c>
      <c r="P175" s="57">
        <f t="shared" si="31"/>
        <v>109.75903176692323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32"/>
        <v>10.706420496207214</v>
      </c>
      <c r="K176" s="51">
        <f t="shared" si="27"/>
        <v>2.0366645288689726</v>
      </c>
      <c r="L176" s="55">
        <f t="shared" si="28"/>
        <v>5.0919338870696034E-3</v>
      </c>
      <c r="M176" s="51">
        <f t="shared" si="33"/>
        <v>2.0417564627560423</v>
      </c>
      <c r="N176" s="94">
        <f t="shared" si="29"/>
        <v>50865169518.094528</v>
      </c>
      <c r="O176" s="56">
        <f t="shared" si="30"/>
        <v>108.80892731719217</v>
      </c>
      <c r="P176" s="57">
        <f t="shared" si="31"/>
        <v>110.09217777612288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32"/>
        <v>10.691419931539016</v>
      </c>
      <c r="K177" s="51">
        <f t="shared" si="27"/>
        <v>2.0380928525862476</v>
      </c>
      <c r="L177" s="55">
        <f t="shared" si="28"/>
        <v>5.0281606521649473E-3</v>
      </c>
      <c r="M177" s="51">
        <f t="shared" si="33"/>
        <v>2.0431210132384128</v>
      </c>
      <c r="N177" s="94">
        <f t="shared" si="29"/>
        <v>49138277833.459129</v>
      </c>
      <c r="O177" s="56">
        <f t="shared" si="30"/>
        <v>109.16737124104428</v>
      </c>
      <c r="P177" s="57">
        <f t="shared" si="31"/>
        <v>110.4386306854263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32"/>
        <v>10.675882652808617</v>
      </c>
      <c r="K178" s="51">
        <f t="shared" si="27"/>
        <v>2.0395722811413326</v>
      </c>
      <c r="L178" s="55">
        <f t="shared" si="28"/>
        <v>4.9653227638234831E-3</v>
      </c>
      <c r="M178" s="51">
        <f t="shared" si="33"/>
        <v>2.0445376039051562</v>
      </c>
      <c r="N178" s="94">
        <f t="shared" si="29"/>
        <v>47411386148.823479</v>
      </c>
      <c r="O178" s="56">
        <f t="shared" si="30"/>
        <v>109.53988512374445</v>
      </c>
      <c r="P178" s="57">
        <f t="shared" si="31"/>
        <v>110.79944982447496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32"/>
        <v>10.659768823455332</v>
      </c>
      <c r="K179" s="51">
        <f t="shared" si="27"/>
        <v>2.041106607691733</v>
      </c>
      <c r="L179" s="55">
        <f t="shared" si="28"/>
        <v>4.9037441858408451E-3</v>
      </c>
      <c r="M179" s="51">
        <f t="shared" si="33"/>
        <v>2.0460103518775741</v>
      </c>
      <c r="N179" s="94">
        <f t="shared" si="29"/>
        <v>45684494464.187965</v>
      </c>
      <c r="O179" s="56">
        <f t="shared" si="30"/>
        <v>109.92756491168048</v>
      </c>
      <c r="P179" s="57">
        <f t="shared" si="31"/>
        <v>111.17582269226774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32"/>
        <v>10.643034000220974</v>
      </c>
      <c r="K180" s="51">
        <f t="shared" si="27"/>
        <v>2.0427000640354604</v>
      </c>
      <c r="L180" s="55">
        <f t="shared" si="28"/>
        <v>4.8438106600259857E-3</v>
      </c>
      <c r="M180" s="51">
        <f t="shared" si="33"/>
        <v>2.0475438746954864</v>
      </c>
      <c r="N180" s="94">
        <f t="shared" si="29"/>
        <v>43957602779.552589</v>
      </c>
      <c r="O180" s="56">
        <f t="shared" si="30"/>
        <v>110.33163754477664</v>
      </c>
      <c r="P180" s="57">
        <f t="shared" si="31"/>
        <v>111.56908585718222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32"/>
        <v>10.625628394283028</v>
      </c>
      <c r="K181" s="51">
        <f t="shared" si="27"/>
        <v>2.0443573909644535</v>
      </c>
      <c r="L181" s="55">
        <f t="shared" si="28"/>
        <v>4.7859815180021845E-3</v>
      </c>
      <c r="M181" s="51">
        <f t="shared" si="33"/>
        <v>2.0491433724824555</v>
      </c>
      <c r="N181" s="94">
        <f t="shared" si="29"/>
        <v>42230711094.916939</v>
      </c>
      <c r="O181" s="56">
        <f t="shared" si="30"/>
        <v>110.75348250673611</v>
      </c>
      <c r="P181" s="57">
        <f t="shared" si="31"/>
        <v>111.98075015260218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32"/>
        <v>10.607495978044271</v>
      </c>
      <c r="K182" s="51">
        <f t="shared" si="27"/>
        <v>2.0460839233142805</v>
      </c>
      <c r="L182" s="55">
        <f t="shared" si="28"/>
        <v>4.7308038002161022E-3</v>
      </c>
      <c r="M182" s="51">
        <f t="shared" si="33"/>
        <v>2.0508147271144965</v>
      </c>
      <c r="N182" s="94">
        <f t="shared" si="29"/>
        <v>40503819410.281525</v>
      </c>
      <c r="O182" s="56">
        <f t="shared" si="30"/>
        <v>111.19465797153806</v>
      </c>
      <c r="P182" s="57">
        <f t="shared" si="31"/>
        <v>112.4125312400966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32"/>
        <v>10.588573397196159</v>
      </c>
      <c r="K183" s="51">
        <f t="shared" si="27"/>
        <v>2.0478856935552834</v>
      </c>
      <c r="L183" s="55">
        <f t="shared" si="28"/>
        <v>4.6789291186053817E-3</v>
      </c>
      <c r="M183" s="51">
        <f t="shared" si="33"/>
        <v>2.0525646226738887</v>
      </c>
      <c r="N183" s="94">
        <f t="shared" si="29"/>
        <v>38776927725.645813</v>
      </c>
      <c r="O183" s="56">
        <f t="shared" si="30"/>
        <v>111.65693277028473</v>
      </c>
      <c r="P183" s="57">
        <f t="shared" si="31"/>
        <v>112.86638693204989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32"/>
        <v>10.568788634782399</v>
      </c>
      <c r="K184" s="51">
        <f t="shared" si="27"/>
        <v>2.0497695589977711</v>
      </c>
      <c r="L184" s="55">
        <f t="shared" si="28"/>
        <v>4.6311337730719866E-3</v>
      </c>
      <c r="M184" s="51">
        <f t="shared" si="33"/>
        <v>2.0544006927708431</v>
      </c>
      <c r="N184" s="94">
        <f t="shared" si="29"/>
        <v>37050036041.010391</v>
      </c>
      <c r="O184" s="56">
        <f t="shared" si="30"/>
        <v>112.14232579938873</v>
      </c>
      <c r="P184" s="57">
        <f t="shared" si="31"/>
        <v>113.34456310010506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32"/>
        <v>10.548059356169437</v>
      </c>
      <c r="K185" s="51">
        <f t="shared" si="27"/>
        <v>2.0517433593806098</v>
      </c>
      <c r="L185" s="55">
        <f t="shared" si="28"/>
        <v>4.5883427187866461E-3</v>
      </c>
      <c r="M185" s="51">
        <f t="shared" si="33"/>
        <v>2.0563317020993965</v>
      </c>
      <c r="N185" s="94">
        <f t="shared" si="29"/>
        <v>35323144356.374825</v>
      </c>
      <c r="O185" s="56">
        <f t="shared" si="30"/>
        <v>112.65315504186339</v>
      </c>
      <c r="P185" s="57">
        <f t="shared" si="31"/>
        <v>113.84965059436192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32"/>
        <v>10.526290838855774</v>
      </c>
      <c r="K186" s="51">
        <f t="shared" si="27"/>
        <v>2.0538161139906368</v>
      </c>
      <c r="L186" s="55">
        <f t="shared" si="28"/>
        <v>4.5516580897550663E-3</v>
      </c>
      <c r="M186" s="51">
        <f t="shared" si="33"/>
        <v>2.0583677720803917</v>
      </c>
      <c r="N186" s="94">
        <f t="shared" si="29"/>
        <v>33596252671.739349</v>
      </c>
      <c r="O186" s="56">
        <f t="shared" si="30"/>
        <v>113.19209914855529</v>
      </c>
      <c r="P186" s="57">
        <f t="shared" si="31"/>
        <v>114.38465643646704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32"/>
        <v>10.503373355517756</v>
      </c>
      <c r="K187" s="51">
        <f t="shared" si="27"/>
        <v>2.0559982708437938</v>
      </c>
      <c r="L187" s="55">
        <f t="shared" si="28"/>
        <v>4.5223931321129287E-3</v>
      </c>
      <c r="M187" s="51">
        <f t="shared" si="33"/>
        <v>2.0605206639759066</v>
      </c>
      <c r="N187" s="94">
        <f t="shared" si="29"/>
        <v>31869360987.103779</v>
      </c>
      <c r="O187" s="56">
        <f t="shared" si="30"/>
        <v>113.76227563360736</v>
      </c>
      <c r="P187" s="57">
        <f t="shared" si="31"/>
        <v>114.9530937447695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32"/>
        <v>10.479178827292104</v>
      </c>
      <c r="K188" s="51">
        <f t="shared" si="27"/>
        <v>2.0583020253528646</v>
      </c>
      <c r="L188" s="55">
        <f t="shared" si="28"/>
        <v>4.5021126254394753E-3</v>
      </c>
      <c r="M188" s="51">
        <f t="shared" si="33"/>
        <v>2.0628041379783042</v>
      </c>
      <c r="N188" s="94">
        <f t="shared" si="29"/>
        <v>30142469302.468231</v>
      </c>
      <c r="O188" s="56">
        <f t="shared" si="30"/>
        <v>114.36734134743466</v>
      </c>
      <c r="P188" s="57">
        <f t="shared" si="31"/>
        <v>115.55909658748934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32"/>
        <v>10.453556488594288</v>
      </c>
      <c r="K189" s="51">
        <f t="shared" si="27"/>
        <v>2.0607417331147815</v>
      </c>
      <c r="L189" s="55">
        <f t="shared" si="28"/>
        <v>4.4926812444921532E-3</v>
      </c>
      <c r="M189" s="51">
        <f t="shared" si="33"/>
        <v>2.0652344143592738</v>
      </c>
      <c r="N189" s="94">
        <f t="shared" si="29"/>
        <v>28415577617.832703</v>
      </c>
      <c r="O189" s="56">
        <f t="shared" si="30"/>
        <v>115.01162327137307</v>
      </c>
      <c r="P189" s="57">
        <f t="shared" si="31"/>
        <v>116.20756854119826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32"/>
        <v>10.426327191022027</v>
      </c>
      <c r="K190" s="51">
        <f t="shared" si="27"/>
        <v>2.0633344522815231</v>
      </c>
      <c r="L190" s="55">
        <f t="shared" si="28"/>
        <v>4.496321972643943E-3</v>
      </c>
      <c r="M190" s="51">
        <f t="shared" si="33"/>
        <v>2.0678307742541673</v>
      </c>
      <c r="N190" s="94">
        <f t="shared" si="29"/>
        <v>26688685933.197128</v>
      </c>
      <c r="O190" s="56">
        <f t="shared" si="30"/>
        <v>115.70029127336244</v>
      </c>
      <c r="P190" s="57">
        <f t="shared" si="31"/>
        <v>116.90437765426267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32"/>
        <v>10.397275799129106</v>
      </c>
      <c r="K191" s="51">
        <f t="shared" si="27"/>
        <v>2.0661006676193012</v>
      </c>
      <c r="L191" s="55">
        <f t="shared" si="28"/>
        <v>4.5156878661656193E-3</v>
      </c>
      <c r="M191" s="51">
        <f t="shared" si="33"/>
        <v>2.0706163554854666</v>
      </c>
      <c r="N191" s="94">
        <f t="shared" si="29"/>
        <v>24961794248.561642</v>
      </c>
      <c r="O191" s="56">
        <f t="shared" si="30"/>
        <v>116.4395900163931</v>
      </c>
      <c r="P191" s="57">
        <f t="shared" si="31"/>
        <v>117.65661661935549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32"/>
        <v>10.366140855595264</v>
      </c>
      <c r="K192" s="51">
        <f t="shared" si="27"/>
        <v>2.0690652745703764</v>
      </c>
      <c r="L192" s="55">
        <f t="shared" si="28"/>
        <v>4.5539526140969157E-3</v>
      </c>
      <c r="M192" s="51">
        <f t="shared" si="33"/>
        <v>2.0736192271844733</v>
      </c>
      <c r="N192" s="94">
        <f t="shared" si="29"/>
        <v>23234902563.926151</v>
      </c>
      <c r="O192" s="56">
        <f t="shared" si="30"/>
        <v>117.2371560048494</v>
      </c>
      <c r="P192" s="57">
        <f t="shared" si="31"/>
        <v>118.47295670383728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32"/>
        <v>10.332600247482162</v>
      </c>
      <c r="K193" s="51">
        <f t="shared" si="27"/>
        <v>2.0722589440834529</v>
      </c>
      <c r="L193" s="55">
        <f t="shared" si="28"/>
        <v>4.6149291850674278E-3</v>
      </c>
      <c r="M193" s="51">
        <f t="shared" si="33"/>
        <v>2.0768738732685201</v>
      </c>
      <c r="N193" s="94">
        <f t="shared" si="29"/>
        <v>21508010879.290581</v>
      </c>
      <c r="O193" s="56">
        <f t="shared" si="30"/>
        <v>118.10246008013389</v>
      </c>
      <c r="P193" s="57">
        <f t="shared" si="31"/>
        <v>119.3641399733059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32"/>
        <v>10.29625085987553</v>
      </c>
      <c r="K194" s="51">
        <f t="shared" ref="K194:K204" si="34">+$I$14+$I$13*J194</f>
        <v>2.0757200599531132</v>
      </c>
      <c r="L194" s="55">
        <f t="shared" ref="L194:L204" si="35">SQRT(2*$I$20*$I$17)*SQRT((1/$I$2)+((J194-$I$11)^2/$I$8))</f>
        <v>4.7032326981401289E-3</v>
      </c>
      <c r="M194" s="51">
        <f t="shared" si="33"/>
        <v>2.0804232926512531</v>
      </c>
      <c r="N194" s="94">
        <f t="shared" si="29"/>
        <v>19781119194.655083</v>
      </c>
      <c r="O194" s="56">
        <f t="shared" si="30"/>
        <v>119.04743977916795</v>
      </c>
      <c r="P194" s="57">
        <f t="shared" si="31"/>
        <v>120.34368137534183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32"/>
        <v>10.25657891091222</v>
      </c>
      <c r="K195" s="51">
        <f t="shared" si="34"/>
        <v>2.0794975434591132</v>
      </c>
      <c r="L195" s="55">
        <f t="shared" si="35"/>
        <v>4.8245158438508231E-3</v>
      </c>
      <c r="M195" s="51">
        <f t="shared" si="33"/>
        <v>2.0843220593029641</v>
      </c>
      <c r="N195" s="94">
        <f t="shared" si="29"/>
        <v>18054227510.019547</v>
      </c>
      <c r="O195" s="56">
        <f t="shared" si="30"/>
        <v>120.08742803768753</v>
      </c>
      <c r="P195" s="57">
        <f t="shared" si="31"/>
        <v>121.42889956794582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32"/>
        <v>10.212915325537171</v>
      </c>
      <c r="K196" s="51">
        <f t="shared" si="34"/>
        <v>2.0836551025878469</v>
      </c>
      <c r="L196" s="55">
        <f t="shared" si="35"/>
        <v>4.9858272108459604E-3</v>
      </c>
      <c r="M196" s="51">
        <f t="shared" si="33"/>
        <v>2.088640929798693</v>
      </c>
      <c r="N196" s="94">
        <f t="shared" si="29"/>
        <v>16327335825.384008</v>
      </c>
      <c r="O196" s="56">
        <f t="shared" si="30"/>
        <v>121.2425613396767</v>
      </c>
      <c r="P196" s="57">
        <f t="shared" si="31"/>
        <v>122.64248164650566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32"/>
        <v>10.164366067081863</v>
      </c>
      <c r="K197" s="51">
        <f t="shared" si="34"/>
        <v>2.0882778657198795</v>
      </c>
      <c r="L197" s="55">
        <f t="shared" si="35"/>
        <v>5.1961840763284535E-3</v>
      </c>
      <c r="M197" s="51">
        <f t="shared" si="33"/>
        <v>2.0934740497962081</v>
      </c>
      <c r="N197" s="94">
        <f t="shared" si="29"/>
        <v>14600444140.748463</v>
      </c>
      <c r="O197" s="56">
        <f t="shared" si="30"/>
        <v>122.53999710052076</v>
      </c>
      <c r="P197" s="57">
        <f t="shared" si="31"/>
        <v>124.01495208057096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32"/>
        <v>10.109698406981932</v>
      </c>
      <c r="K198" s="51">
        <f t="shared" si="34"/>
        <v>2.0934832107996004</v>
      </c>
      <c r="L198" s="55">
        <f t="shared" si="35"/>
        <v>5.4675327040346151E-3</v>
      </c>
      <c r="M198" s="51">
        <f t="shared" si="33"/>
        <v>2.098950743503635</v>
      </c>
      <c r="N198" s="94">
        <f t="shared" si="29"/>
        <v>12873552456.112953</v>
      </c>
      <c r="O198" s="56">
        <f t="shared" si="30"/>
        <v>124.01756807830188</v>
      </c>
      <c r="P198" s="57">
        <f t="shared" si="31"/>
        <v>125.58875162781523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32"/>
        <v>10.047144784359919</v>
      </c>
      <c r="K199" s="51">
        <f t="shared" si="34"/>
        <v>2.0994394414328306</v>
      </c>
      <c r="L199" s="55">
        <f t="shared" si="35"/>
        <v>5.8164431131602018E-3</v>
      </c>
      <c r="M199" s="51">
        <f t="shared" si="33"/>
        <v>2.1052558845459908</v>
      </c>
      <c r="N199" s="94">
        <f t="shared" si="29"/>
        <v>11146660771.477396</v>
      </c>
      <c r="O199" s="56">
        <f t="shared" si="30"/>
        <v>125.73015224427245</v>
      </c>
      <c r="P199" s="57">
        <f t="shared" si="31"/>
        <v>127.42536449559087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32"/>
        <v>9.9740402567695714</v>
      </c>
      <c r="K200" s="51">
        <f t="shared" si="34"/>
        <v>2.1064003081006581</v>
      </c>
      <c r="L200" s="55">
        <f t="shared" si="35"/>
        <v>6.2672936872867104E-3</v>
      </c>
      <c r="M200" s="51">
        <f t="shared" si="33"/>
        <v>2.1126676017879449</v>
      </c>
      <c r="N200" s="94">
        <f t="shared" si="29"/>
        <v>9419769086.8418636</v>
      </c>
      <c r="O200" s="56">
        <f t="shared" si="30"/>
        <v>127.76159003469455</v>
      </c>
      <c r="P200" s="57">
        <f t="shared" si="31"/>
        <v>129.61868220278217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32"/>
        <v>9.8860888113446066</v>
      </c>
      <c r="K201" s="51">
        <f t="shared" si="34"/>
        <v>2.1147748685420655</v>
      </c>
      <c r="L201" s="55">
        <f t="shared" si="35"/>
        <v>6.8587804319482403E-3</v>
      </c>
      <c r="M201" s="51">
        <f t="shared" si="33"/>
        <v>2.1216336489740137</v>
      </c>
      <c r="N201" s="94">
        <f t="shared" si="29"/>
        <v>7692877402.2063637</v>
      </c>
      <c r="O201" s="56">
        <f t="shared" si="30"/>
        <v>130.24914122679903</v>
      </c>
      <c r="P201" s="57">
        <f t="shared" si="31"/>
        <v>132.32248521083542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32"/>
        <v>9.7756822093365372</v>
      </c>
      <c r="K202" s="51">
        <f t="shared" si="34"/>
        <v>2.1252875640092004</v>
      </c>
      <c r="L202" s="55">
        <f t="shared" si="35"/>
        <v>7.6589133308454923E-3</v>
      </c>
      <c r="M202" s="51">
        <f t="shared" si="33"/>
        <v>2.1329464773400457</v>
      </c>
      <c r="N202" s="94">
        <f t="shared" si="29"/>
        <v>5965985717.5708532</v>
      </c>
      <c r="O202" s="56">
        <f t="shared" si="30"/>
        <v>133.44047032382352</v>
      </c>
      <c r="P202" s="57">
        <f t="shared" si="31"/>
        <v>135.81460577021906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32"/>
        <v>9.6272730503337254</v>
      </c>
      <c r="K203" s="51">
        <f t="shared" si="34"/>
        <v>2.1394187868233594</v>
      </c>
      <c r="L203" s="55">
        <f t="shared" si="35"/>
        <v>8.806423468095962E-3</v>
      </c>
      <c r="M203" s="51">
        <f t="shared" si="33"/>
        <v>2.1482252102914554</v>
      </c>
      <c r="N203" s="94">
        <f t="shared" si="29"/>
        <v>4239094032.9352994</v>
      </c>
      <c r="O203" s="56">
        <f t="shared" si="30"/>
        <v>137.85381418872288</v>
      </c>
      <c r="P203" s="57">
        <f t="shared" si="31"/>
        <v>140.67768414565072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32"/>
        <v>9.4000546172350514</v>
      </c>
      <c r="K204" s="51">
        <f t="shared" si="34"/>
        <v>2.161054070839358</v>
      </c>
      <c r="L204" s="55">
        <f t="shared" si="35"/>
        <v>1.0666217832437163E-2</v>
      </c>
      <c r="M204" s="51">
        <f t="shared" si="33"/>
        <v>2.171720288671795</v>
      </c>
      <c r="N204" s="97">
        <f t="shared" si="29"/>
        <v>2512202348.2997799</v>
      </c>
      <c r="O204" s="91">
        <f t="shared" si="30"/>
        <v>144.89522407938932</v>
      </c>
      <c r="P204" s="92">
        <f t="shared" si="31"/>
        <v>148.49789199890054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7" zoomScaleNormal="100" workbookViewId="0">
      <selection activeCell="B1" sqref="B1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G27 105L'!W7</f>
        <v>143360771.8532913</v>
      </c>
      <c r="B2" s="48">
        <f>'New Vestas G27 105L'!T7</f>
        <v>96.398686048416309</v>
      </c>
      <c r="C2" s="50">
        <f t="shared" ref="C2:D44" si="0">IF(ISNA(A2),"",LOG10(A2))</f>
        <v>8.1564303305624897</v>
      </c>
      <c r="D2" s="50">
        <f t="shared" si="0"/>
        <v>1.9840711143404728</v>
      </c>
      <c r="E2" s="51">
        <f>IF(C2="","",C2^2)</f>
        <v>66.527355737319724</v>
      </c>
      <c r="F2" s="51">
        <f>IF(D2="","",D2^2)</f>
        <v>3.9365381867602456</v>
      </c>
      <c r="G2" s="52">
        <f>IF(OR(C2="",D2=""),"",C2*D2)</f>
        <v>16.182937814999551</v>
      </c>
      <c r="H2" s="53" t="s">
        <v>57</v>
      </c>
      <c r="I2" s="54">
        <f>COUNT(C:C)</f>
        <v>51</v>
      </c>
      <c r="J2" s="51">
        <f t="shared" ref="J2:J65" si="1">LOG($I$24+($I$25-$I$24)*(ROW()-2)/100)</f>
        <v>8.25777973887846</v>
      </c>
      <c r="K2" s="51">
        <f t="shared" ref="K2:K65" si="2">+$I$14+$I$13*J2</f>
        <v>1.9888949384146797</v>
      </c>
      <c r="L2" s="55">
        <f t="shared" ref="L2:L65" si="3">SQRT(2*$I$20*$I$17)*SQRT((1/$I$2)+((J2-$I$11)^2/$I$8))</f>
        <v>1.0429824397905933E-2</v>
      </c>
      <c r="M2" s="51">
        <f t="shared" ref="M2:M65" si="4">+$I$14+$I$13*J2-L2</f>
        <v>1.9784651140167737</v>
      </c>
      <c r="N2" s="94">
        <f>10^$J2</f>
        <v>181042166.82283971</v>
      </c>
      <c r="O2" s="56">
        <f>10^K2</f>
        <v>97.47538033418401</v>
      </c>
      <c r="P2" s="57">
        <f t="shared" ref="P2:P65" si="5">10^M2</f>
        <v>95.16234030903307</v>
      </c>
      <c r="R2" s="47"/>
      <c r="S2" s="47"/>
      <c r="T2" s="47"/>
    </row>
    <row r="3" spans="1:20" ht="12.75" customHeight="1" x14ac:dyDescent="0.35">
      <c r="A3" s="49">
        <f>'New Vestas G27 105L'!W8</f>
        <v>147967373.63267833</v>
      </c>
      <c r="B3" s="48">
        <f>'New Vestas G27 105L'!T8</f>
        <v>93.377574558440898</v>
      </c>
      <c r="C3" s="50">
        <f t="shared" si="0"/>
        <v>8.1701659653048324</v>
      </c>
      <c r="D3" s="50">
        <f t="shared" si="0"/>
        <v>1.9702425891325317</v>
      </c>
      <c r="E3" s="51">
        <f t="shared" ref="E3:F44" si="6">IF(C3="","",C3^2)</f>
        <v>66.751611900625448</v>
      </c>
      <c r="F3" s="51">
        <f t="shared" si="6"/>
        <v>3.8818558600316622</v>
      </c>
      <c r="G3" s="52">
        <f t="shared" ref="G3:G44" si="7">IF(OR(C3="",D3=""),"",C3*D3)</f>
        <v>16.097208945124684</v>
      </c>
      <c r="H3" s="53" t="s">
        <v>58</v>
      </c>
      <c r="I3" s="58">
        <f>SUM(C:C)</f>
        <v>389.04889192969176</v>
      </c>
      <c r="J3" s="51">
        <f t="shared" si="1"/>
        <v>8.2535516743393185</v>
      </c>
      <c r="K3" s="51">
        <f t="shared" si="2"/>
        <v>1.9893818070942975</v>
      </c>
      <c r="L3" s="55">
        <f t="shared" si="3"/>
        <v>1.0379559266832282E-2</v>
      </c>
      <c r="M3" s="51">
        <f t="shared" si="4"/>
        <v>1.9790022478274651</v>
      </c>
      <c r="N3" s="94">
        <f t="shared" ref="N3:N66" si="8">10^$J3</f>
        <v>179288186.49407652</v>
      </c>
      <c r="O3" s="56">
        <f t="shared" ref="O3:O66" si="9">10^K3</f>
        <v>97.584717023985547</v>
      </c>
      <c r="P3" s="57">
        <f t="shared" si="5"/>
        <v>95.280109553215127</v>
      </c>
      <c r="R3" s="47"/>
      <c r="S3" s="47"/>
      <c r="T3" s="47"/>
    </row>
    <row r="4" spans="1:20" ht="12.75" customHeight="1" x14ac:dyDescent="0.35">
      <c r="A4" s="49">
        <f>'New Vestas G27 105L'!W9</f>
        <v>163653795.17679414</v>
      </c>
      <c r="B4" s="48">
        <f>'New Vestas G27 105L'!T9</f>
        <v>98.202523299837239</v>
      </c>
      <c r="C4" s="50">
        <f t="shared" si="0"/>
        <v>8.2139260811700119</v>
      </c>
      <c r="D4" s="50">
        <f t="shared" si="0"/>
        <v>1.9921226470651214</v>
      </c>
      <c r="E4" s="51">
        <f t="shared" si="6"/>
        <v>67.468581666924948</v>
      </c>
      <c r="F4" s="51">
        <f t="shared" si="6"/>
        <v>3.9685526409497465</v>
      </c>
      <c r="G4" s="52">
        <f t="shared" si="7"/>
        <v>16.363148167617645</v>
      </c>
      <c r="H4" s="59" t="s">
        <v>59</v>
      </c>
      <c r="I4" s="58">
        <f>SUM(D:D)</f>
        <v>105.12976564224323</v>
      </c>
      <c r="J4" s="51">
        <f t="shared" si="1"/>
        <v>8.2492820425607718</v>
      </c>
      <c r="K4" s="51">
        <f t="shared" si="2"/>
        <v>1.9898734623108227</v>
      </c>
      <c r="L4" s="55">
        <f t="shared" si="3"/>
        <v>1.0328898085642413E-2</v>
      </c>
      <c r="M4" s="51">
        <f t="shared" si="4"/>
        <v>1.9795445642251803</v>
      </c>
      <c r="N4" s="94">
        <f t="shared" si="8"/>
        <v>177534206.16531432</v>
      </c>
      <c r="O4" s="56">
        <f t="shared" si="9"/>
        <v>97.695253088494184</v>
      </c>
      <c r="P4" s="57">
        <f t="shared" si="5"/>
        <v>95.399162968656384</v>
      </c>
      <c r="R4" s="47"/>
      <c r="S4" s="47"/>
      <c r="T4" s="47"/>
    </row>
    <row r="5" spans="1:20" ht="12.75" customHeight="1" x14ac:dyDescent="0.35">
      <c r="A5" s="49">
        <f>'New Vestas G27 105L'!W10</f>
        <v>181042166.8228384</v>
      </c>
      <c r="B5" s="48">
        <f>'New Vestas G27 105L'!T10</f>
        <v>96.892645099435484</v>
      </c>
      <c r="C5" s="50">
        <f t="shared" si="0"/>
        <v>8.2577797388784582</v>
      </c>
      <c r="D5" s="50">
        <f t="shared" si="0"/>
        <v>1.9862908119944289</v>
      </c>
      <c r="E5" s="51">
        <f t="shared" si="6"/>
        <v>68.190926215831581</v>
      </c>
      <c r="F5" s="51">
        <f t="shared" si="6"/>
        <v>3.9453511898134876</v>
      </c>
      <c r="G5" s="52">
        <f t="shared" si="7"/>
        <v>16.402352022808035</v>
      </c>
      <c r="H5" s="59" t="s">
        <v>60</v>
      </c>
      <c r="I5" s="58">
        <f>SUM(E:E)</f>
        <v>2975.7557838792063</v>
      </c>
      <c r="J5" s="51">
        <f t="shared" si="1"/>
        <v>8.2449700181035706</v>
      </c>
      <c r="K5" s="51">
        <f t="shared" si="2"/>
        <v>1.9903699991149613</v>
      </c>
      <c r="L5" s="55">
        <f t="shared" si="3"/>
        <v>1.0277835448581442E-2</v>
      </c>
      <c r="M5" s="51">
        <f t="shared" si="4"/>
        <v>1.9800921636663797</v>
      </c>
      <c r="N5" s="94">
        <f t="shared" si="8"/>
        <v>175780225.83655134</v>
      </c>
      <c r="O5" s="56">
        <f t="shared" si="9"/>
        <v>97.807013730453377</v>
      </c>
      <c r="P5" s="57">
        <f t="shared" si="5"/>
        <v>95.519527097720953</v>
      </c>
      <c r="R5" s="47"/>
      <c r="S5" s="47"/>
      <c r="T5" s="47"/>
    </row>
    <row r="6" spans="1:20" ht="12.75" customHeight="1" x14ac:dyDescent="0.35">
      <c r="A6" s="49">
        <f>'New Vestas G27 105L'!W11</f>
        <v>166353579.1264399</v>
      </c>
      <c r="B6" s="48">
        <f>'New Vestas G27 105L'!T11</f>
        <v>91.075244856474768</v>
      </c>
      <c r="C6" s="50">
        <f t="shared" si="0"/>
        <v>8.2210321492273319</v>
      </c>
      <c r="D6" s="50">
        <f t="shared" si="0"/>
        <v>1.9594003475194754</v>
      </c>
      <c r="E6" s="51">
        <f t="shared" si="6"/>
        <v>67.58536959862937</v>
      </c>
      <c r="F6" s="51">
        <f t="shared" si="6"/>
        <v>3.8392497218594412</v>
      </c>
      <c r="G6" s="52">
        <f t="shared" si="7"/>
        <v>16.108293250164813</v>
      </c>
      <c r="H6" s="59" t="s">
        <v>61</v>
      </c>
      <c r="I6" s="58">
        <f>SUM(F:F)</f>
        <v>216.82832587299279</v>
      </c>
      <c r="J6" s="51">
        <f t="shared" si="1"/>
        <v>8.2406147506944212</v>
      </c>
      <c r="K6" s="51">
        <f t="shared" si="2"/>
        <v>1.9908715154170999</v>
      </c>
      <c r="L6" s="55">
        <f t="shared" si="3"/>
        <v>1.0226365879063809E-2</v>
      </c>
      <c r="M6" s="51">
        <f t="shared" si="4"/>
        <v>1.9806451495380362</v>
      </c>
      <c r="N6" s="94">
        <f t="shared" si="8"/>
        <v>174026245.50778905</v>
      </c>
      <c r="O6" s="56">
        <f t="shared" si="9"/>
        <v>97.920024940409689</v>
      </c>
      <c r="P6" s="57">
        <f t="shared" si="5"/>
        <v>95.641229292454838</v>
      </c>
      <c r="R6" s="47"/>
      <c r="S6" s="47"/>
      <c r="T6" s="47"/>
    </row>
    <row r="7" spans="1:20" ht="12.75" customHeight="1" x14ac:dyDescent="0.35">
      <c r="A7" s="49">
        <f>'New Vestas G27 105L'!W12</f>
        <v>133964625.96596989</v>
      </c>
      <c r="B7" s="48">
        <f>'New Vestas G27 105L'!T12</f>
        <v>98.226747141076572</v>
      </c>
      <c r="C7" s="50">
        <f t="shared" si="0"/>
        <v>8.1269901358580245</v>
      </c>
      <c r="D7" s="50">
        <f t="shared" si="0"/>
        <v>1.9922297622685781</v>
      </c>
      <c r="E7" s="51">
        <f t="shared" si="6"/>
        <v>66.047968668333638</v>
      </c>
      <c r="F7" s="51">
        <f t="shared" si="6"/>
        <v>3.968979425668715</v>
      </c>
      <c r="G7" s="52">
        <f t="shared" si="7"/>
        <v>16.190831626319511</v>
      </c>
      <c r="H7" s="59" t="s">
        <v>62</v>
      </c>
      <c r="I7" s="58">
        <f>SUM(G:G)</f>
        <v>801.05959696772175</v>
      </c>
      <c r="J7" s="51">
        <f t="shared" si="1"/>
        <v>8.2362153642196638</v>
      </c>
      <c r="K7" s="51">
        <f t="shared" si="2"/>
        <v>1.9913781121031873</v>
      </c>
      <c r="L7" s="55">
        <f t="shared" si="3"/>
        <v>1.0174483831301089E-2</v>
      </c>
      <c r="M7" s="51">
        <f t="shared" si="4"/>
        <v>1.9812036282718861</v>
      </c>
      <c r="N7" s="94">
        <f t="shared" si="8"/>
        <v>172272265.17902559</v>
      </c>
      <c r="O7" s="56">
        <f t="shared" si="9"/>
        <v>98.03431352957405</v>
      </c>
      <c r="P7" s="57">
        <f t="shared" si="5"/>
        <v>95.764297747289731</v>
      </c>
      <c r="R7" s="47"/>
      <c r="S7" s="47"/>
      <c r="T7" s="47"/>
    </row>
    <row r="8" spans="1:20" ht="12.75" customHeight="1" x14ac:dyDescent="0.35">
      <c r="A8" s="49">
        <f>'New Vestas G27 105L'!W13</f>
        <v>135432580.83983564</v>
      </c>
      <c r="B8" s="48">
        <f>'New Vestas G27 105L'!T13</f>
        <v>96.129287571603214</v>
      </c>
      <c r="C8" s="50">
        <f t="shared" si="0"/>
        <v>8.1317231545768571</v>
      </c>
      <c r="D8" s="50">
        <f t="shared" si="0"/>
        <v>1.9828557237032332</v>
      </c>
      <c r="E8" s="51">
        <f t="shared" si="6"/>
        <v>66.124921462681399</v>
      </c>
      <c r="F8" s="51">
        <f t="shared" si="6"/>
        <v>3.9317168210226723</v>
      </c>
      <c r="G8" s="52">
        <f t="shared" si="7"/>
        <v>16.124033800622833</v>
      </c>
      <c r="H8" s="53" t="s">
        <v>63</v>
      </c>
      <c r="I8" s="58">
        <f>+I5-I3^2/$I$2</f>
        <v>7.931464041540039</v>
      </c>
      <c r="J8" s="51">
        <f t="shared" si="1"/>
        <v>8.231770955667491</v>
      </c>
      <c r="K8" s="51">
        <f t="shared" si="2"/>
        <v>1.9918898931565385</v>
      </c>
      <c r="L8" s="55">
        <f t="shared" si="3"/>
        <v>1.0122183692284372E-2</v>
      </c>
      <c r="M8" s="51">
        <f t="shared" si="4"/>
        <v>1.9817677094642541</v>
      </c>
      <c r="N8" s="94">
        <f t="shared" si="8"/>
        <v>170518284.85026306</v>
      </c>
      <c r="O8" s="56">
        <f t="shared" si="9"/>
        <v>98.14990716440299</v>
      </c>
      <c r="P8" s="57">
        <f t="shared" si="5"/>
        <v>95.888761533391815</v>
      </c>
      <c r="R8" s="47"/>
      <c r="S8" s="47"/>
      <c r="T8" s="47"/>
    </row>
    <row r="9" spans="1:20" ht="12.75" customHeight="1" x14ac:dyDescent="0.35">
      <c r="A9" s="49">
        <f>'New Vestas G27 105L'!W14</f>
        <v>174439646.86936802</v>
      </c>
      <c r="B9" s="48">
        <f>'New Vestas G27 105L'!T14</f>
        <v>95.109421909382206</v>
      </c>
      <c r="C9" s="50">
        <f t="shared" si="0"/>
        <v>8.2416451988289516</v>
      </c>
      <c r="D9" s="50">
        <f t="shared" si="0"/>
        <v>1.9782235419696752</v>
      </c>
      <c r="E9" s="51">
        <f t="shared" si="6"/>
        <v>67.924715583380305</v>
      </c>
      <c r="F9" s="51">
        <f t="shared" si="6"/>
        <v>3.9133683820030472</v>
      </c>
      <c r="G9" s="52">
        <f t="shared" si="7"/>
        <v>16.303816556884776</v>
      </c>
      <c r="H9" s="59" t="s">
        <v>64</v>
      </c>
      <c r="I9" s="58">
        <f>+I6-I4^2/$I$2</f>
        <v>0.11719599077741805</v>
      </c>
      <c r="J9" s="51">
        <f t="shared" si="1"/>
        <v>8.227280594015447</v>
      </c>
      <c r="K9" s="51">
        <f t="shared" si="2"/>
        <v>1.9924069657859407</v>
      </c>
      <c r="L9" s="55">
        <f t="shared" si="3"/>
        <v>1.006945978416162E-2</v>
      </c>
      <c r="M9" s="51">
        <f t="shared" si="4"/>
        <v>1.9823375060017792</v>
      </c>
      <c r="N9" s="94">
        <f t="shared" si="8"/>
        <v>168764304.52150035</v>
      </c>
      <c r="O9" s="56">
        <f t="shared" si="9"/>
        <v>98.266834403011345</v>
      </c>
      <c r="P9" s="57">
        <f t="shared" si="5"/>
        <v>96.014650634754773</v>
      </c>
      <c r="R9" s="47"/>
      <c r="S9" s="47"/>
      <c r="T9" s="47"/>
    </row>
    <row r="10" spans="1:20" ht="12.75" customHeight="1" x14ac:dyDescent="0.35">
      <c r="A10" s="49">
        <f>'New Vestas G27 105L'!W15</f>
        <v>27260938.131927747</v>
      </c>
      <c r="B10" s="48">
        <f>'New Vestas G27 105L'!T15</f>
        <v>119.13563169228982</v>
      </c>
      <c r="C10" s="50">
        <f t="shared" si="0"/>
        <v>7.4355407971519583</v>
      </c>
      <c r="D10" s="50">
        <f t="shared" si="0"/>
        <v>2.07604167191933</v>
      </c>
      <c r="E10" s="51">
        <f t="shared" si="6"/>
        <v>55.287266946111181</v>
      </c>
      <c r="F10" s="51">
        <f t="shared" si="6"/>
        <v>4.3099490235456068</v>
      </c>
      <c r="G10" s="52">
        <f t="shared" si="7"/>
        <v>15.43649254814374</v>
      </c>
      <c r="H10" s="59" t="s">
        <v>65</v>
      </c>
      <c r="I10" s="58">
        <f>+I7-I3*I4/$I$2</f>
        <v>-0.9133213056685463</v>
      </c>
      <c r="J10" s="51">
        <f t="shared" si="1"/>
        <v>8.2227433190598358</v>
      </c>
      <c r="K10" s="51">
        <f t="shared" si="2"/>
        <v>1.9929294405604505</v>
      </c>
      <c r="L10" s="55">
        <f t="shared" si="3"/>
        <v>1.0016306367056416E-2</v>
      </c>
      <c r="M10" s="51">
        <f t="shared" si="4"/>
        <v>1.9829131341933941</v>
      </c>
      <c r="N10" s="94">
        <f t="shared" si="8"/>
        <v>167010324.19273844</v>
      </c>
      <c r="O10" s="56">
        <f t="shared" si="9"/>
        <v>98.385124733531299</v>
      </c>
      <c r="P10" s="57">
        <f t="shared" si="5"/>
        <v>96.141995986143201</v>
      </c>
      <c r="R10" s="47"/>
      <c r="S10" s="47"/>
      <c r="T10" s="47"/>
    </row>
    <row r="11" spans="1:20" ht="12.75" customHeight="1" x14ac:dyDescent="0.35">
      <c r="A11" s="49">
        <f>'New Vestas G27 105L'!W16</f>
        <v>31747904.435990606</v>
      </c>
      <c r="B11" s="48">
        <f>'New Vestas G27 105L'!T16</f>
        <v>114.99363409754525</v>
      </c>
      <c r="C11" s="50">
        <f t="shared" si="0"/>
        <v>7.5017150643706394</v>
      </c>
      <c r="D11" s="50">
        <f t="shared" si="0"/>
        <v>2.060673799024642</v>
      </c>
      <c r="E11" s="51">
        <f t="shared" si="6"/>
        <v>56.275728907005387</v>
      </c>
      <c r="F11" s="51">
        <f t="shared" si="6"/>
        <v>4.2463765059866505</v>
      </c>
      <c r="G11" s="52">
        <f t="shared" si="7"/>
        <v>15.458587680897033</v>
      </c>
      <c r="H11" s="59" t="s">
        <v>66</v>
      </c>
      <c r="I11" s="58">
        <f>+I3/$I$2</f>
        <v>7.6284096456802306</v>
      </c>
      <c r="J11" s="51">
        <f t="shared" si="1"/>
        <v>8.2181581401833128</v>
      </c>
      <c r="K11" s="51">
        <f t="shared" si="2"/>
        <v>1.9934574315513063</v>
      </c>
      <c r="L11" s="55">
        <f t="shared" si="3"/>
        <v>9.962717642378504E-3</v>
      </c>
      <c r="M11" s="51">
        <f t="shared" si="4"/>
        <v>1.9834947139089278</v>
      </c>
      <c r="N11" s="94">
        <f t="shared" si="8"/>
        <v>165256343.86397561</v>
      </c>
      <c r="O11" s="56">
        <f t="shared" si="9"/>
        <v>98.5048086145447</v>
      </c>
      <c r="P11" s="57">
        <f t="shared" si="5"/>
        <v>96.270829512999796</v>
      </c>
      <c r="R11" s="47"/>
      <c r="S11" s="47"/>
      <c r="T11" s="47"/>
    </row>
    <row r="12" spans="1:20" ht="12.75" customHeight="1" x14ac:dyDescent="0.35">
      <c r="A12" s="49">
        <f>'New Vestas G27 105L'!W17</f>
        <v>43673122.633376941</v>
      </c>
      <c r="B12" s="48">
        <f>'New Vestas G27 105L'!T17</f>
        <v>113.98806242714483</v>
      </c>
      <c r="C12" s="50">
        <f t="shared" si="0"/>
        <v>7.6402142451377655</v>
      </c>
      <c r="D12" s="50">
        <f t="shared" si="0"/>
        <v>2.0568593715690859</v>
      </c>
      <c r="E12" s="51">
        <f t="shared" si="6"/>
        <v>58.372873711606033</v>
      </c>
      <c r="F12" s="51">
        <f t="shared" si="6"/>
        <v>4.2306704744115748</v>
      </c>
      <c r="G12" s="52">
        <f t="shared" si="7"/>
        <v>15.714846270907243</v>
      </c>
      <c r="H12" s="59" t="s">
        <v>67</v>
      </c>
      <c r="I12" s="58">
        <f>+I4/$I$2</f>
        <v>2.0613679537694751</v>
      </c>
      <c r="J12" s="51">
        <f t="shared" si="1"/>
        <v>8.2135240350567411</v>
      </c>
      <c r="K12" s="51">
        <f t="shared" si="2"/>
        <v>1.9939910564814123</v>
      </c>
      <c r="L12" s="55">
        <f t="shared" si="3"/>
        <v>9.9086877566831131E-3</v>
      </c>
      <c r="M12" s="51">
        <f t="shared" si="4"/>
        <v>1.9840823687247291</v>
      </c>
      <c r="N12" s="94">
        <f t="shared" si="8"/>
        <v>163502363.53521287</v>
      </c>
      <c r="O12" s="56">
        <f t="shared" si="9"/>
        <v>98.625917517723011</v>
      </c>
      <c r="P12" s="57">
        <f t="shared" si="5"/>
        <v>96.401184173437912</v>
      </c>
      <c r="R12" s="47"/>
      <c r="S12" s="47"/>
      <c r="T12" s="47"/>
    </row>
    <row r="13" spans="1:20" ht="12.75" customHeight="1" x14ac:dyDescent="0.35">
      <c r="A13" s="49">
        <f>'New Vestas G27 105L'!W18</f>
        <v>59719848.571396261</v>
      </c>
      <c r="B13" s="48">
        <f>'New Vestas G27 105L'!T18</f>
        <v>111.52201761640093</v>
      </c>
      <c r="C13" s="50">
        <f t="shared" si="0"/>
        <v>7.776118697835801</v>
      </c>
      <c r="D13" s="50">
        <f t="shared" si="0"/>
        <v>2.0473606179252322</v>
      </c>
      <c r="E13" s="51">
        <f t="shared" si="6"/>
        <v>60.468022002831553</v>
      </c>
      <c r="F13" s="51">
        <f t="shared" si="6"/>
        <v>4.1916854998311885</v>
      </c>
      <c r="G13" s="52">
        <f t="shared" si="7"/>
        <v>15.920519182261057</v>
      </c>
      <c r="H13" s="59" t="s">
        <v>68</v>
      </c>
      <c r="I13" s="60">
        <f>+I10/I8</f>
        <v>-0.11515166694132906</v>
      </c>
      <c r="J13" s="51">
        <f t="shared" si="1"/>
        <v>8.2088399482710219</v>
      </c>
      <c r="K13" s="51">
        <f t="shared" si="2"/>
        <v>1.9945304368828858</v>
      </c>
      <c r="L13" s="55">
        <f t="shared" si="3"/>
        <v>9.8542108061415341E-3</v>
      </c>
      <c r="M13" s="51">
        <f t="shared" si="4"/>
        <v>1.9846762260767443</v>
      </c>
      <c r="N13" s="94">
        <f t="shared" si="8"/>
        <v>161748383.20644996</v>
      </c>
      <c r="O13" s="56">
        <f t="shared" si="9"/>
        <v>98.748483972822328</v>
      </c>
      <c r="P13" s="57">
        <f t="shared" si="5"/>
        <v>96.533094002450241</v>
      </c>
      <c r="R13" s="47"/>
      <c r="S13" s="47"/>
      <c r="T13" s="47"/>
    </row>
    <row r="14" spans="1:20" ht="12.75" customHeight="1" x14ac:dyDescent="0.35">
      <c r="A14" s="49">
        <f>'New Vestas G27 105L'!W19</f>
        <v>63843413.382426269</v>
      </c>
      <c r="B14" s="48">
        <f>'New Vestas G27 105L'!T19</f>
        <v>109.94183356291457</v>
      </c>
      <c r="C14" s="50">
        <f t="shared" si="0"/>
        <v>7.8051160984793135</v>
      </c>
      <c r="D14" s="50">
        <f t="shared" si="0"/>
        <v>2.0411629756678757</v>
      </c>
      <c r="E14" s="51">
        <f t="shared" si="6"/>
        <v>60.919837310740938</v>
      </c>
      <c r="F14" s="51">
        <f t="shared" si="6"/>
        <v>4.1663462932373374</v>
      </c>
      <c r="G14" s="52">
        <f t="shared" si="7"/>
        <v>15.931514001005276</v>
      </c>
      <c r="H14" s="59" t="s">
        <v>69</v>
      </c>
      <c r="I14" s="60">
        <f>+I12-I13*I11</f>
        <v>2.9397920405808673</v>
      </c>
      <c r="J14" s="51">
        <f t="shared" si="1"/>
        <v>8.2041047898943429</v>
      </c>
      <c r="K14" s="51">
        <f t="shared" si="2"/>
        <v>1.9950756982631916</v>
      </c>
      <c r="L14" s="55">
        <f t="shared" si="3"/>
        <v>9.7992808416933613E-3</v>
      </c>
      <c r="M14" s="51">
        <f t="shared" si="4"/>
        <v>1.9852764174214983</v>
      </c>
      <c r="N14" s="94">
        <f t="shared" si="8"/>
        <v>159994402.87768754</v>
      </c>
      <c r="O14" s="56">
        <f t="shared" si="9"/>
        <v>98.872541615188368</v>
      </c>
      <c r="P14" s="57">
        <f t="shared" si="5"/>
        <v>96.666594158473004</v>
      </c>
      <c r="R14" s="47"/>
      <c r="S14" s="47"/>
      <c r="T14" s="47"/>
    </row>
    <row r="15" spans="1:20" ht="12.75" customHeight="1" thickBot="1" x14ac:dyDescent="0.4">
      <c r="A15" s="49">
        <f>'New Vestas G27 105L'!W20</f>
        <v>91292456.351214558</v>
      </c>
      <c r="B15" s="48">
        <f>'New Vestas G27 105L'!T20</f>
        <v>109.0080884403999</v>
      </c>
      <c r="C15" s="50">
        <f t="shared" si="0"/>
        <v>7.960434892535452</v>
      </c>
      <c r="D15" s="50">
        <f t="shared" si="0"/>
        <v>2.0374587239470956</v>
      </c>
      <c r="E15" s="51">
        <f t="shared" si="6"/>
        <v>63.368523678295915</v>
      </c>
      <c r="F15" s="51">
        <f t="shared" si="6"/>
        <v>4.1512380517881269</v>
      </c>
      <c r="G15" s="52">
        <f t="shared" si="7"/>
        <v>16.219057518209215</v>
      </c>
      <c r="H15" s="61" t="s">
        <v>70</v>
      </c>
      <c r="I15" s="62">
        <f>+I10^2/(I8*I9)</f>
        <v>0.89738966412688104</v>
      </c>
      <c r="J15" s="51">
        <f t="shared" si="1"/>
        <v>8.1993174339499006</v>
      </c>
      <c r="K15" s="51">
        <f t="shared" si="2"/>
        <v>1.9956269702804357</v>
      </c>
      <c r="L15" s="55">
        <f t="shared" si="3"/>
        <v>9.7438918749581695E-3</v>
      </c>
      <c r="M15" s="51">
        <f t="shared" si="4"/>
        <v>1.9858830784054775</v>
      </c>
      <c r="N15" s="94">
        <f t="shared" si="8"/>
        <v>158240422.54892436</v>
      </c>
      <c r="O15" s="56">
        <f t="shared" si="9"/>
        <v>98.998125235942737</v>
      </c>
      <c r="P15" s="57">
        <f t="shared" si="5"/>
        <v>96.801720972457034</v>
      </c>
      <c r="R15" s="47"/>
      <c r="S15" s="47"/>
      <c r="T15" s="47"/>
    </row>
    <row r="16" spans="1:20" ht="12.75" customHeight="1" x14ac:dyDescent="0.35">
      <c r="A16" s="49">
        <f>'New Vestas G27 105L'!W21</f>
        <v>100952058.21605489</v>
      </c>
      <c r="B16" s="48">
        <f>'New Vestas G27 105L'!T21</f>
        <v>108.07434331788519</v>
      </c>
      <c r="C16" s="50">
        <f t="shared" si="0"/>
        <v>8.0041151777894441</v>
      </c>
      <c r="D16" s="50">
        <f t="shared" si="0"/>
        <v>2.0337226053504009</v>
      </c>
      <c r="E16" s="51">
        <f t="shared" si="6"/>
        <v>64.065859779319339</v>
      </c>
      <c r="F16" s="51">
        <f t="shared" si="6"/>
        <v>4.1360276355132228</v>
      </c>
      <c r="G16" s="52">
        <f t="shared" si="7"/>
        <v>16.278149972898635</v>
      </c>
      <c r="H16" s="63" t="s">
        <v>71</v>
      </c>
      <c r="I16" s="64"/>
      <c r="J16" s="51">
        <f t="shared" si="1"/>
        <v>8.19447671680879</v>
      </c>
      <c r="K16" s="51">
        <f t="shared" si="2"/>
        <v>1.9961843869284259</v>
      </c>
      <c r="L16" s="55">
        <f t="shared" si="3"/>
        <v>9.6880378849936929E-3</v>
      </c>
      <c r="M16" s="51">
        <f t="shared" si="4"/>
        <v>1.9864963490434322</v>
      </c>
      <c r="N16" s="94">
        <f t="shared" si="8"/>
        <v>156486442.220162</v>
      </c>
      <c r="O16" s="56">
        <f t="shared" si="9"/>
        <v>99.125270835031927</v>
      </c>
      <c r="P16" s="57">
        <f t="shared" si="5"/>
        <v>96.938511999605225</v>
      </c>
      <c r="R16" s="47"/>
      <c r="S16" s="47"/>
      <c r="T16" s="47"/>
    </row>
    <row r="17" spans="1:20" ht="12.75" customHeight="1" x14ac:dyDescent="0.35">
      <c r="A17" s="49">
        <f>'New Vestas G27 105L'!W22</f>
        <v>102029990.11680466</v>
      </c>
      <c r="B17" s="48">
        <f>'New Vestas G27 105L'!T22</f>
        <v>105.75195160291281</v>
      </c>
      <c r="C17" s="50">
        <f t="shared" si="0"/>
        <v>8.008727844584195</v>
      </c>
      <c r="D17" s="50">
        <f t="shared" si="0"/>
        <v>2.0242883908230147</v>
      </c>
      <c r="E17" s="51">
        <f t="shared" si="6"/>
        <v>64.139721688618209</v>
      </c>
      <c r="F17" s="51">
        <f t="shared" si="6"/>
        <v>4.0977434892208304</v>
      </c>
      <c r="G17" s="52">
        <f t="shared" si="7"/>
        <v>16.211974801052811</v>
      </c>
      <c r="H17" s="53" t="s">
        <v>72</v>
      </c>
      <c r="I17" s="65">
        <f>(+I9-(+I10^2/I8))/($I$2-2)</f>
        <v>2.4541877503375128E-4</v>
      </c>
      <c r="J17" s="51">
        <f t="shared" si="1"/>
        <v>8.1895814354922933</v>
      </c>
      <c r="K17" s="51">
        <f t="shared" si="2"/>
        <v>1.9967480867321672</v>
      </c>
      <c r="L17" s="55">
        <f t="shared" si="3"/>
        <v>9.6317128259970283E-3</v>
      </c>
      <c r="M17" s="51">
        <f t="shared" si="4"/>
        <v>1.9871163739061701</v>
      </c>
      <c r="N17" s="94">
        <f t="shared" si="8"/>
        <v>154732461.89139944</v>
      </c>
      <c r="O17" s="56">
        <f t="shared" si="9"/>
        <v>99.254015677337577</v>
      </c>
      <c r="P17" s="57">
        <f t="shared" si="5"/>
        <v>97.07700607395229</v>
      </c>
      <c r="R17" s="47"/>
      <c r="S17" s="47"/>
      <c r="T17" s="47"/>
    </row>
    <row r="18" spans="1:20" ht="12.75" customHeight="1" x14ac:dyDescent="0.35">
      <c r="A18" s="49">
        <f>'New Vestas G27 105L'!W23</f>
        <v>107011297.15457885</v>
      </c>
      <c r="B18" s="48">
        <f>'New Vestas G27 105L'!T23</f>
        <v>105.56041414188415</v>
      </c>
      <c r="C18" s="50">
        <f t="shared" si="0"/>
        <v>8.0294296284600488</v>
      </c>
      <c r="D18" s="50">
        <f t="shared" si="0"/>
        <v>2.023501085405365</v>
      </c>
      <c r="E18" s="51">
        <f t="shared" si="6"/>
        <v>64.47174015839208</v>
      </c>
      <c r="F18" s="51">
        <f t="shared" si="6"/>
        <v>4.0945566426366904</v>
      </c>
      <c r="G18" s="52">
        <f t="shared" si="7"/>
        <v>16.247559568374907</v>
      </c>
      <c r="H18" s="66" t="s">
        <v>53</v>
      </c>
      <c r="I18" s="67">
        <v>0.95</v>
      </c>
      <c r="J18" s="51">
        <f t="shared" si="1"/>
        <v>8.1846303458774177</v>
      </c>
      <c r="K18" s="51">
        <f t="shared" si="2"/>
        <v>1.9973182129544962</v>
      </c>
      <c r="L18" s="55">
        <f t="shared" si="3"/>
        <v>9.5749106360573794E-3</v>
      </c>
      <c r="M18" s="51">
        <f t="shared" si="4"/>
        <v>1.9877433023184388</v>
      </c>
      <c r="N18" s="94">
        <f t="shared" si="8"/>
        <v>152978481.56263703</v>
      </c>
      <c r="O18" s="56">
        <f t="shared" si="9"/>
        <v>99.384398352060657</v>
      </c>
      <c r="P18" s="57">
        <f t="shared" si="5"/>
        <v>97.217243365971143</v>
      </c>
      <c r="R18" s="47"/>
      <c r="S18" s="47"/>
      <c r="T18" s="47"/>
    </row>
    <row r="19" spans="1:20" ht="12.75" customHeight="1" x14ac:dyDescent="0.35">
      <c r="A19" s="49">
        <f>'New Vestas G27 105L'!W24</f>
        <v>22932337.220195446</v>
      </c>
      <c r="B19" s="48">
        <f>'New Vestas G27 105L'!T24</f>
        <v>126.17252703498713</v>
      </c>
      <c r="C19" s="50">
        <f t="shared" si="0"/>
        <v>7.3604483194532948</v>
      </c>
      <c r="D19" s="50">
        <f t="shared" si="0"/>
        <v>2.1009648013741478</v>
      </c>
      <c r="E19" s="51">
        <f t="shared" si="6"/>
        <v>54.176199463342833</v>
      </c>
      <c r="F19" s="51">
        <f t="shared" si="6"/>
        <v>4.4140530966131122</v>
      </c>
      <c r="G19" s="52">
        <f t="shared" si="7"/>
        <v>15.464042841504872</v>
      </c>
      <c r="H19" s="53" t="s">
        <v>73</v>
      </c>
      <c r="I19" s="68">
        <f>_xlfn.T.INV(1-(1-I18)/2,I2-2)</f>
        <v>2.0095752371292388</v>
      </c>
      <c r="J19" s="51">
        <f t="shared" si="1"/>
        <v>8.1796221607989388</v>
      </c>
      <c r="K19" s="51">
        <f t="shared" si="2"/>
        <v>1.9978949138146336</v>
      </c>
      <c r="L19" s="55">
        <f t="shared" si="3"/>
        <v>9.5176252470804065E-3</v>
      </c>
      <c r="M19" s="51">
        <f t="shared" si="4"/>
        <v>1.9883772885675532</v>
      </c>
      <c r="N19" s="94">
        <f t="shared" si="8"/>
        <v>151224501.23387435</v>
      </c>
      <c r="O19" s="56">
        <f t="shared" si="9"/>
        <v>99.516458835611019</v>
      </c>
      <c r="P19" s="57">
        <f t="shared" si="5"/>
        <v>97.359265443408546</v>
      </c>
      <c r="R19" s="47"/>
      <c r="S19" s="47"/>
      <c r="T19" s="47"/>
    </row>
    <row r="20" spans="1:20" ht="12.75" customHeight="1" x14ac:dyDescent="0.35">
      <c r="A20" s="49">
        <f>'New Vestas G27 105L'!W25</f>
        <v>28768605.268932037</v>
      </c>
      <c r="B20" s="48">
        <f>'New Vestas G27 105L'!T25</f>
        <v>122.38570023480405</v>
      </c>
      <c r="C20" s="50">
        <f t="shared" si="0"/>
        <v>7.4589188073651478</v>
      </c>
      <c r="D20" s="50">
        <f t="shared" si="0"/>
        <v>2.0877306770259247</v>
      </c>
      <c r="E20" s="51">
        <f t="shared" si="6"/>
        <v>55.63546977486552</v>
      </c>
      <c r="F20" s="51">
        <f t="shared" si="6"/>
        <v>4.358619379795126</v>
      </c>
      <c r="G20" s="52">
        <f t="shared" si="7"/>
        <v>15.572213611581843</v>
      </c>
      <c r="H20" s="53" t="s">
        <v>74</v>
      </c>
      <c r="I20" s="68">
        <f>_xlfn.F.INV(I18,2,I2-2)</f>
        <v>3.1865823523635823</v>
      </c>
      <c r="J20" s="51">
        <f t="shared" si="1"/>
        <v>8.1745555480407415</v>
      </c>
      <c r="K20" s="51">
        <f t="shared" si="2"/>
        <v>1.9984783427194861</v>
      </c>
      <c r="L20" s="55">
        <f t="shared" si="3"/>
        <v>9.4598505960192016E-3</v>
      </c>
      <c r="M20" s="51">
        <f t="shared" si="4"/>
        <v>1.9890184921234668</v>
      </c>
      <c r="N20" s="94">
        <f t="shared" si="8"/>
        <v>149470520.90511152</v>
      </c>
      <c r="O20" s="56">
        <f t="shared" si="9"/>
        <v>99.650238558253136</v>
      </c>
      <c r="P20" s="57">
        <f t="shared" si="5"/>
        <v>97.503115335565681</v>
      </c>
      <c r="R20" s="47"/>
      <c r="S20" s="47"/>
      <c r="T20" s="47"/>
    </row>
    <row r="21" spans="1:20" ht="12.75" customHeight="1" x14ac:dyDescent="0.35">
      <c r="A21" s="49">
        <f>'New Vestas G27 105L'!W26</f>
        <v>32606206.234596163</v>
      </c>
      <c r="B21" s="48">
        <f>'New Vestas G27 105L'!T26</f>
        <v>116.53768922634551</v>
      </c>
      <c r="C21" s="50">
        <f t="shared" si="0"/>
        <v>7.513300271138756</v>
      </c>
      <c r="D21" s="50">
        <f t="shared" si="0"/>
        <v>2.0664664024087003</v>
      </c>
      <c r="E21" s="51">
        <f t="shared" si="6"/>
        <v>56.449680964293705</v>
      </c>
      <c r="F21" s="51">
        <f t="shared" si="6"/>
        <v>4.2702833922839565</v>
      </c>
      <c r="G21" s="52">
        <f t="shared" si="7"/>
        <v>15.525982581516418</v>
      </c>
      <c r="H21" s="53" t="s">
        <v>75</v>
      </c>
      <c r="I21" s="68">
        <f>I19*SQRT(I17)*(($I$8)^(-1/2))</f>
        <v>1.1178447275160222E-2</v>
      </c>
      <c r="J21" s="51">
        <f t="shared" si="1"/>
        <v>8.1694291282085985</v>
      </c>
      <c r="K21" s="51">
        <f t="shared" si="2"/>
        <v>1.9990686585085986</v>
      </c>
      <c r="L21" s="55">
        <f t="shared" si="3"/>
        <v>9.4015806375621572E-3</v>
      </c>
      <c r="M21" s="51">
        <f t="shared" si="4"/>
        <v>1.9896670778710364</v>
      </c>
      <c r="N21" s="94">
        <f t="shared" si="8"/>
        <v>147716540.57634884</v>
      </c>
      <c r="O21" s="56">
        <f t="shared" si="9"/>
        <v>99.785780474778079</v>
      </c>
      <c r="P21" s="57">
        <f t="shared" si="5"/>
        <v>97.648837601257043</v>
      </c>
      <c r="R21" s="47"/>
      <c r="S21" s="47"/>
      <c r="T21" s="47"/>
    </row>
    <row r="22" spans="1:20" ht="12.75" customHeight="1" thickBot="1" x14ac:dyDescent="0.4">
      <c r="A22" s="49">
        <f>'New Vestas G27 105L'!W27</f>
        <v>62715394.145434067</v>
      </c>
      <c r="B22" s="48">
        <f>'New Vestas G27 105L'!T27</f>
        <v>114.28476694963702</v>
      </c>
      <c r="C22" s="50">
        <f t="shared" si="0"/>
        <v>7.7973741560113288</v>
      </c>
      <c r="D22" s="50">
        <f t="shared" si="0"/>
        <v>2.057988347012996</v>
      </c>
      <c r="E22" s="51">
        <f t="shared" si="6"/>
        <v>60.799043728833382</v>
      </c>
      <c r="F22" s="51">
        <f t="shared" si="6"/>
        <v>4.2353160364412838</v>
      </c>
      <c r="G22" s="52">
        <f t="shared" si="7"/>
        <v>16.046905150371611</v>
      </c>
      <c r="H22" s="61" t="s">
        <v>76</v>
      </c>
      <c r="I22" s="69">
        <f>I19*SQRT(I17)*(1/I2+I11^2/I8)^(1/2)</f>
        <v>8.5387645403618928E-2</v>
      </c>
      <c r="J22" s="51">
        <f t="shared" si="1"/>
        <v>8.1642414724758883</v>
      </c>
      <c r="K22" s="51">
        <f t="shared" si="2"/>
        <v>1.9996660257137377</v>
      </c>
      <c r="L22" s="55">
        <f t="shared" si="3"/>
        <v>9.3428093584459523E-3</v>
      </c>
      <c r="M22" s="51">
        <f t="shared" si="4"/>
        <v>1.9903232163552917</v>
      </c>
      <c r="N22" s="94">
        <f t="shared" si="8"/>
        <v>145962560.24758613</v>
      </c>
      <c r="O22" s="56">
        <f t="shared" si="9"/>
        <v>99.923129139496993</v>
      </c>
      <c r="P22" s="57">
        <f t="shared" si="5"/>
        <v>97.796478400699755</v>
      </c>
      <c r="R22" s="47"/>
      <c r="S22" s="47"/>
      <c r="T22" s="47"/>
    </row>
    <row r="23" spans="1:20" ht="12.75" customHeight="1" x14ac:dyDescent="0.35">
      <c r="A23" s="49">
        <f>'New Vestas G27 105L'!W28</f>
        <v>65840771.30424571</v>
      </c>
      <c r="B23" s="48">
        <f>'New Vestas G27 105L'!T28</f>
        <v>111.64836854649269</v>
      </c>
      <c r="C23" s="50">
        <f t="shared" si="0"/>
        <v>7.818494909859373</v>
      </c>
      <c r="D23" s="50">
        <f t="shared" si="0"/>
        <v>2.0478523813579059</v>
      </c>
      <c r="E23" s="51">
        <f t="shared" si="6"/>
        <v>61.128862655496924</v>
      </c>
      <c r="F23" s="51">
        <f t="shared" si="6"/>
        <v>4.1936993758332459</v>
      </c>
      <c r="G23" s="52">
        <f t="shared" si="7"/>
        <v>16.011123419790184</v>
      </c>
      <c r="H23" s="63" t="s">
        <v>77</v>
      </c>
      <c r="I23" s="70"/>
      <c r="J23" s="51">
        <f t="shared" si="1"/>
        <v>8.1589911001930453</v>
      </c>
      <c r="K23" s="51">
        <f t="shared" si="2"/>
        <v>2.0002706148341698</v>
      </c>
      <c r="L23" s="55">
        <f t="shared" si="3"/>
        <v>9.2835307935820455E-3</v>
      </c>
      <c r="M23" s="51">
        <f t="shared" si="4"/>
        <v>1.9909870840405877</v>
      </c>
      <c r="N23" s="94">
        <f t="shared" si="8"/>
        <v>144208579.91882333</v>
      </c>
      <c r="O23" s="56">
        <f t="shared" si="9"/>
        <v>100.06233078587626</v>
      </c>
      <c r="P23" s="57">
        <f t="shared" si="5"/>
        <v>97.946085571605124</v>
      </c>
      <c r="R23" s="47"/>
      <c r="S23" s="47"/>
      <c r="T23" s="47"/>
    </row>
    <row r="24" spans="1:20" ht="12.75" customHeight="1" x14ac:dyDescent="0.35">
      <c r="A24" s="49">
        <f>'New Vestas G27 105L'!W29</f>
        <v>68173456.219162107</v>
      </c>
      <c r="B24" s="48">
        <f>'New Vestas G27 105L'!T29</f>
        <v>108.77229755650337</v>
      </c>
      <c r="C24" s="50">
        <f t="shared" si="0"/>
        <v>7.833615312171565</v>
      </c>
      <c r="D24" s="50">
        <f t="shared" si="0"/>
        <v>2.0365183020693021</v>
      </c>
      <c r="E24" s="51">
        <f t="shared" si="6"/>
        <v>61.365528859088805</v>
      </c>
      <c r="F24" s="51">
        <f t="shared" si="6"/>
        <v>4.1474067946632331</v>
      </c>
      <c r="G24" s="52">
        <f t="shared" si="7"/>
        <v>15.953300954607721</v>
      </c>
      <c r="H24" s="66" t="s">
        <v>78</v>
      </c>
      <c r="I24" s="71">
        <f>10^(MAX(C:C))</f>
        <v>181042166.82283905</v>
      </c>
      <c r="J24" s="51">
        <f t="shared" si="1"/>
        <v>8.1536764763507357</v>
      </c>
      <c r="K24" s="51">
        <f t="shared" si="2"/>
        <v>2.0008826026287778</v>
      </c>
      <c r="L24" s="55">
        <f t="shared" si="3"/>
        <v>9.2237390442074588E-3</v>
      </c>
      <c r="M24" s="51">
        <f t="shared" si="4"/>
        <v>1.9916588635845704</v>
      </c>
      <c r="N24" s="94">
        <f t="shared" si="8"/>
        <v>142454599.59006047</v>
      </c>
      <c r="O24" s="56">
        <f t="shared" si="9"/>
        <v>100.20343341116015</v>
      </c>
      <c r="P24" s="57">
        <f t="shared" si="5"/>
        <v>98.097708709765342</v>
      </c>
      <c r="R24" s="47"/>
      <c r="S24" s="47"/>
      <c r="T24" s="47"/>
    </row>
    <row r="25" spans="1:20" ht="12.75" customHeight="1" thickBot="1" x14ac:dyDescent="0.4">
      <c r="A25" s="49">
        <f>'New Vestas G27 105L'!W30</f>
        <v>82571347.892988503</v>
      </c>
      <c r="B25" s="48">
        <f>'New Vestas G27 105L'!T30</f>
        <v>107.07062222328031</v>
      </c>
      <c r="C25" s="50">
        <f t="shared" si="0"/>
        <v>7.9168293740679863</v>
      </c>
      <c r="D25" s="50">
        <f t="shared" si="0"/>
        <v>2.0296703265134846</v>
      </c>
      <c r="E25" s="51">
        <f t="shared" si="6"/>
        <v>62.676187338105706</v>
      </c>
      <c r="F25" s="51">
        <f t="shared" si="6"/>
        <v>4.1195616343293553</v>
      </c>
      <c r="G25" s="52">
        <f t="shared" si="7"/>
        <v>16.068553660616114</v>
      </c>
      <c r="H25" s="72" t="s">
        <v>79</v>
      </c>
      <c r="I25" s="73">
        <f>10^(MIN(C:C))</f>
        <v>5644133.9465729818</v>
      </c>
      <c r="J25" s="51">
        <f t="shared" si="1"/>
        <v>8.1482960088858665</v>
      </c>
      <c r="K25" s="51">
        <f t="shared" si="2"/>
        <v>2.0015021724262811</v>
      </c>
      <c r="L25" s="55">
        <f t="shared" si="3"/>
        <v>9.1634282982959378E-3</v>
      </c>
      <c r="M25" s="51">
        <f t="shared" si="4"/>
        <v>1.9923387441279852</v>
      </c>
      <c r="N25" s="94">
        <f t="shared" si="8"/>
        <v>140700619.26129812</v>
      </c>
      <c r="O25" s="56">
        <f t="shared" si="9"/>
        <v>100.34648686636089</v>
      </c>
      <c r="P25" s="57">
        <f t="shared" si="5"/>
        <v>98.251399254454654</v>
      </c>
      <c r="R25" s="47"/>
      <c r="S25" s="47"/>
      <c r="T25" s="47"/>
    </row>
    <row r="26" spans="1:20" ht="12.75" customHeight="1" x14ac:dyDescent="0.35">
      <c r="A26" s="49">
        <f>'New Vestas G27 105L'!W31</f>
        <v>107985922.45719568</v>
      </c>
      <c r="B26" s="48">
        <f>'New Vestas G27 105L'!T31</f>
        <v>106.04003012696514</v>
      </c>
      <c r="C26" s="50">
        <f t="shared" si="0"/>
        <v>8.0333671425457194</v>
      </c>
      <c r="D26" s="50">
        <f t="shared" si="0"/>
        <v>2.0254698424482007</v>
      </c>
      <c r="E26" s="51">
        <f t="shared" si="6"/>
        <v>64.534987646933175</v>
      </c>
      <c r="F26" s="51">
        <f t="shared" si="6"/>
        <v>4.1025280826671393</v>
      </c>
      <c r="G26" s="52">
        <f t="shared" si="7"/>
        <v>16.271342880540629</v>
      </c>
      <c r="H26" s="63" t="s">
        <v>80</v>
      </c>
      <c r="I26" s="70"/>
      <c r="J26" s="51">
        <f t="shared" si="1"/>
        <v>8.1428480458186243</v>
      </c>
      <c r="K26" s="51">
        <f t="shared" si="2"/>
        <v>2.0021295144549089</v>
      </c>
      <c r="L26" s="55">
        <f t="shared" si="3"/>
        <v>9.1025928534946444E-3</v>
      </c>
      <c r="M26" s="51">
        <f t="shared" si="4"/>
        <v>1.9930269216014143</v>
      </c>
      <c r="N26" s="94">
        <f t="shared" si="8"/>
        <v>138946638.93253559</v>
      </c>
      <c r="O26" s="56">
        <f t="shared" si="9"/>
        <v>100.49154295202823</v>
      </c>
      <c r="P26" s="57">
        <f t="shared" si="5"/>
        <v>98.407210578987304</v>
      </c>
      <c r="R26" s="47" t="s">
        <v>81</v>
      </c>
      <c r="S26" s="47"/>
      <c r="T26" s="47"/>
    </row>
    <row r="27" spans="1:20" ht="12.75" customHeight="1" x14ac:dyDescent="0.35">
      <c r="A27" s="49">
        <f>'New Vestas G27 105L'!W32</f>
        <v>28706873.164775059</v>
      </c>
      <c r="B27" s="48">
        <f>'New Vestas G27 105L'!T32</f>
        <v>122.25432118368342</v>
      </c>
      <c r="C27" s="50">
        <f t="shared" si="0"/>
        <v>7.4579858904680076</v>
      </c>
      <c r="D27" s="50">
        <f t="shared" si="0"/>
        <v>2.0872642185773547</v>
      </c>
      <c r="E27" s="51">
        <f t="shared" si="6"/>
        <v>55.621553542419882</v>
      </c>
      <c r="F27" s="51">
        <f t="shared" si="6"/>
        <v>4.3566719181533351</v>
      </c>
      <c r="G27" s="52">
        <f t="shared" si="7"/>
        <v>15.566787091828642</v>
      </c>
      <c r="H27" s="53" t="str">
        <f>"m lower " &amp; TEXT(I18,"##%") &amp; " conf"</f>
        <v>m lower 95% conf</v>
      </c>
      <c r="I27" s="74">
        <f>-I13-I21</f>
        <v>0.10397321966616883</v>
      </c>
      <c r="J27" s="51">
        <f t="shared" si="1"/>
        <v>8.1373308722076434</v>
      </c>
      <c r="K27" s="51">
        <f t="shared" si="2"/>
        <v>2.002764826193018</v>
      </c>
      <c r="L27" s="55">
        <f t="shared" si="3"/>
        <v>9.0412271428835286E-3</v>
      </c>
      <c r="M27" s="51">
        <f t="shared" si="4"/>
        <v>1.9937235990501345</v>
      </c>
      <c r="N27" s="94">
        <f t="shared" si="8"/>
        <v>137192658.60377276</v>
      </c>
      <c r="O27" s="56">
        <f t="shared" si="9"/>
        <v>100.63865552024527</v>
      </c>
      <c r="P27" s="57">
        <f t="shared" si="5"/>
        <v>98.565198086805552</v>
      </c>
      <c r="R27" s="47"/>
      <c r="S27" s="47"/>
      <c r="T27" s="47"/>
    </row>
    <row r="28" spans="1:20" ht="12.75" customHeight="1" x14ac:dyDescent="0.35">
      <c r="A28" s="49">
        <f>'New Vestas G27 105L'!W33</f>
        <v>41689841.902066499</v>
      </c>
      <c r="B28" s="48">
        <f>'New Vestas G27 105L'!T33</f>
        <v>120.29311410924292</v>
      </c>
      <c r="C28" s="50">
        <f t="shared" si="0"/>
        <v>7.6200302481800195</v>
      </c>
      <c r="D28" s="50">
        <f t="shared" si="0"/>
        <v>2.0802407679055199</v>
      </c>
      <c r="E28" s="51">
        <f t="shared" si="6"/>
        <v>58.064860983178448</v>
      </c>
      <c r="F28" s="51">
        <f t="shared" si="6"/>
        <v>4.3274016524561469</v>
      </c>
      <c r="G28" s="52">
        <f t="shared" si="7"/>
        <v>15.851497574937293</v>
      </c>
      <c r="H28" s="75" t="s">
        <v>82</v>
      </c>
      <c r="I28" s="76">
        <f>-I13</f>
        <v>0.11515166694132906</v>
      </c>
      <c r="J28" s="51">
        <f t="shared" si="1"/>
        <v>8.1317427069092769</v>
      </c>
      <c r="K28" s="51">
        <f t="shared" si="2"/>
        <v>2.0034083127422688</v>
      </c>
      <c r="L28" s="55">
        <f t="shared" si="3"/>
        <v>8.9793257638915158E-3</v>
      </c>
      <c r="M28" s="51">
        <f t="shared" si="4"/>
        <v>1.9944289869783773</v>
      </c>
      <c r="N28" s="94">
        <f t="shared" si="8"/>
        <v>135438678.27501023</v>
      </c>
      <c r="O28" s="56">
        <f t="shared" si="9"/>
        <v>100.78788058334523</v>
      </c>
      <c r="P28" s="57">
        <f t="shared" si="5"/>
        <v>98.72541931350132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G27 105L'!W34</f>
        <v>45930515.84650737</v>
      </c>
      <c r="B29" s="48">
        <f>'New Vestas G27 105L'!T34</f>
        <v>116.89687746813868</v>
      </c>
      <c r="C29" s="50">
        <f t="shared" si="0"/>
        <v>7.6621013230149977</v>
      </c>
      <c r="D29" s="50">
        <f t="shared" si="0"/>
        <v>2.067802910507702</v>
      </c>
      <c r="E29" s="51">
        <f t="shared" si="6"/>
        <v>58.707796684148178</v>
      </c>
      <c r="F29" s="51">
        <f t="shared" si="6"/>
        <v>4.275808876704124</v>
      </c>
      <c r="G29" s="52">
        <f t="shared" si="7"/>
        <v>15.843715416335327</v>
      </c>
      <c r="H29" s="77" t="str">
        <f>"m upper " &amp; TEXT(I18,"##%") &amp; " conf"</f>
        <v>m upper 95% conf</v>
      </c>
      <c r="I29" s="74">
        <f>-I13+I21</f>
        <v>0.12633011421648926</v>
      </c>
      <c r="J29" s="51">
        <f t="shared" si="1"/>
        <v>8.1260816991256188</v>
      </c>
      <c r="K29" s="51">
        <f t="shared" si="2"/>
        <v>2.0040601872251247</v>
      </c>
      <c r="L29" s="55">
        <f t="shared" si="3"/>
        <v>8.9168835107445218E-3</v>
      </c>
      <c r="M29" s="51">
        <f t="shared" si="4"/>
        <v>1.9951433037143802</v>
      </c>
      <c r="N29" s="94">
        <f t="shared" si="8"/>
        <v>133684697.94624749</v>
      </c>
      <c r="O29" s="56">
        <f t="shared" si="9"/>
        <v>100.93927642988064</v>
      </c>
      <c r="P29" s="57">
        <f t="shared" si="5"/>
        <v>98.887934035209483</v>
      </c>
      <c r="R29" s="47"/>
      <c r="S29" s="47"/>
      <c r="T29" s="47"/>
    </row>
    <row r="30" spans="1:20" ht="12.75" customHeight="1" x14ac:dyDescent="0.35">
      <c r="A30" s="49">
        <f>'New Vestas G27 105L'!W35</f>
        <v>60046328.528391957</v>
      </c>
      <c r="B30" s="48">
        <f>'New Vestas G27 105L'!T35</f>
        <v>111.82643966592674</v>
      </c>
      <c r="C30" s="50">
        <f t="shared" si="0"/>
        <v>7.7784864580568955</v>
      </c>
      <c r="D30" s="50">
        <f t="shared" si="0"/>
        <v>2.0485444980357794</v>
      </c>
      <c r="E30" s="51">
        <f t="shared" si="6"/>
        <v>60.50485157817451</v>
      </c>
      <c r="F30" s="51">
        <f t="shared" si="6"/>
        <v>4.1965345604326636</v>
      </c>
      <c r="G30" s="52">
        <f t="shared" si="7"/>
        <v>15.934575636698272</v>
      </c>
      <c r="H30" s="77" t="str">
        <f>"C lower " &amp; TEXT(I18,"##%") &amp; " conf"</f>
        <v>C lower 95% conf</v>
      </c>
      <c r="I30" s="78">
        <f>10^(I14-I22)</f>
        <v>715.16194225433208</v>
      </c>
      <c r="J30" s="51">
        <f t="shared" si="1"/>
        <v>8.1203459247245853</v>
      </c>
      <c r="K30" s="51">
        <f t="shared" si="2"/>
        <v>2.0047206712086032</v>
      </c>
      <c r="L30" s="55">
        <f t="shared" si="3"/>
        <v>8.8538954108681612E-3</v>
      </c>
      <c r="M30" s="51">
        <f t="shared" si="4"/>
        <v>1.9958667757977351</v>
      </c>
      <c r="N30" s="94">
        <f t="shared" si="8"/>
        <v>131930717.61748448</v>
      </c>
      <c r="O30" s="56">
        <f t="shared" si="9"/>
        <v>101.09290374843535</v>
      </c>
      <c r="P30" s="57">
        <f t="shared" si="5"/>
        <v>99.052804383849789</v>
      </c>
      <c r="R30" s="47"/>
      <c r="S30" s="47"/>
      <c r="T30" s="47"/>
    </row>
    <row r="31" spans="1:20" ht="12.75" customHeight="1" x14ac:dyDescent="0.35">
      <c r="A31" s="49">
        <f>'New Vestas G27 105L'!W36</f>
        <v>89415713.009214789</v>
      </c>
      <c r="B31" s="48">
        <f>'New Vestas G27 105L'!T36</f>
        <v>111.41984795537198</v>
      </c>
      <c r="C31" s="50">
        <f t="shared" si="0"/>
        <v>7.9514138440035724</v>
      </c>
      <c r="D31" s="50">
        <f t="shared" si="0"/>
        <v>2.0469625614812772</v>
      </c>
      <c r="E31" s="51">
        <f t="shared" si="6"/>
        <v>63.224982118611671</v>
      </c>
      <c r="F31" s="51">
        <f t="shared" si="6"/>
        <v>4.1900557281059916</v>
      </c>
      <c r="G31" s="52">
        <f t="shared" si="7"/>
        <v>16.276246449519242</v>
      </c>
      <c r="H31" s="75" t="s">
        <v>83</v>
      </c>
      <c r="I31" s="79">
        <f>10^I14</f>
        <v>870.54663387819744</v>
      </c>
      <c r="J31" s="51">
        <f t="shared" si="1"/>
        <v>8.114533382313704</v>
      </c>
      <c r="K31" s="51">
        <f t="shared" si="2"/>
        <v>2.0053899951563832</v>
      </c>
      <c r="L31" s="55">
        <f t="shared" si="3"/>
        <v>8.7903567657201323E-3</v>
      </c>
      <c r="M31" s="51">
        <f t="shared" si="4"/>
        <v>1.996599638390663</v>
      </c>
      <c r="N31" s="94">
        <f t="shared" si="8"/>
        <v>130176737.2887217</v>
      </c>
      <c r="O31" s="56">
        <f t="shared" si="9"/>
        <v>101.24882575991803</v>
      </c>
      <c r="P31" s="57">
        <f t="shared" si="5"/>
        <v>99.220094969732543</v>
      </c>
      <c r="R31" s="47"/>
      <c r="S31" s="47"/>
      <c r="T31" s="47"/>
    </row>
    <row r="32" spans="1:20" ht="12.75" customHeight="1" thickBot="1" x14ac:dyDescent="0.4">
      <c r="A32" s="49">
        <f>'New Vestas G27 105L'!W37</f>
        <v>110409237.01846342</v>
      </c>
      <c r="B32" s="48">
        <f>'New Vestas G27 105L'!T37</f>
        <v>110.00873554815261</v>
      </c>
      <c r="C32" s="50">
        <f t="shared" si="0"/>
        <v>8.0430054087041878</v>
      </c>
      <c r="D32" s="50">
        <f t="shared" si="0"/>
        <v>2.0414271728830111</v>
      </c>
      <c r="E32" s="51">
        <f t="shared" si="6"/>
        <v>64.689936004444817</v>
      </c>
      <c r="F32" s="51">
        <f t="shared" si="6"/>
        <v>4.1674249021851235</v>
      </c>
      <c r="G32" s="52">
        <f t="shared" si="7"/>
        <v>16.419209792973756</v>
      </c>
      <c r="H32" s="61" t="str">
        <f>"C upper " &amp; TEXT(I18,"##%") &amp; " conf"</f>
        <v>C upper 95% conf</v>
      </c>
      <c r="I32" s="80">
        <f>10^(I14+I22)</f>
        <v>1059.6920738927499</v>
      </c>
      <c r="J32" s="51">
        <f t="shared" si="1"/>
        <v>8.1086419890475749</v>
      </c>
      <c r="K32" s="51">
        <f t="shared" si="2"/>
        <v>2.0060683989115851</v>
      </c>
      <c r="L32" s="55">
        <f t="shared" si="3"/>
        <v>8.7262631965881552E-3</v>
      </c>
      <c r="M32" s="51">
        <f t="shared" si="4"/>
        <v>1.997342135714997</v>
      </c>
      <c r="N32" s="94">
        <f t="shared" si="8"/>
        <v>128422756.95995937</v>
      </c>
      <c r="O32" s="56">
        <f t="shared" si="9"/>
        <v>101.40710835904504</v>
      </c>
      <c r="P32" s="57">
        <f t="shared" si="5"/>
        <v>99.389873012094881</v>
      </c>
      <c r="R32" s="47"/>
      <c r="S32" s="47"/>
      <c r="T32" s="47"/>
    </row>
    <row r="33" spans="1:20" ht="12.75" customHeight="1" x14ac:dyDescent="0.35">
      <c r="A33" s="49">
        <f>'New Vestas G27 105L'!W38</f>
        <v>5644133.9465729799</v>
      </c>
      <c r="B33" s="48">
        <f>'New Vestas G27 105L'!T38</f>
        <v>140.09555954729694</v>
      </c>
      <c r="C33" s="50">
        <f t="shared" si="0"/>
        <v>6.7515973118801904</v>
      </c>
      <c r="D33" s="50">
        <f t="shared" si="0"/>
        <v>2.1464243701560961</v>
      </c>
      <c r="E33" s="51">
        <f t="shared" si="6"/>
        <v>45.584066261787811</v>
      </c>
      <c r="F33" s="51">
        <f t="shared" si="6"/>
        <v>4.6071375767999942</v>
      </c>
      <c r="G33" s="52">
        <f t="shared" si="7"/>
        <v>14.491793007700029</v>
      </c>
      <c r="H33" s="63" t="s">
        <v>84</v>
      </c>
      <c r="I33" s="81"/>
      <c r="J33" s="51">
        <f t="shared" si="1"/>
        <v>8.1026695761470453</v>
      </c>
      <c r="K33" s="51">
        <f t="shared" si="2"/>
        <v>2.0067561322127427</v>
      </c>
      <c r="L33" s="55">
        <f t="shared" si="3"/>
        <v>8.6616106959579303E-3</v>
      </c>
      <c r="M33" s="51">
        <f t="shared" si="4"/>
        <v>1.9980945215167849</v>
      </c>
      <c r="N33" s="94">
        <f t="shared" si="8"/>
        <v>126668776.63119665</v>
      </c>
      <c r="O33" s="56">
        <f t="shared" si="9"/>
        <v>101.56782026578232</v>
      </c>
      <c r="P33" s="57">
        <f t="shared" si="5"/>
        <v>99.562208478176331</v>
      </c>
      <c r="R33" s="47"/>
      <c r="S33" s="47"/>
      <c r="T33" s="47"/>
    </row>
    <row r="34" spans="1:20" ht="12.75" customHeight="1" thickBot="1" x14ac:dyDescent="0.4">
      <c r="A34" s="49">
        <f>'New Vestas G27 105L'!W39</f>
        <v>9088373.1951924246</v>
      </c>
      <c r="B34" s="48">
        <f>'New Vestas G27 105L'!T39</f>
        <v>125.70535893441595</v>
      </c>
      <c r="C34" s="50">
        <f t="shared" si="0"/>
        <v>6.9584861521351025</v>
      </c>
      <c r="D34" s="50">
        <f t="shared" si="0"/>
        <v>2.0993537924515615</v>
      </c>
      <c r="E34" s="51">
        <f t="shared" si="6"/>
        <v>48.420529529455983</v>
      </c>
      <c r="F34" s="51">
        <f t="shared" si="6"/>
        <v>4.4072863458807543</v>
      </c>
      <c r="G34" s="52">
        <f t="shared" si="7"/>
        <v>14.6083242932065</v>
      </c>
      <c r="H34" s="82" t="str">
        <f>"G27 Fit: S = " &amp; TEXT(I31,"0,00 E+00 ") &amp; " * N ^ -" &amp; TEXT(I28,"0,00")</f>
        <v>G27 Fit: S = 871 E+00  * N ^ -000</v>
      </c>
      <c r="I34" s="62"/>
      <c r="J34" s="51">
        <f t="shared" si="1"/>
        <v>8.0966138841059507</v>
      </c>
      <c r="K34" s="51">
        <f t="shared" si="2"/>
        <v>2.0074534552457584</v>
      </c>
      <c r="L34" s="55">
        <f t="shared" si="3"/>
        <v>8.5963956851328894E-3</v>
      </c>
      <c r="M34" s="51">
        <f t="shared" si="4"/>
        <v>1.9988570595606254</v>
      </c>
      <c r="N34" s="94">
        <f t="shared" si="8"/>
        <v>124914796.30243398</v>
      </c>
      <c r="O34" s="56">
        <f t="shared" si="9"/>
        <v>101.7310331876003</v>
      </c>
      <c r="P34" s="57">
        <f t="shared" si="5"/>
        <v>99.737174231507197</v>
      </c>
      <c r="R34" s="47"/>
      <c r="S34" s="47"/>
      <c r="T34" s="47"/>
    </row>
    <row r="35" spans="1:20" ht="12.75" customHeight="1" thickBot="1" x14ac:dyDescent="0.4">
      <c r="A35" s="49">
        <f>'New Vestas G27 105L'!W40</f>
        <v>13109193.068150232</v>
      </c>
      <c r="B35" s="48">
        <f>'New Vestas G27 105L'!T40</f>
        <v>123.2687711812389</v>
      </c>
      <c r="C35" s="50">
        <f t="shared" si="0"/>
        <v>7.1175759596660413</v>
      </c>
      <c r="D35" s="50">
        <f t="shared" si="0"/>
        <v>2.0908530666891902</v>
      </c>
      <c r="E35" s="51">
        <f t="shared" si="6"/>
        <v>50.659887541615966</v>
      </c>
      <c r="F35" s="51">
        <f t="shared" si="6"/>
        <v>4.3716665464835911</v>
      </c>
      <c r="G35" s="52">
        <f t="shared" si="7"/>
        <v>14.881805522660999</v>
      </c>
      <c r="H35" s="82" t="str">
        <f>"G27 Fit: N = " &amp; TEXT((1/I31)^(-1/I28),"0,00 E+00 ") &amp; " * S ^ -" &amp; TEXT(1/I28,"0,00")</f>
        <v>G27 Fit: N = 034 E+24  * S ^ -009</v>
      </c>
      <c r="I35" s="84"/>
      <c r="J35" s="51">
        <f t="shared" si="1"/>
        <v>8.090472557558936</v>
      </c>
      <c r="K35" s="51">
        <f t="shared" si="2"/>
        <v>2.0081606392348781</v>
      </c>
      <c r="L35" s="55">
        <f t="shared" si="3"/>
        <v>8.530615078876487E-3</v>
      </c>
      <c r="M35" s="51">
        <f t="shared" si="4"/>
        <v>1.9996300241560017</v>
      </c>
      <c r="N35" s="94">
        <f t="shared" si="8"/>
        <v>123160815.97367133</v>
      </c>
      <c r="O35" s="56">
        <f t="shared" si="9"/>
        <v>101.89682199347342</v>
      </c>
      <c r="P35" s="57">
        <f t="shared" si="5"/>
        <v>99.914846190136203</v>
      </c>
      <c r="R35" s="47"/>
      <c r="S35" s="47"/>
      <c r="T35" s="47"/>
    </row>
    <row r="36" spans="1:20" ht="12.75" customHeight="1" x14ac:dyDescent="0.35">
      <c r="A36" s="49">
        <f>'New Vestas G27 105L'!W41</f>
        <v>16858569.910737265</v>
      </c>
      <c r="B36" s="48">
        <f>'New Vestas G27 105L'!T41</f>
        <v>121.06150933424321</v>
      </c>
      <c r="C36" s="50">
        <f t="shared" si="0"/>
        <v>7.226820731248548</v>
      </c>
      <c r="D36" s="50">
        <f t="shared" si="0"/>
        <v>2.0830060841762932</v>
      </c>
      <c r="E36" s="51">
        <f t="shared" si="6"/>
        <v>52.226937881603796</v>
      </c>
      <c r="F36" s="51">
        <f t="shared" si="6"/>
        <v>4.3389143467154545</v>
      </c>
      <c r="G36" s="52">
        <f t="shared" si="7"/>
        <v>15.053511552442094</v>
      </c>
      <c r="H36" s="83"/>
      <c r="I36" s="83"/>
      <c r="J36" s="51">
        <f t="shared" si="1"/>
        <v>8.0842431397811563</v>
      </c>
      <c r="K36" s="51">
        <f t="shared" si="2"/>
        <v>2.0088779670760633</v>
      </c>
      <c r="L36" s="55">
        <f t="shared" si="3"/>
        <v>8.4642663579479784E-3</v>
      </c>
      <c r="M36" s="51">
        <f t="shared" si="4"/>
        <v>2.0004137007181151</v>
      </c>
      <c r="N36" s="94">
        <f t="shared" si="8"/>
        <v>121406835.64490922</v>
      </c>
      <c r="O36" s="56">
        <f t="shared" si="9"/>
        <v>102.06526490065922</v>
      </c>
      <c r="P36" s="57">
        <f t="shared" si="5"/>
        <v>100.09530349559732</v>
      </c>
      <c r="R36" s="47"/>
      <c r="S36" s="47"/>
      <c r="T36" s="47"/>
    </row>
    <row r="37" spans="1:20" ht="12.75" customHeight="1" x14ac:dyDescent="0.35">
      <c r="A37" s="49">
        <f>'New Vestas G27 105L'!W42</f>
        <v>20923782.629006423</v>
      </c>
      <c r="B37" s="48">
        <f>'New Vestas G27 105L'!T42</f>
        <v>120.63152326015314</v>
      </c>
      <c r="C37" s="50">
        <f t="shared" si="0"/>
        <v>7.3206401996218196</v>
      </c>
      <c r="D37" s="50">
        <f t="shared" si="0"/>
        <v>2.0814608118589013</v>
      </c>
      <c r="E37" s="51">
        <f t="shared" si="6"/>
        <v>53.591772932318996</v>
      </c>
      <c r="F37" s="51">
        <f t="shared" si="6"/>
        <v>4.3324791113043162</v>
      </c>
      <c r="G37" s="52">
        <f t="shared" si="7"/>
        <v>15.237625693231742</v>
      </c>
      <c r="H37" s="95">
        <f>1/I28</f>
        <v>8.6841990790242765</v>
      </c>
      <c r="I37" s="85">
        <f>I31-I30</f>
        <v>155.38469162386536</v>
      </c>
      <c r="J37" s="51">
        <f t="shared" si="1"/>
        <v>8.0779230667877364</v>
      </c>
      <c r="K37" s="51">
        <f t="shared" si="2"/>
        <v>2.0096057340164464</v>
      </c>
      <c r="L37" s="55">
        <f t="shared" si="3"/>
        <v>8.3973476505178196E-3</v>
      </c>
      <c r="M37" s="51">
        <f t="shared" si="4"/>
        <v>2.0012083863659287</v>
      </c>
      <c r="N37" s="94">
        <f t="shared" si="8"/>
        <v>119652855.31614582</v>
      </c>
      <c r="O37" s="56">
        <f t="shared" si="9"/>
        <v>102.23644367539323</v>
      </c>
      <c r="P37" s="57">
        <f t="shared" si="5"/>
        <v>100.2786286934892</v>
      </c>
      <c r="R37" s="47"/>
      <c r="S37" s="47"/>
      <c r="T37" s="47"/>
    </row>
    <row r="38" spans="1:20" ht="12.75" customHeight="1" x14ac:dyDescent="0.35">
      <c r="A38" s="49">
        <f>'New Vestas G27 105L'!W43</f>
        <v>24870444.025138438</v>
      </c>
      <c r="B38" s="48">
        <f>'New Vestas G27 105L'!T43</f>
        <v>120.05820849469971</v>
      </c>
      <c r="C38" s="50">
        <f t="shared" si="0"/>
        <v>7.3956835390273152</v>
      </c>
      <c r="D38" s="50">
        <f t="shared" si="0"/>
        <v>2.0793918585378366</v>
      </c>
      <c r="E38" s="51">
        <f t="shared" si="6"/>
        <v>54.696135009439594</v>
      </c>
      <c r="F38" s="51">
        <f t="shared" si="6"/>
        <v>4.3238705013534382</v>
      </c>
      <c r="G38" s="52">
        <f t="shared" si="7"/>
        <v>15.378524139375694</v>
      </c>
      <c r="H38" s="95">
        <f>((1/I27)-(1/I29))/2</f>
        <v>0.85104613021007491</v>
      </c>
      <c r="I38" s="85">
        <f>I32-I31</f>
        <v>189.14544001455249</v>
      </c>
      <c r="J38" s="51">
        <f t="shared" si="1"/>
        <v>8.0715096609975276</v>
      </c>
      <c r="K38" s="51">
        <f t="shared" si="2"/>
        <v>2.0103442483839604</v>
      </c>
      <c r="L38" s="55">
        <f t="shared" si="3"/>
        <v>8.3298578235794316E-3</v>
      </c>
      <c r="M38" s="51">
        <f t="shared" si="4"/>
        <v>2.0020143905603809</v>
      </c>
      <c r="N38" s="94">
        <f t="shared" si="8"/>
        <v>117898874.98738359</v>
      </c>
      <c r="O38" s="56">
        <f t="shared" si="9"/>
        <v>102.41044384875705</v>
      </c>
      <c r="P38" s="57">
        <f t="shared" si="5"/>
        <v>100.46490792662007</v>
      </c>
      <c r="R38" s="47"/>
      <c r="S38" s="47"/>
      <c r="T38" s="47"/>
    </row>
    <row r="39" spans="1:20" ht="12.75" customHeight="1" x14ac:dyDescent="0.35">
      <c r="A39" s="49">
        <f>'New Vestas G27 105L'!W44</f>
        <v>28094604.893149663</v>
      </c>
      <c r="B39" s="48">
        <f>'New Vestas G27 105L'!T44</f>
        <v>118.13760403043072</v>
      </c>
      <c r="C39" s="50">
        <f t="shared" si="0"/>
        <v>7.4486229287985477</v>
      </c>
      <c r="D39" s="50">
        <f t="shared" si="0"/>
        <v>2.0723881586081463</v>
      </c>
      <c r="E39" s="51">
        <f t="shared" si="6"/>
        <v>55.481983535423453</v>
      </c>
      <c r="F39" s="51">
        <f t="shared" si="6"/>
        <v>4.2947926799392633</v>
      </c>
      <c r="G39" s="52">
        <f t="shared" si="7"/>
        <v>15.43643795557924</v>
      </c>
      <c r="H39" s="86"/>
      <c r="I39" s="86"/>
      <c r="J39" s="51">
        <f t="shared" si="1"/>
        <v>8.0650001244219247</v>
      </c>
      <c r="K39" s="51">
        <f t="shared" si="2"/>
        <v>2.0110938323716563</v>
      </c>
      <c r="L39" s="55">
        <f t="shared" si="3"/>
        <v>8.2617965856226425E-3</v>
      </c>
      <c r="M39" s="51">
        <f t="shared" si="4"/>
        <v>2.0028320357860339</v>
      </c>
      <c r="N39" s="94">
        <f t="shared" si="8"/>
        <v>116144894.65862104</v>
      </c>
      <c r="O39" s="56">
        <f t="shared" si="9"/>
        <v>102.58735494911389</v>
      </c>
      <c r="P39" s="57">
        <f t="shared" si="5"/>
        <v>100.65423114177197</v>
      </c>
      <c r="R39" s="47"/>
      <c r="S39" s="47"/>
      <c r="T39" s="47"/>
    </row>
    <row r="40" spans="1:20" ht="12.75" customHeight="1" x14ac:dyDescent="0.35">
      <c r="A40" s="49">
        <f>'New Vestas G27 105L'!W45</f>
        <v>35371793.806110904</v>
      </c>
      <c r="B40" s="48">
        <f>'New Vestas G27 105L'!T45</f>
        <v>116.90497728470585</v>
      </c>
      <c r="C40" s="50">
        <f t="shared" si="0"/>
        <v>7.5486570847042493</v>
      </c>
      <c r="D40" s="50">
        <f t="shared" si="0"/>
        <v>2.067833001848463</v>
      </c>
      <c r="E40" s="51">
        <f t="shared" si="6"/>
        <v>56.982223782455655</v>
      </c>
      <c r="F40" s="51">
        <f t="shared" si="6"/>
        <v>4.2759333235336259</v>
      </c>
      <c r="G40" s="52">
        <f t="shared" si="7"/>
        <v>15.609362239388656</v>
      </c>
      <c r="H40" s="86" t="b">
        <f>H37=H38</f>
        <v>0</v>
      </c>
      <c r="I40" s="86"/>
      <c r="J40" s="51">
        <f t="shared" si="1"/>
        <v>8.0583915313354524</v>
      </c>
      <c r="K40" s="51">
        <f t="shared" si="2"/>
        <v>2.0118548228817006</v>
      </c>
      <c r="L40" s="55">
        <f t="shared" si="3"/>
        <v>8.1931646020056773E-3</v>
      </c>
      <c r="M40" s="51">
        <f t="shared" si="4"/>
        <v>2.0036616582796949</v>
      </c>
      <c r="N40" s="94">
        <f t="shared" si="8"/>
        <v>114390914.32985809</v>
      </c>
      <c r="O40" s="56">
        <f t="shared" si="9"/>
        <v>102.76727075265275</v>
      </c>
      <c r="P40" s="57">
        <f t="shared" si="5"/>
        <v>100.84669231123219</v>
      </c>
      <c r="R40" s="47"/>
      <c r="S40" s="47"/>
      <c r="T40" s="47"/>
    </row>
    <row r="41" spans="1:20" ht="12.75" customHeight="1" x14ac:dyDescent="0.35">
      <c r="A41" s="49">
        <f>'New Vestas G27 105L'!W46</f>
        <v>6572972.3561000377</v>
      </c>
      <c r="B41" s="48">
        <f>'New Vestas G27 105L'!T46</f>
        <v>151.18427342926574</v>
      </c>
      <c r="C41" s="50">
        <f t="shared" si="0"/>
        <v>6.8177618057752012</v>
      </c>
      <c r="D41" s="50">
        <f t="shared" si="0"/>
        <v>2.1795066171036015</v>
      </c>
      <c r="E41" s="51">
        <f t="shared" si="6"/>
        <v>46.481876040287133</v>
      </c>
      <c r="F41" s="51">
        <f t="shared" si="6"/>
        <v>4.7502490939983852</v>
      </c>
      <c r="G41" s="52">
        <f t="shared" si="7"/>
        <v>14.859356969523249</v>
      </c>
      <c r="H41" s="86"/>
      <c r="I41" s="86"/>
      <c r="J41" s="51">
        <f t="shared" si="1"/>
        <v>8.0516808203799961</v>
      </c>
      <c r="K41" s="51">
        <f t="shared" si="2"/>
        <v>2.012627572434583</v>
      </c>
      <c r="L41" s="55">
        <f t="shared" si="3"/>
        <v>8.1239636246555648E-3</v>
      </c>
      <c r="M41" s="51">
        <f t="shared" si="4"/>
        <v>2.0045036088099275</v>
      </c>
      <c r="N41" s="94">
        <f t="shared" si="8"/>
        <v>112636934.00109555</v>
      </c>
      <c r="O41" s="56">
        <f t="shared" si="9"/>
        <v>102.95028955375429</v>
      </c>
      <c r="P41" s="57">
        <f t="shared" si="5"/>
        <v>101.04238967035995</v>
      </c>
      <c r="R41" s="47"/>
      <c r="S41" s="47"/>
      <c r="T41" s="47"/>
    </row>
    <row r="42" spans="1:20" ht="12.75" customHeight="1" x14ac:dyDescent="0.35">
      <c r="A42" s="49">
        <f>'New Vestas G27 105L'!W47</f>
        <v>11348615.969417831</v>
      </c>
      <c r="B42" s="48">
        <f>'New Vestas G27 105L'!T47</f>
        <v>140.46954198969809</v>
      </c>
      <c r="C42" s="50">
        <f t="shared" si="0"/>
        <v>7.0549428999876822</v>
      </c>
      <c r="D42" s="50">
        <f t="shared" si="0"/>
        <v>2.1475821663778514</v>
      </c>
      <c r="E42" s="51">
        <f t="shared" si="6"/>
        <v>49.772219322086606</v>
      </c>
      <c r="F42" s="51">
        <f t="shared" si="6"/>
        <v>4.6121091613441854</v>
      </c>
      <c r="G42" s="52">
        <f t="shared" si="7"/>
        <v>15.151069556827588</v>
      </c>
      <c r="H42" s="86"/>
      <c r="I42" s="86"/>
      <c r="J42" s="51">
        <f t="shared" si="1"/>
        <v>8.0448647860493896</v>
      </c>
      <c r="K42" s="51">
        <f t="shared" si="2"/>
        <v>2.0134124501496817</v>
      </c>
      <c r="L42" s="55">
        <f t="shared" si="3"/>
        <v>8.0541966379503813E-3</v>
      </c>
      <c r="M42" s="51">
        <f t="shared" si="4"/>
        <v>2.0053582535117314</v>
      </c>
      <c r="N42" s="94">
        <f t="shared" si="8"/>
        <v>110882953.67233276</v>
      </c>
      <c r="O42" s="56">
        <f t="shared" si="9"/>
        <v>103.13651445708433</v>
      </c>
      <c r="P42" s="57">
        <f t="shared" si="5"/>
        <v>101.24142597258374</v>
      </c>
      <c r="R42" s="47"/>
      <c r="S42" s="47"/>
      <c r="T42" s="47"/>
    </row>
    <row r="43" spans="1:20" ht="12.75" customHeight="1" thickBot="1" x14ac:dyDescent="0.4">
      <c r="A43" s="49">
        <f>'New Vestas G27 105L'!W48</f>
        <v>15459247.773793986</v>
      </c>
      <c r="B43" s="48">
        <f>'New Vestas G27 105L'!T48</f>
        <v>133.86260302177348</v>
      </c>
      <c r="C43" s="50">
        <f t="shared" si="0"/>
        <v>7.189188357911001</v>
      </c>
      <c r="D43" s="50">
        <f t="shared" si="0"/>
        <v>2.1266592658116701</v>
      </c>
      <c r="E43" s="51">
        <f t="shared" si="6"/>
        <v>51.684429245523077</v>
      </c>
      <c r="F43" s="51">
        <f t="shared" si="6"/>
        <v>4.5226796328626317</v>
      </c>
      <c r="G43" s="52">
        <f t="shared" si="7"/>
        <v>15.288954035016815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8.0379400694950469</v>
      </c>
      <c r="K43" s="51">
        <f t="shared" si="2"/>
        <v>2.0142098428040103</v>
      </c>
      <c r="L43" s="55">
        <f t="shared" si="3"/>
        <v>7.9838680228902312E-3</v>
      </c>
      <c r="M43" s="51">
        <f t="shared" si="4"/>
        <v>2.00622597478112</v>
      </c>
      <c r="N43" s="94">
        <f t="shared" si="8"/>
        <v>109128973.34357029</v>
      </c>
      <c r="O43" s="56">
        <f t="shared" si="9"/>
        <v>103.32605369353284</v>
      </c>
      <c r="P43" s="57">
        <f t="shared" si="5"/>
        <v>101.44390876336794</v>
      </c>
      <c r="R43" s="47"/>
      <c r="S43" s="47"/>
      <c r="T43" s="47"/>
    </row>
    <row r="44" spans="1:20" ht="12.75" customHeight="1" x14ac:dyDescent="0.35">
      <c r="A44" s="49">
        <f>'New Vestas G27 105L'!W49</f>
        <v>18351361.863410998</v>
      </c>
      <c r="B44" s="48">
        <f>'New Vestas G27 105L'!T49</f>
        <v>126.30771195903883</v>
      </c>
      <c r="C44" s="50">
        <f t="shared" si="0"/>
        <v>7.2636682989869135</v>
      </c>
      <c r="D44" s="50">
        <f t="shared" si="0"/>
        <v>2.1014298680454764</v>
      </c>
      <c r="E44" s="51">
        <f t="shared" si="6"/>
        <v>52.760877157707441</v>
      </c>
      <c r="F44" s="51">
        <f t="shared" si="6"/>
        <v>4.4160074903136284</v>
      </c>
      <c r="G44" s="52">
        <f t="shared" si="7"/>
        <v>15.26408951506618</v>
      </c>
      <c r="H44" s="86"/>
      <c r="I44" s="86"/>
      <c r="J44" s="51">
        <f t="shared" si="1"/>
        <v>8.030903148586626</v>
      </c>
      <c r="K44" s="51">
        <f t="shared" si="2"/>
        <v>2.0150201559767495</v>
      </c>
      <c r="L44" s="55">
        <f t="shared" si="3"/>
        <v>7.91298374195493E-3</v>
      </c>
      <c r="M44" s="51">
        <f t="shared" si="4"/>
        <v>2.0071071722347944</v>
      </c>
      <c r="N44" s="94">
        <f t="shared" si="8"/>
        <v>107374993.01480736</v>
      </c>
      <c r="O44" s="56">
        <f t="shared" si="9"/>
        <v>103.51902096236734</v>
      </c>
      <c r="P44" s="57">
        <f t="shared" si="5"/>
        <v>101.64995067484908</v>
      </c>
      <c r="R44" s="47"/>
      <c r="S44" s="47"/>
      <c r="T44" s="47"/>
    </row>
    <row r="45" spans="1:20" ht="12.75" customHeight="1" x14ac:dyDescent="0.35">
      <c r="A45" s="49">
        <f>'New Vestas G27 105L'!W50</f>
        <v>25283417.220278937</v>
      </c>
      <c r="B45" s="48">
        <f>'New Vestas G27 105L'!T50</f>
        <v>121.05088661287125</v>
      </c>
      <c r="C45" s="50">
        <f t="shared" ref="C45:C52" si="10">IF(ISNA(A45),"",LOG10(A45))</f>
        <v>7.4028357713356039</v>
      </c>
      <c r="D45" s="50">
        <f t="shared" ref="D45:D52" si="11">IF(ISNA(B45),"",LOG10(B45))</f>
        <v>2.0829679746919809</v>
      </c>
      <c r="E45" s="51">
        <f t="shared" ref="E45:E52" si="12">IF(C45="","",C45^2)</f>
        <v>54.801977457366007</v>
      </c>
      <c r="F45" s="51">
        <f t="shared" ref="F45:F52" si="13">IF(D45="","",D45^2)</f>
        <v>4.3387555835924125</v>
      </c>
      <c r="G45" s="52">
        <f t="shared" ref="G45:G52" si="14">IF(OR(C45="",D45=""),"",C45*D45)</f>
        <v>15.419869833596271</v>
      </c>
      <c r="H45" s="86"/>
      <c r="I45" s="86"/>
      <c r="J45" s="51">
        <f t="shared" si="1"/>
        <v>8.0237503271541115</v>
      </c>
      <c r="K45" s="51">
        <f t="shared" si="2"/>
        <v>2.0158438152880369</v>
      </c>
      <c r="L45" s="55">
        <f t="shared" si="3"/>
        <v>7.8415515473793489E-3</v>
      </c>
      <c r="M45" s="51">
        <f t="shared" si="4"/>
        <v>2.0080022637406576</v>
      </c>
      <c r="N45" s="94">
        <f t="shared" si="8"/>
        <v>105621012.68604507</v>
      </c>
      <c r="O45" s="56">
        <f t="shared" si="9"/>
        <v>103.71553580223907</v>
      </c>
      <c r="P45" s="57">
        <f t="shared" si="5"/>
        <v>101.85966974302299</v>
      </c>
      <c r="R45" s="47"/>
      <c r="S45" s="47"/>
      <c r="T45" s="47"/>
    </row>
    <row r="46" spans="1:20" ht="12.75" customHeight="1" x14ac:dyDescent="0.35">
      <c r="A46" s="49">
        <f>'New Vestas G27 105L'!W51</f>
        <v>40868780.815604158</v>
      </c>
      <c r="B46" s="48">
        <f>'New Vestas G27 105L'!T51</f>
        <v>119.21243402712456</v>
      </c>
      <c r="C46" s="50">
        <f t="shared" si="10"/>
        <v>7.611391682170777</v>
      </c>
      <c r="D46" s="50">
        <f t="shared" si="11"/>
        <v>2.0763215553013894</v>
      </c>
      <c r="E46" s="51">
        <f t="shared" si="12"/>
        <v>57.933283339418487</v>
      </c>
      <c r="F46" s="51">
        <f t="shared" si="13"/>
        <v>4.3111112010091803</v>
      </c>
      <c r="G46" s="52">
        <f t="shared" si="14"/>
        <v>15.803696615532886</v>
      </c>
      <c r="H46" s="86"/>
      <c r="I46" s="86"/>
      <c r="J46" s="51">
        <f t="shared" si="1"/>
        <v>8.0164777233290359</v>
      </c>
      <c r="K46" s="51">
        <f t="shared" si="2"/>
        <v>2.0166812677414985</v>
      </c>
      <c r="L46" s="55">
        <f t="shared" si="3"/>
        <v>7.7695812159578465E-3</v>
      </c>
      <c r="M46" s="51">
        <f t="shared" si="4"/>
        <v>2.0089116865255408</v>
      </c>
      <c r="N46" s="94">
        <f t="shared" si="8"/>
        <v>103867032.35728218</v>
      </c>
      <c r="O46" s="56">
        <f t="shared" si="9"/>
        <v>103.91572399400498</v>
      </c>
      <c r="P46" s="57">
        <f t="shared" si="5"/>
        <v>102.07318974957089</v>
      </c>
      <c r="R46" s="47"/>
      <c r="S46" s="47"/>
      <c r="T46" s="47"/>
    </row>
    <row r="47" spans="1:20" ht="12.75" customHeight="1" x14ac:dyDescent="0.35">
      <c r="A47" s="49">
        <f>'New Vestas G27 105L'!W52</f>
        <v>10987448.403475326</v>
      </c>
      <c r="B47" s="48">
        <f>'New Vestas G27 105L'!T52</f>
        <v>138.21626111911107</v>
      </c>
      <c r="C47" s="50">
        <f t="shared" si="10"/>
        <v>7.0408968486607986</v>
      </c>
      <c r="D47" s="50">
        <f t="shared" si="11"/>
        <v>2.1405591407144096</v>
      </c>
      <c r="E47" s="51">
        <f t="shared" si="12"/>
        <v>49.574228433481565</v>
      </c>
      <c r="F47" s="51">
        <f t="shared" si="13"/>
        <v>4.5819934348960114</v>
      </c>
      <c r="G47" s="52">
        <f t="shared" si="14"/>
        <v>15.071456108228153</v>
      </c>
      <c r="H47" s="86"/>
      <c r="I47" s="86"/>
      <c r="J47" s="51">
        <f t="shared" si="1"/>
        <v>8.0090812568927952</v>
      </c>
      <c r="K47" s="51">
        <f t="shared" si="2"/>
        <v>2.0175329831811073</v>
      </c>
      <c r="L47" s="55">
        <f t="shared" si="3"/>
        <v>7.6970848139257505E-3</v>
      </c>
      <c r="M47" s="51">
        <f t="shared" si="4"/>
        <v>2.0098358983671814</v>
      </c>
      <c r="N47" s="94">
        <f t="shared" si="8"/>
        <v>102113052.02851942</v>
      </c>
      <c r="O47" s="56">
        <f t="shared" si="9"/>
        <v>104.11971799867742</v>
      </c>
      <c r="P47" s="57">
        <f t="shared" si="5"/>
        <v>102.29064059064028</v>
      </c>
      <c r="R47" s="47"/>
      <c r="S47" s="47"/>
      <c r="T47" s="47"/>
    </row>
    <row r="48" spans="1:20" ht="12.75" customHeight="1" x14ac:dyDescent="0.35">
      <c r="A48" s="49">
        <f>'New Vestas G27 105L'!W53</f>
        <v>14575611.233880883</v>
      </c>
      <c r="B48" s="48">
        <f>'New Vestas G27 105L'!T53</f>
        <v>129.98058130777247</v>
      </c>
      <c r="C48" s="50">
        <f t="shared" si="10"/>
        <v>7.1636267761195977</v>
      </c>
      <c r="D48" s="50">
        <f t="shared" si="11"/>
        <v>2.113878474915968</v>
      </c>
      <c r="E48" s="51">
        <f t="shared" si="12"/>
        <v>51.317548587537658</v>
      </c>
      <c r="F48" s="51">
        <f t="shared" si="13"/>
        <v>4.468482206713059</v>
      </c>
      <c r="G48" s="52">
        <f t="shared" si="14"/>
        <v>15.143036444370889</v>
      </c>
      <c r="H48" s="86"/>
      <c r="I48" s="86"/>
      <c r="J48" s="51">
        <f t="shared" si="1"/>
        <v>8.0015566355288055</v>
      </c>
      <c r="K48" s="51">
        <f t="shared" si="2"/>
        <v>2.0183994558742731</v>
      </c>
      <c r="L48" s="55">
        <f t="shared" si="3"/>
        <v>7.6240769959643045E-3</v>
      </c>
      <c r="M48" s="51">
        <f t="shared" si="4"/>
        <v>2.0107753788783089</v>
      </c>
      <c r="N48" s="94">
        <f t="shared" si="8"/>
        <v>100359071.69975713</v>
      </c>
      <c r="O48" s="56">
        <f t="shared" si="9"/>
        <v>104.32765743423221</v>
      </c>
      <c r="P48" s="57">
        <f t="shared" si="5"/>
        <v>102.51215867516551</v>
      </c>
      <c r="R48" s="47"/>
      <c r="S48" s="47"/>
      <c r="T48" s="47"/>
    </row>
    <row r="49" spans="1:20" ht="12.75" customHeight="1" x14ac:dyDescent="0.35">
      <c r="A49" s="49">
        <f>'New Vestas G27 105L'!W54</f>
        <v>18627508.044747166</v>
      </c>
      <c r="B49" s="48">
        <f>'New Vestas G27 105L'!T54</f>
        <v>127.25448519557391</v>
      </c>
      <c r="C49" s="50">
        <f t="shared" si="10"/>
        <v>7.2701547596304099</v>
      </c>
      <c r="D49" s="50">
        <f t="shared" si="11"/>
        <v>2.1046730983672242</v>
      </c>
      <c r="E49" s="51">
        <f t="shared" si="12"/>
        <v>52.855150228976704</v>
      </c>
      <c r="F49" s="51">
        <f t="shared" si="13"/>
        <v>4.4296488509906915</v>
      </c>
      <c r="G49" s="52">
        <f t="shared" si="14"/>
        <v>15.301299143560557</v>
      </c>
      <c r="H49" s="86"/>
      <c r="I49" s="86"/>
      <c r="J49" s="51">
        <f t="shared" si="1"/>
        <v>7.9938993398625264</v>
      </c>
      <c r="K49" s="51">
        <f t="shared" si="2"/>
        <v>2.0192812062345076</v>
      </c>
      <c r="L49" s="55">
        <f t="shared" si="3"/>
        <v>7.550575342946635E-3</v>
      </c>
      <c r="M49" s="51">
        <f t="shared" si="4"/>
        <v>2.0117306308915608</v>
      </c>
      <c r="N49" s="94">
        <f t="shared" si="8"/>
        <v>98605091.370994121</v>
      </c>
      <c r="O49" s="56">
        <f t="shared" si="9"/>
        <v>104.53968959546694</v>
      </c>
      <c r="P49" s="57">
        <f t="shared" si="5"/>
        <v>102.73788735560416</v>
      </c>
      <c r="R49" s="47"/>
      <c r="S49" s="47"/>
      <c r="T49" s="47"/>
    </row>
    <row r="50" spans="1:20" ht="12.75" customHeight="1" x14ac:dyDescent="0.35">
      <c r="A50" s="49">
        <f>'New Vestas G27 105L'!W55</f>
        <v>26929866.640409358</v>
      </c>
      <c r="B50" s="48">
        <f>'New Vestas G27 105L'!T55</f>
        <v>124.93012956898552</v>
      </c>
      <c r="C50" s="50">
        <f t="shared" si="10"/>
        <v>7.4302342027439376</v>
      </c>
      <c r="D50" s="50">
        <f t="shared" si="11"/>
        <v>2.0966671903961478</v>
      </c>
      <c r="E50" s="51">
        <f t="shared" si="12"/>
        <v>55.208380307625838</v>
      </c>
      <c r="F50" s="51">
        <f t="shared" si="13"/>
        <v>4.3960133072836767</v>
      </c>
      <c r="G50" s="52">
        <f t="shared" si="14"/>
        <v>15.578728269852492</v>
      </c>
      <c r="H50" s="86"/>
      <c r="I50" s="86"/>
      <c r="J50" s="51">
        <f t="shared" si="1"/>
        <v>7.986104607158822</v>
      </c>
      <c r="K50" s="51">
        <f t="shared" si="2"/>
        <v>2.020178782698701</v>
      </c>
      <c r="L50" s="55">
        <f t="shared" si="3"/>
        <v>7.4766007436949935E-3</v>
      </c>
      <c r="M50" s="51">
        <f t="shared" si="4"/>
        <v>2.0127021819550062</v>
      </c>
      <c r="N50" s="94">
        <f t="shared" si="8"/>
        <v>96851111.042231753</v>
      </c>
      <c r="O50" s="56">
        <f t="shared" si="9"/>
        <v>104.75597002163987</v>
      </c>
      <c r="P50" s="57">
        <f t="shared" si="5"/>
        <v>102.96797739431616</v>
      </c>
      <c r="R50" s="47"/>
      <c r="S50" s="47"/>
      <c r="T50" s="47"/>
    </row>
    <row r="51" spans="1:20" ht="12.75" customHeight="1" x14ac:dyDescent="0.35">
      <c r="A51" s="49">
        <f>'New Vestas G27 105L'!W56</f>
        <v>34211494.903207496</v>
      </c>
      <c r="B51" s="48">
        <f>'New Vestas G27 105L'!T56</f>
        <v>121.94577173299243</v>
      </c>
      <c r="C51" s="50">
        <f t="shared" si="10"/>
        <v>7.5341720515024981</v>
      </c>
      <c r="D51" s="50">
        <f t="shared" si="11"/>
        <v>2.0861667464712781</v>
      </c>
      <c r="E51" s="51">
        <f t="shared" si="12"/>
        <v>56.763748501641359</v>
      </c>
      <c r="F51" s="51">
        <f t="shared" si="13"/>
        <v>4.3520916940825582</v>
      </c>
      <c r="G51" s="52">
        <f t="shared" si="14"/>
        <v>15.717539196037801</v>
      </c>
      <c r="H51" s="86"/>
      <c r="I51" s="86"/>
      <c r="J51" s="51">
        <f t="shared" si="1"/>
        <v>7.9781674135293557</v>
      </c>
      <c r="K51" s="51">
        <f t="shared" si="2"/>
        <v>2.0210927637759704</v>
      </c>
      <c r="L51" s="55">
        <f t="shared" si="3"/>
        <v>7.4021778267645043E-3</v>
      </c>
      <c r="M51" s="51">
        <f t="shared" si="4"/>
        <v>2.013690585949206</v>
      </c>
      <c r="N51" s="94">
        <f t="shared" si="8"/>
        <v>95097130.713469028</v>
      </c>
      <c r="O51" s="56">
        <f t="shared" si="9"/>
        <v>104.97666311723778</v>
      </c>
      <c r="P51" s="57">
        <f t="shared" si="5"/>
        <v>103.20258746919615</v>
      </c>
      <c r="R51" s="47"/>
      <c r="S51" s="47"/>
      <c r="T51" s="47"/>
    </row>
    <row r="52" spans="1:20" ht="12.75" customHeight="1" x14ac:dyDescent="0.35">
      <c r="A52" s="49">
        <f>'New Vestas G27 105L'!W57</f>
        <v>37623388.055364452</v>
      </c>
      <c r="B52" s="48">
        <f>'New Vestas G27 105L'!T57</f>
        <v>120.56837580196087</v>
      </c>
      <c r="C52" s="50">
        <f t="shared" si="10"/>
        <v>7.5754579019930794</v>
      </c>
      <c r="D52" s="50">
        <f t="shared" si="11"/>
        <v>2.081233410492878</v>
      </c>
      <c r="E52" s="51">
        <f t="shared" si="12"/>
        <v>57.387562424869387</v>
      </c>
      <c r="F52" s="51">
        <f t="shared" si="13"/>
        <v>4.3315325089518169</v>
      </c>
      <c r="G52" s="52">
        <f t="shared" si="14"/>
        <v>15.766296085410278</v>
      </c>
      <c r="H52" s="86"/>
      <c r="I52" s="86"/>
      <c r="J52" s="51">
        <f t="shared" si="1"/>
        <v>7.9700824544836211</v>
      </c>
      <c r="K52" s="51">
        <f t="shared" si="2"/>
        <v>2.0220237602872388</v>
      </c>
      <c r="L52" s="55">
        <f t="shared" si="3"/>
        <v>7.3273354491200137E-3</v>
      </c>
      <c r="M52" s="51">
        <f t="shared" si="4"/>
        <v>2.0146964248381187</v>
      </c>
      <c r="N52" s="94">
        <f t="shared" si="8"/>
        <v>93343150.384706095</v>
      </c>
      <c r="O52" s="56">
        <f t="shared" si="9"/>
        <v>105.20194283192558</v>
      </c>
      <c r="P52" s="57">
        <f t="shared" si="5"/>
        <v>103.44188472262803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7.9618441236350161</v>
      </c>
      <c r="K53" s="51">
        <f t="shared" si="2"/>
        <v>2.0229724178172699</v>
      </c>
      <c r="L53" s="55">
        <f t="shared" si="3"/>
        <v>7.2521072495406649E-3</v>
      </c>
      <c r="M53" s="51">
        <f t="shared" si="4"/>
        <v>2.0157203105677293</v>
      </c>
      <c r="N53" s="94">
        <f t="shared" si="8"/>
        <v>91589170.05594331</v>
      </c>
      <c r="O53" s="56">
        <f t="shared" si="9"/>
        <v>105.43199340655497</v>
      </c>
      <c r="P53" s="57">
        <f t="shared" si="5"/>
        <v>103.68604535834977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7.9534464893478898</v>
      </c>
      <c r="K54" s="51">
        <f t="shared" si="2"/>
        <v>2.0239394194037965</v>
      </c>
      <c r="L54" s="55">
        <f t="shared" si="3"/>
        <v>7.1765322756883769E-3</v>
      </c>
      <c r="M54" s="51">
        <f t="shared" si="4"/>
        <v>2.0167628871281083</v>
      </c>
      <c r="N54" s="94">
        <f t="shared" si="8"/>
        <v>89835189.727180958</v>
      </c>
      <c r="O54" s="56">
        <f t="shared" si="9"/>
        <v>105.66701019304911</v>
      </c>
      <c r="P54" s="57">
        <f t="shared" si="5"/>
        <v>103.93525529142235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7.9448832690819229</v>
      </c>
      <c r="K55" s="51">
        <f t="shared" si="2"/>
        <v>2.024925488491808</v>
      </c>
      <c r="L55" s="55">
        <f t="shared" si="3"/>
        <v>7.10065569502423E-3</v>
      </c>
      <c r="M55" s="51">
        <f t="shared" si="4"/>
        <v>2.0178248327967836</v>
      </c>
      <c r="N55" s="94">
        <f t="shared" si="8"/>
        <v>88081209.398418158</v>
      </c>
      <c r="O55" s="56">
        <f t="shared" si="9"/>
        <v>105.90720055708587</v>
      </c>
      <c r="P55" s="57">
        <f t="shared" si="5"/>
        <v>104.18971085720857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7.9361478011558981</v>
      </c>
      <c r="K56" s="51">
        <f t="shared" si="2"/>
        <v>2.0259313921850026</v>
      </c>
      <c r="L56" s="55">
        <f t="shared" si="3"/>
        <v>7.02452960116635E-3</v>
      </c>
      <c r="M56" s="51">
        <f t="shared" si="4"/>
        <v>2.0189068625838362</v>
      </c>
      <c r="N56" s="94">
        <f t="shared" si="8"/>
        <v>86327229.069655478</v>
      </c>
      <c r="O56" s="56">
        <f t="shared" si="9"/>
        <v>106.1527848737762</v>
      </c>
      <c r="P56" s="57">
        <f t="shared" si="5"/>
        <v>104.44961958609953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7.9272330136129465</v>
      </c>
      <c r="K57" s="51">
        <f t="shared" si="2"/>
        <v>2.0269579448310009</v>
      </c>
      <c r="L57" s="55">
        <f t="shared" si="3"/>
        <v>6.94821392886775E-3</v>
      </c>
      <c r="M57" s="51">
        <f t="shared" si="4"/>
        <v>2.020009730902133</v>
      </c>
      <c r="N57" s="94">
        <f t="shared" si="8"/>
        <v>84573248.740892768</v>
      </c>
      <c r="O57" s="56">
        <f t="shared" si="9"/>
        <v>106.40399762802507</v>
      </c>
      <c r="P57" s="57">
        <f t="shared" si="5"/>
        <v>104.71520105170408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7.9181313898227437</v>
      </c>
      <c r="K58" s="51">
        <f t="shared" si="2"/>
        <v>2.028006011982316</v>
      </c>
      <c r="L58" s="55">
        <f t="shared" si="3"/>
        <v>6.8717774925651414E-3</v>
      </c>
      <c r="M58" s="51">
        <f t="shared" si="4"/>
        <v>2.0211342344897507</v>
      </c>
      <c r="N58" s="94">
        <f t="shared" si="8"/>
        <v>82819268.412130296</v>
      </c>
      <c r="O58" s="56">
        <f t="shared" si="9"/>
        <v>106.66108863301389</v>
      </c>
      <c r="P58" s="57">
        <f t="shared" si="5"/>
        <v>104.98668780139397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7.9088349304014649</v>
      </c>
      <c r="K59" s="51">
        <f t="shared" si="2"/>
        <v>2.0290765147813286</v>
      </c>
      <c r="L59" s="55">
        <f t="shared" si="3"/>
        <v>6.7952991654175723E-3</v>
      </c>
      <c r="M59" s="51">
        <f t="shared" si="4"/>
        <v>2.0222812156159109</v>
      </c>
      <c r="N59" s="94">
        <f t="shared" si="8"/>
        <v>81065288.083367452</v>
      </c>
      <c r="O59" s="56">
        <f t="shared" si="9"/>
        <v>106.92432438228255</v>
      </c>
      <c r="P59" s="57">
        <f t="shared" si="5"/>
        <v>105.26432637947825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7.8993351109661178</v>
      </c>
      <c r="K60" s="51">
        <f t="shared" si="2"/>
        <v>2.0301704348249503</v>
      </c>
      <c r="L60" s="55">
        <f t="shared" si="3"/>
        <v>6.7188692179196638E-3</v>
      </c>
      <c r="M60" s="51">
        <f t="shared" si="4"/>
        <v>2.0234515656070307</v>
      </c>
      <c r="N60" s="94">
        <f t="shared" si="8"/>
        <v>79311307.754604876</v>
      </c>
      <c r="O60" s="56">
        <f t="shared" si="9"/>
        <v>107.19398955331386</v>
      </c>
      <c r="P60" s="57">
        <f t="shared" si="5"/>
        <v>105.54837845497089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7.8896228351641815</v>
      </c>
      <c r="K61" s="51">
        <f t="shared" si="2"/>
        <v>2.0312888195733372</v>
      </c>
      <c r="L61" s="55">
        <f t="shared" si="3"/>
        <v>6.642590837530893E-3</v>
      </c>
      <c r="M61" s="51">
        <f t="shared" si="4"/>
        <v>2.0246462287358065</v>
      </c>
      <c r="N61" s="94">
        <f t="shared" si="8"/>
        <v>77557327.42584227</v>
      </c>
      <c r="O61" s="56">
        <f t="shared" si="9"/>
        <v>107.47038868336546</v>
      </c>
      <c r="P61" s="57">
        <f t="shared" si="5"/>
        <v>105.83912206793043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7.8796883823299311</v>
      </c>
      <c r="K62" s="51">
        <f t="shared" si="2"/>
        <v>2.032432788377351</v>
      </c>
      <c r="L62" s="55">
        <f t="shared" si="3"/>
        <v>6.5665818532888529E-3</v>
      </c>
      <c r="M62" s="51">
        <f t="shared" si="4"/>
        <v>2.025866206524062</v>
      </c>
      <c r="N62" s="94">
        <f t="shared" si="8"/>
        <v>75803347.097079694</v>
      </c>
      <c r="O62" s="56">
        <f t="shared" si="9"/>
        <v>107.75384804168336</v>
      </c>
      <c r="P62" s="57">
        <f t="shared" si="5"/>
        <v>106.13685301082722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7.8695213490125049</v>
      </c>
      <c r="K63" s="51">
        <f t="shared" si="2"/>
        <v>2.0336035392117009</v>
      </c>
      <c r="L63" s="55">
        <f t="shared" si="3"/>
        <v>6.4909766920305751E-3</v>
      </c>
      <c r="M63" s="51">
        <f t="shared" si="4"/>
        <v>2.0271125625196702</v>
      </c>
      <c r="N63" s="94">
        <f t="shared" si="8"/>
        <v>74049366.76831691</v>
      </c>
      <c r="O63" s="56">
        <f t="shared" si="9"/>
        <v>108.04471772625428</v>
      </c>
      <c r="P63" s="57">
        <f t="shared" si="5"/>
        <v>106.44188636441177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7.8591105834940622</v>
      </c>
      <c r="K64" s="51">
        <f t="shared" si="2"/>
        <v>2.0348023562152848</v>
      </c>
      <c r="L64" s="55">
        <f t="shared" si="3"/>
        <v>6.4159285955645703E-3</v>
      </c>
      <c r="M64" s="51">
        <f t="shared" si="4"/>
        <v>2.0283864276197203</v>
      </c>
      <c r="N64" s="94">
        <f t="shared" si="8"/>
        <v>72295386.439554289</v>
      </c>
      <c r="O64" s="56">
        <f t="shared" si="9"/>
        <v>108.34337401806465</v>
      </c>
      <c r="P64" s="57">
        <f t="shared" si="5"/>
        <v>106.75455821128193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7.8484441122647199</v>
      </c>
      <c r="K65" s="51">
        <f t="shared" si="2"/>
        <v>2.0360306181577252</v>
      </c>
      <c r="L65" s="55">
        <f t="shared" si="3"/>
        <v>6.3416121308139698E-3</v>
      </c>
      <c r="M65" s="51">
        <f t="shared" si="4"/>
        <v>2.0296890060269113</v>
      </c>
      <c r="N65" s="94">
        <f t="shared" si="8"/>
        <v>70541406.11079146</v>
      </c>
      <c r="O65" s="56">
        <f t="shared" si="9"/>
        <v>108.6502220316075</v>
      </c>
      <c r="P65" s="57">
        <f t="shared" si="5"/>
        <v>107.07522755496464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5">LOG($I$24+($I$25-$I$24)*(ROW()-2)/100)</f>
        <v>7.8375090572388348</v>
      </c>
      <c r="K66" s="51">
        <f t="shared" ref="K66:K129" si="16">+$I$14+$I$13*J66</f>
        <v>2.0372898079720509</v>
      </c>
      <c r="L66" s="55">
        <f t="shared" ref="L66:L129" si="17">SQRT(2*$I$20*$I$17)*SQRT((1/$I$2)+((J66-$I$11)^2/$I$8))</f>
        <v>6.2682260274392991E-3</v>
      </c>
      <c r="M66" s="51">
        <f t="shared" ref="M66:M102" si="18">+$I$14+$I$13*J66-L66</f>
        <v>2.0310215819446116</v>
      </c>
      <c r="N66" s="94">
        <f t="shared" si="8"/>
        <v>68787425.782028899</v>
      </c>
      <c r="O66" s="56">
        <f t="shared" si="9"/>
        <v>108.96569870732684</v>
      </c>
      <c r="P66" s="57">
        <f t="shared" ref="P66:P102" si="19">10^M66</f>
        <v>107.40427847807128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5"/>
        <v>7.8262915422772892</v>
      </c>
      <c r="K67" s="51">
        <f t="shared" si="16"/>
        <v>2.0385815235188125</v>
      </c>
      <c r="L67" s="55">
        <f t="shared" si="17"/>
        <v>6.195996379538337E-3</v>
      </c>
      <c r="M67" s="51">
        <f t="shared" si="18"/>
        <v>2.0323855271392741</v>
      </c>
      <c r="N67" s="94">
        <f t="shared" ref="N67:N101" si="20">10^$J67</f>
        <v>67033445.453266226</v>
      </c>
      <c r="O67" s="56">
        <f t="shared" ref="O67:O102" si="21">10^K67</f>
        <v>109.29027620010547</v>
      </c>
      <c r="P67" s="57">
        <f t="shared" si="19"/>
        <v>107.7421225802896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5"/>
        <v>7.8147765873139985</v>
      </c>
      <c r="K68" s="51">
        <f t="shared" si="16"/>
        <v>2.0399074897775895</v>
      </c>
      <c r="L68" s="55">
        <f t="shared" si="17"/>
        <v>6.1251802494335502E-3</v>
      </c>
      <c r="M68" s="51">
        <f t="shared" si="18"/>
        <v>2.033782309528156</v>
      </c>
      <c r="N68" s="94">
        <f t="shared" si="20"/>
        <v>65279465.124503523</v>
      </c>
      <c r="O68" s="56">
        <f t="shared" si="21"/>
        <v>109.62446572812607</v>
      </c>
      <c r="P68" s="57">
        <f t="shared" si="19"/>
        <v>108.08920174602102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5"/>
        <v>7.8029479880602537</v>
      </c>
      <c r="K69" s="51">
        <f t="shared" si="16"/>
        <v>2.0412695726992394</v>
      </c>
      <c r="L69" s="55">
        <f t="shared" si="17"/>
        <v>6.0560697119344947E-3</v>
      </c>
      <c r="M69" s="51">
        <f t="shared" si="18"/>
        <v>2.0352135029873049</v>
      </c>
      <c r="N69" s="94">
        <f t="shared" si="20"/>
        <v>63525484.795740873</v>
      </c>
      <c r="O69" s="56">
        <f t="shared" si="21"/>
        <v>109.96882195892576</v>
      </c>
      <c r="P69" s="57">
        <f t="shared" si="19"/>
        <v>108.44599130289909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5"/>
        <v>7.7907881788631927</v>
      </c>
      <c r="K70" s="51">
        <f t="shared" si="16"/>
        <v>2.0426697949979693</v>
      </c>
      <c r="L70" s="55">
        <f t="shared" si="17"/>
        <v>5.9889963763615581E-3</v>
      </c>
      <c r="M70" s="51">
        <f t="shared" si="18"/>
        <v>2.0366807986216076</v>
      </c>
      <c r="N70" s="94">
        <f t="shared" si="20"/>
        <v>61771504.466978244</v>
      </c>
      <c r="O70" s="56">
        <f t="shared" si="21"/>
        <v>110.32394802479901</v>
      </c>
      <c r="P70" s="57">
        <f t="shared" si="19"/>
        <v>108.81300364688529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5"/>
        <v>7.7782780758057779</v>
      </c>
      <c r="K71" s="51">
        <f t="shared" si="16"/>
        <v>2.0441103542186383</v>
      </c>
      <c r="L71" s="55">
        <f t="shared" si="17"/>
        <v>5.9243364205215721E-3</v>
      </c>
      <c r="M71" s="51">
        <f t="shared" si="18"/>
        <v>2.0381860177981168</v>
      </c>
      <c r="N71" s="94">
        <f t="shared" si="20"/>
        <v>60017524.138215534</v>
      </c>
      <c r="O71" s="56">
        <f t="shared" si="21"/>
        <v>110.69050127863035</v>
      </c>
      <c r="P71" s="57">
        <f t="shared" si="19"/>
        <v>109.19079242799376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5"/>
        <v>7.7653968965306408</v>
      </c>
      <c r="K72" s="51">
        <f t="shared" si="16"/>
        <v>2.0455936434843407</v>
      </c>
      <c r="L72" s="55">
        <f t="shared" si="17"/>
        <v>5.8625161651757757E-3</v>
      </c>
      <c r="M72" s="51">
        <f t="shared" si="18"/>
        <v>2.0397311273191647</v>
      </c>
      <c r="N72" s="94">
        <f t="shared" si="20"/>
        <v>58263543.809452899</v>
      </c>
      <c r="O72" s="56">
        <f t="shared" si="21"/>
        <v>111.06919992473028</v>
      </c>
      <c r="P72" s="57">
        <f t="shared" si="19"/>
        <v>109.57995741401827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5"/>
        <v>7.7521219525171565</v>
      </c>
      <c r="K73" s="51">
        <f t="shared" si="16"/>
        <v>2.0471222754160463</v>
      </c>
      <c r="L73" s="55">
        <f t="shared" si="17"/>
        <v>5.8040182088071003E-3</v>
      </c>
      <c r="M73" s="51">
        <f t="shared" si="18"/>
        <v>2.041318257207239</v>
      </c>
      <c r="N73" s="94">
        <f t="shared" si="20"/>
        <v>56509563.480690233</v>
      </c>
      <c r="O73" s="56">
        <f t="shared" si="21"/>
        <v>111.46083068857767</v>
      </c>
      <c r="P73" s="57">
        <f t="shared" si="19"/>
        <v>109.98115017930746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5"/>
        <v>7.7384284085980131</v>
      </c>
      <c r="K74" s="51">
        <f t="shared" si="16"/>
        <v>2.0486991098246699</v>
      </c>
      <c r="L74" s="55">
        <f t="shared" si="17"/>
        <v>5.7493881303038478E-3</v>
      </c>
      <c r="M74" s="51">
        <f t="shared" si="18"/>
        <v>2.0429497216943662</v>
      </c>
      <c r="N74" s="94">
        <f t="shared" si="20"/>
        <v>54755583.151927702</v>
      </c>
      <c r="O74" s="56">
        <f t="shared" si="21"/>
        <v>111.86625772623077</v>
      </c>
      <c r="P74" s="57">
        <f t="shared" si="19"/>
        <v>110.39508080337117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5"/>
        <v>7.724289003312685</v>
      </c>
      <c r="K75" s="51">
        <f t="shared" si="16"/>
        <v>2.0503272859128345</v>
      </c>
      <c r="L75" s="55">
        <f t="shared" si="17"/>
        <v>5.6992417515316536E-3</v>
      </c>
      <c r="M75" s="51">
        <f t="shared" si="18"/>
        <v>2.0446280441613029</v>
      </c>
      <c r="N75" s="94">
        <f t="shared" si="20"/>
        <v>53001602.82316491</v>
      </c>
      <c r="O75" s="56">
        <f t="shared" si="21"/>
        <v>112.28643302078045</v>
      </c>
      <c r="P75" s="57">
        <f t="shared" si="19"/>
        <v>110.82252581209065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5"/>
        <v>7.7096737221860856</v>
      </c>
      <c r="K76" s="51">
        <f t="shared" si="16"/>
        <v>2.0520102598973784</v>
      </c>
      <c r="L76" s="55">
        <f t="shared" si="17"/>
        <v>5.6542729333658639E-3</v>
      </c>
      <c r="M76" s="51">
        <f t="shared" si="18"/>
        <v>2.0463559869640124</v>
      </c>
      <c r="N76" s="94">
        <f t="shared" si="20"/>
        <v>51247622.494402327</v>
      </c>
      <c r="O76" s="56">
        <f t="shared" si="21"/>
        <v>112.72240857260003</v>
      </c>
      <c r="P76" s="57">
        <f t="shared" si="19"/>
        <v>111.26433765526487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5"/>
        <v>7.6945494140907646</v>
      </c>
      <c r="K77" s="51">
        <f t="shared" si="16"/>
        <v>2.0537518491858888</v>
      </c>
      <c r="L77" s="55">
        <f t="shared" si="17"/>
        <v>5.6152618594743579E-3</v>
      </c>
      <c r="M77" s="51">
        <f t="shared" si="18"/>
        <v>2.0481365873264146</v>
      </c>
      <c r="N77" s="94">
        <f t="shared" si="20"/>
        <v>49493642.165639549</v>
      </c>
      <c r="O77" s="56">
        <f t="shared" si="21"/>
        <v>113.17535076635185</v>
      </c>
      <c r="P77" s="57">
        <f t="shared" si="19"/>
        <v>111.72145609161089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5"/>
        <v>7.6788793383636866</v>
      </c>
      <c r="K78" s="51">
        <f t="shared" si="16"/>
        <v>2.0555562845269586</v>
      </c>
      <c r="L78" s="55">
        <f t="shared" si="17"/>
        <v>5.58308374564694E-3</v>
      </c>
      <c r="M78" s="51">
        <f t="shared" si="18"/>
        <v>2.0499732007813116</v>
      </c>
      <c r="N78" s="94">
        <f t="shared" si="20"/>
        <v>47739661.836876839</v>
      </c>
      <c r="O78" s="56">
        <f t="shared" si="21"/>
        <v>113.64655739628259</v>
      </c>
      <c r="P78" s="57">
        <f t="shared" si="19"/>
        <v>112.19492195051765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5"/>
        <v>7.6626226271157449</v>
      </c>
      <c r="K79" s="51">
        <f t="shared" si="16"/>
        <v>2.0574282719261432</v>
      </c>
      <c r="L79" s="55">
        <f t="shared" si="17"/>
        <v>5.5587179049999165E-3</v>
      </c>
      <c r="M79" s="51">
        <f t="shared" si="18"/>
        <v>2.0518695540211431</v>
      </c>
      <c r="N79" s="94">
        <f t="shared" si="20"/>
        <v>45985681.508114271</v>
      </c>
      <c r="O79" s="56">
        <f t="shared" si="21"/>
        <v>114.1374779599572</v>
      </c>
      <c r="P79" s="57">
        <f t="shared" si="19"/>
        <v>112.6858938645514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5"/>
        <v>7.6457336429327354</v>
      </c>
      <c r="K80" s="51">
        <f t="shared" si="16"/>
        <v>2.0593730666077623</v>
      </c>
      <c r="L80" s="55">
        <f t="shared" si="17"/>
        <v>5.5432571106003243E-3</v>
      </c>
      <c r="M80" s="51">
        <f t="shared" si="18"/>
        <v>2.0538298094971621</v>
      </c>
      <c r="N80" s="94">
        <f t="shared" si="20"/>
        <v>44231701.179351635</v>
      </c>
      <c r="O80" s="56">
        <f t="shared" si="21"/>
        <v>114.64973799988996</v>
      </c>
      <c r="P80" s="57">
        <f t="shared" si="19"/>
        <v>113.19566872551408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5"/>
        <v>7.6281612065534796</v>
      </c>
      <c r="K81" s="51">
        <f t="shared" si="16"/>
        <v>2.0613965619490542</v>
      </c>
      <c r="L81" s="55">
        <f t="shared" si="17"/>
        <v>5.5379172408235944E-3</v>
      </c>
      <c r="M81" s="51">
        <f t="shared" si="18"/>
        <v>2.0558586447082305</v>
      </c>
      <c r="N81" s="94">
        <f t="shared" si="20"/>
        <v>42477720.850588977</v>
      </c>
      <c r="O81" s="56">
        <f t="shared" si="21"/>
        <v>115.1851684976312</v>
      </c>
      <c r="P81" s="57">
        <f t="shared" si="19"/>
        <v>113.72570682036294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5"/>
        <v>7.6098476616022959</v>
      </c>
      <c r="K82" s="51">
        <f t="shared" si="16"/>
        <v>2.0635053971777881</v>
      </c>
      <c r="L82" s="55">
        <f t="shared" si="17"/>
        <v>5.5440472877115315E-3</v>
      </c>
      <c r="M82" s="51">
        <f t="shared" si="18"/>
        <v>2.0579613498900766</v>
      </c>
      <c r="N82" s="94">
        <f t="shared" si="20"/>
        <v>40723740.521826178</v>
      </c>
      <c r="O82" s="56">
        <f t="shared" si="21"/>
        <v>115.74584162723228</v>
      </c>
      <c r="P82" s="57">
        <f t="shared" si="19"/>
        <v>114.27766286673051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5"/>
        <v>7.5907277332971894</v>
      </c>
      <c r="K83" s="51">
        <f t="shared" si="16"/>
        <v>2.0657070887939195</v>
      </c>
      <c r="L83" s="55">
        <f t="shared" si="17"/>
        <v>5.5631399781962019E-3</v>
      </c>
      <c r="M83" s="51">
        <f t="shared" si="18"/>
        <v>2.0601439488157234</v>
      </c>
      <c r="N83" s="94">
        <f t="shared" si="20"/>
        <v>38969760.193063632</v>
      </c>
      <c r="O83" s="56">
        <f t="shared" si="21"/>
        <v>116.33411458579886</v>
      </c>
      <c r="P83" s="57">
        <f t="shared" si="19"/>
        <v>114.8534245139639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5"/>
        <v>7.5707271241531977</v>
      </c>
      <c r="K84" s="51">
        <f t="shared" si="16"/>
        <v>2.0680101922766925</v>
      </c>
      <c r="L84" s="55">
        <f t="shared" si="17"/>
        <v>5.596843530082613E-3</v>
      </c>
      <c r="M84" s="51">
        <f t="shared" si="18"/>
        <v>2.0624133487466096</v>
      </c>
      <c r="N84" s="94">
        <f t="shared" si="20"/>
        <v>37215779.864300974</v>
      </c>
      <c r="O84" s="56">
        <f t="shared" si="21"/>
        <v>116.9526837837075</v>
      </c>
      <c r="P84" s="57">
        <f t="shared" si="19"/>
        <v>115.45516033956844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5"/>
        <v>7.5497607704223801</v>
      </c>
      <c r="K85" s="51">
        <f t="shared" si="16"/>
        <v>2.0704245028584776</v>
      </c>
      <c r="L85" s="55">
        <f t="shared" si="17"/>
        <v>5.6469754703864462E-3</v>
      </c>
      <c r="M85" s="51">
        <f t="shared" si="18"/>
        <v>2.0647775273880913</v>
      </c>
      <c r="N85" s="94">
        <f t="shared" si="20"/>
        <v>35461799.535538323</v>
      </c>
      <c r="O85" s="56">
        <f t="shared" si="21"/>
        <v>117.60465246410007</v>
      </c>
      <c r="P85" s="57">
        <f t="shared" si="19"/>
        <v>116.08538000746888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5"/>
        <v>7.5277306558997807</v>
      </c>
      <c r="K86" s="51">
        <f t="shared" si="16"/>
        <v>2.0729613072686632</v>
      </c>
      <c r="L86" s="55">
        <f t="shared" si="17"/>
        <v>5.715540017454516E-3</v>
      </c>
      <c r="M86" s="51">
        <f t="shared" si="18"/>
        <v>2.0672457672512086</v>
      </c>
      <c r="N86" s="94">
        <f t="shared" si="20"/>
        <v>33707819.206775539</v>
      </c>
      <c r="O86" s="56">
        <f t="shared" si="21"/>
        <v>118.29361593365029</v>
      </c>
      <c r="P86" s="57">
        <f t="shared" si="19"/>
        <v>116.74701015001835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5"/>
        <v>7.5045230410041608</v>
      </c>
      <c r="K87" s="51">
        <f t="shared" si="16"/>
        <v>2.0756337028096263</v>
      </c>
      <c r="L87" s="55">
        <f t="shared" si="17"/>
        <v>5.8047513103137464E-3</v>
      </c>
      <c r="M87" s="51">
        <f t="shared" si="18"/>
        <v>2.0698289514993125</v>
      </c>
      <c r="N87" s="94">
        <f t="shared" si="20"/>
        <v>31953838.878012955</v>
      </c>
      <c r="O87" s="56">
        <f t="shared" si="21"/>
        <v>119.02377018350441</v>
      </c>
      <c r="P87" s="57">
        <f t="shared" si="19"/>
        <v>117.44349082711989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5"/>
        <v>7.4800049088040401</v>
      </c>
      <c r="K88" s="51">
        <f t="shared" si="16"/>
        <v>2.0784570066027581</v>
      </c>
      <c r="L88" s="55">
        <f t="shared" si="17"/>
        <v>5.9170658132175627E-3</v>
      </c>
      <c r="M88" s="51">
        <f t="shared" si="18"/>
        <v>2.0725399407895404</v>
      </c>
      <c r="N88" s="94">
        <f t="shared" si="20"/>
        <v>30199858.549250271</v>
      </c>
      <c r="O88" s="56">
        <f t="shared" si="21"/>
        <v>119.80005201132379</v>
      </c>
      <c r="P88" s="57">
        <f t="shared" si="19"/>
        <v>118.178899321423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5"/>
        <v>7.4540193464505622</v>
      </c>
      <c r="K89" s="51">
        <f t="shared" si="16"/>
        <v>2.081449287424169</v>
      </c>
      <c r="L89" s="55">
        <f t="shared" si="17"/>
        <v>6.0552286193524697E-3</v>
      </c>
      <c r="M89" s="51">
        <f t="shared" si="18"/>
        <v>2.0753940588048168</v>
      </c>
      <c r="N89" s="94">
        <f t="shared" si="20"/>
        <v>28445878.220487624</v>
      </c>
      <c r="O89" s="56">
        <f t="shared" si="21"/>
        <v>120.6283222255344</v>
      </c>
      <c r="P89" s="57">
        <f t="shared" si="19"/>
        <v>118.95811089932724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5"/>
        <v>7.4263794548140831</v>
      </c>
      <c r="K90" s="51">
        <f t="shared" si="16"/>
        <v>2.0846320670201872</v>
      </c>
      <c r="L90" s="55">
        <f t="shared" si="17"/>
        <v>6.2223402889690091E-3</v>
      </c>
      <c r="M90" s="51">
        <f t="shared" si="18"/>
        <v>2.078409726731218</v>
      </c>
      <c r="N90" s="94">
        <f t="shared" si="20"/>
        <v>26691897.891724978</v>
      </c>
      <c r="O90" s="56">
        <f t="shared" si="21"/>
        <v>121.51560878529341</v>
      </c>
      <c r="P90" s="57">
        <f t="shared" si="19"/>
        <v>119.78701057745494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5"/>
        <v>7.3968601849615343</v>
      </c>
      <c r="K91" s="51">
        <f t="shared" si="16"/>
        <v>2.0880312601505988</v>
      </c>
      <c r="L91" s="55">
        <f t="shared" si="17"/>
        <v>6.4219535954790621E-3</v>
      </c>
      <c r="M91" s="51">
        <f t="shared" si="18"/>
        <v>2.0816093065551198</v>
      </c>
      <c r="N91" s="94">
        <f t="shared" si="20"/>
        <v>24937917.562962279</v>
      </c>
      <c r="O91" s="56">
        <f t="shared" si="21"/>
        <v>122.47043492788879</v>
      </c>
      <c r="P91" s="57">
        <f t="shared" si="19"/>
        <v>120.67277684485708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5"/>
        <v>7.3651871923646057</v>
      </c>
      <c r="K92" s="51">
        <f t="shared" si="16"/>
        <v>2.0916784580451555</v>
      </c>
      <c r="L92" s="55">
        <f t="shared" si="17"/>
        <v>6.6582137076512506E-3</v>
      </c>
      <c r="M92" s="51">
        <f t="shared" si="18"/>
        <v>2.0850202443375041</v>
      </c>
      <c r="N92" s="94">
        <f t="shared" si="20"/>
        <v>23183937.234199632</v>
      </c>
      <c r="O92" s="56">
        <f t="shared" si="21"/>
        <v>123.50327041759554</v>
      </c>
      <c r="P92" s="57">
        <f t="shared" si="19"/>
        <v>121.62426936386638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5"/>
        <v>7.3310212976983964</v>
      </c>
      <c r="K93" s="51">
        <f t="shared" si="16"/>
        <v>2.0956127177685118</v>
      </c>
      <c r="L93" s="55">
        <f t="shared" si="17"/>
        <v>6.936062012406422E-3</v>
      </c>
      <c r="M93" s="51">
        <f t="shared" si="18"/>
        <v>2.0886766557561054</v>
      </c>
      <c r="N93" s="94">
        <f t="shared" si="20"/>
        <v>21429956.905436978</v>
      </c>
      <c r="O93" s="56">
        <f t="shared" si="21"/>
        <v>124.62716554525086</v>
      </c>
      <c r="P93" s="57">
        <f t="shared" si="19"/>
        <v>122.65257088429293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5"/>
        <v>7.2939362968804247</v>
      </c>
      <c r="K94" s="51">
        <f t="shared" si="16"/>
        <v>2.0998831174312214</v>
      </c>
      <c r="L94" s="55">
        <f t="shared" si="17"/>
        <v>7.2615350686657445E-3</v>
      </c>
      <c r="M94" s="51">
        <f t="shared" si="18"/>
        <v>2.0926215823625558</v>
      </c>
      <c r="N94" s="94">
        <f t="shared" si="20"/>
        <v>19675976.576674309</v>
      </c>
      <c r="O94" s="56">
        <f t="shared" si="21"/>
        <v>125.85866401932692</v>
      </c>
      <c r="P94" s="57">
        <f t="shared" si="19"/>
        <v>123.77176451157372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5"/>
        <v>7.2533863820653606</v>
      </c>
      <c r="K95" s="51">
        <f t="shared" si="16"/>
        <v>2.1045525077165053</v>
      </c>
      <c r="L95" s="55">
        <f t="shared" si="17"/>
        <v>7.6422101263371525E-3</v>
      </c>
      <c r="M95" s="51">
        <f t="shared" si="18"/>
        <v>2.0969102975901679</v>
      </c>
      <c r="N95" s="94">
        <f t="shared" si="20"/>
        <v>17921996.247911606</v>
      </c>
      <c r="O95" s="56">
        <f t="shared" si="21"/>
        <v>127.21915531805776</v>
      </c>
      <c r="P95" s="57">
        <f t="shared" si="19"/>
        <v>125.00008190934288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5"/>
        <v>7.2086567281170408</v>
      </c>
      <c r="K96" s="51">
        <f t="shared" si="16"/>
        <v>2.1097032019303628</v>
      </c>
      <c r="L96" s="55">
        <f t="shared" si="17"/>
        <v>8.087885448202178E-3</v>
      </c>
      <c r="M96" s="51">
        <f t="shared" si="18"/>
        <v>2.1016153164821607</v>
      </c>
      <c r="N96" s="94">
        <f t="shared" si="20"/>
        <v>16168015.919148987</v>
      </c>
      <c r="O96" s="56">
        <f t="shared" si="21"/>
        <v>128.7369459091658</v>
      </c>
      <c r="P96" s="57">
        <f t="shared" si="19"/>
        <v>126.36165823390631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5"/>
        <v>7.1587855900620729</v>
      </c>
      <c r="K97" s="51">
        <f t="shared" si="16"/>
        <v>2.1154459466096536</v>
      </c>
      <c r="L97" s="55">
        <f t="shared" si="17"/>
        <v>8.6116549514678592E-3</v>
      </c>
      <c r="M97" s="51">
        <f t="shared" si="18"/>
        <v>2.1068342916581857</v>
      </c>
      <c r="N97" s="94">
        <f t="shared" si="20"/>
        <v>14414035.590386333</v>
      </c>
      <c r="O97" s="56">
        <f t="shared" si="21"/>
        <v>130.45055964674521</v>
      </c>
      <c r="P97" s="57">
        <f t="shared" si="19"/>
        <v>127.88932396700801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5"/>
        <v>7.1024356013974357</v>
      </c>
      <c r="K98" s="51">
        <f t="shared" si="16"/>
        <v>2.1219347417365118</v>
      </c>
      <c r="L98" s="55">
        <f t="shared" si="17"/>
        <v>9.2316830295677416E-3</v>
      </c>
      <c r="M98" s="51">
        <f t="shared" si="18"/>
        <v>2.112703058706944</v>
      </c>
      <c r="N98" s="94">
        <f t="shared" si="20"/>
        <v>12660055.261623623</v>
      </c>
      <c r="O98" s="56">
        <f t="shared" si="21"/>
        <v>132.41425510039625</v>
      </c>
      <c r="P98" s="57">
        <f t="shared" si="19"/>
        <v>129.62926503752203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5"/>
        <v>7.0376684772877391</v>
      </c>
      <c r="K99" s="51">
        <f t="shared" si="16"/>
        <v>2.1293927840407392</v>
      </c>
      <c r="L99" s="55">
        <f t="shared" si="17"/>
        <v>9.9743085641341329E-3</v>
      </c>
      <c r="M99" s="51">
        <f t="shared" si="18"/>
        <v>2.1194184754766052</v>
      </c>
      <c r="N99" s="94">
        <f t="shared" si="20"/>
        <v>10906074.932860978</v>
      </c>
      <c r="O99" s="56">
        <f t="shared" si="21"/>
        <v>134.70781259015456</v>
      </c>
      <c r="P99" s="57">
        <f t="shared" si="19"/>
        <v>131.64927612529178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5"/>
        <v>6.9615205007218419</v>
      </c>
      <c r="K100" s="51">
        <f t="shared" si="16"/>
        <v>2.1381613504765116</v>
      </c>
      <c r="L100" s="55">
        <f t="shared" si="17"/>
        <v>1.0879889831665723E-2</v>
      </c>
      <c r="M100" s="51">
        <f t="shared" si="18"/>
        <v>2.1272814606448458</v>
      </c>
      <c r="N100" s="94">
        <f t="shared" si="20"/>
        <v>9152094.6040983442</v>
      </c>
      <c r="O100" s="56">
        <f t="shared" si="21"/>
        <v>137.45525583276049</v>
      </c>
      <c r="P100" s="57">
        <f t="shared" si="19"/>
        <v>134.0545195989441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5"/>
        <v>6.8691210353822409</v>
      </c>
      <c r="K101" s="51">
        <f t="shared" si="16"/>
        <v>2.1488013029348538</v>
      </c>
      <c r="L101" s="55">
        <f t="shared" si="17"/>
        <v>1.2014940512647185E-2</v>
      </c>
      <c r="M101" s="51">
        <f t="shared" si="18"/>
        <v>2.1367863624222068</v>
      </c>
      <c r="N101" s="94">
        <f t="shared" si="20"/>
        <v>7398114.2753356863</v>
      </c>
      <c r="O101" s="56">
        <f t="shared" si="21"/>
        <v>140.86441724541785</v>
      </c>
      <c r="P101" s="57">
        <f t="shared" si="19"/>
        <v>137.02075696244822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5"/>
        <v>6.7515973118801913</v>
      </c>
      <c r="K102" s="51">
        <f t="shared" si="16"/>
        <v>2.1623343556012671</v>
      </c>
      <c r="L102" s="55">
        <f t="shared" si="17"/>
        <v>1.3500991686995529E-2</v>
      </c>
      <c r="M102" s="51">
        <f t="shared" si="18"/>
        <v>2.1488333639142714</v>
      </c>
      <c r="N102" s="94">
        <f>10^$J102</f>
        <v>5644133.9465729911</v>
      </c>
      <c r="O102" s="56">
        <f t="shared" si="21"/>
        <v>145.32300029655488</v>
      </c>
      <c r="P102" s="57">
        <f t="shared" si="19"/>
        <v>140.87481668192038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8.25777973887846</v>
      </c>
      <c r="K104" s="51">
        <f t="shared" si="16"/>
        <v>1.9888949384146797</v>
      </c>
      <c r="L104" s="55">
        <f t="shared" si="17"/>
        <v>1.0429824397905933E-2</v>
      </c>
      <c r="M104" s="51">
        <f>+$I$14+$I$13*J104+L104</f>
        <v>1.9993247628125856</v>
      </c>
      <c r="N104" s="94">
        <f t="shared" ref="N104:N167" si="22">10^$J104</f>
        <v>181042166.82283971</v>
      </c>
      <c r="O104" s="56">
        <f t="shared" ref="O104:O167" si="23">10^K104</f>
        <v>97.47538033418401</v>
      </c>
      <c r="P104" s="57">
        <f t="shared" ref="P104:P167" si="24">10^M104</f>
        <v>99.844641697950365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5">LOG($I$24+($I$25-$I$24)*(ROW()-104)/100)</f>
        <v>8.2535516743393185</v>
      </c>
      <c r="K105" s="51">
        <f t="shared" si="16"/>
        <v>1.9893818070942975</v>
      </c>
      <c r="L105" s="55">
        <f t="shared" si="17"/>
        <v>1.0379559266832282E-2</v>
      </c>
      <c r="M105" s="51">
        <f t="shared" ref="M105:M168" si="26">+$I$14+$I$13*J105+L105</f>
        <v>1.9997613663611298</v>
      </c>
      <c r="N105" s="94">
        <f t="shared" si="22"/>
        <v>179288186.49407652</v>
      </c>
      <c r="O105" s="56">
        <f t="shared" si="23"/>
        <v>97.584717023985547</v>
      </c>
      <c r="P105" s="57">
        <f t="shared" si="24"/>
        <v>99.945067667378609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5"/>
        <v>8.2492820425607718</v>
      </c>
      <c r="K106" s="51">
        <f t="shared" si="16"/>
        <v>1.9898734623108227</v>
      </c>
      <c r="L106" s="55">
        <f t="shared" si="17"/>
        <v>1.0328898085642413E-2</v>
      </c>
      <c r="M106" s="51">
        <f t="shared" si="26"/>
        <v>2.0002023603964654</v>
      </c>
      <c r="N106" s="94">
        <f t="shared" si="22"/>
        <v>177534206.16531432</v>
      </c>
      <c r="O106" s="56">
        <f t="shared" si="23"/>
        <v>97.695253088494184</v>
      </c>
      <c r="P106" s="57">
        <f t="shared" si="24"/>
        <v>100.04660606048247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5"/>
        <v>8.2449700181035706</v>
      </c>
      <c r="K107" s="51">
        <f t="shared" si="16"/>
        <v>1.9903699991149613</v>
      </c>
      <c r="L107" s="55">
        <f t="shared" si="17"/>
        <v>1.0277835448581442E-2</v>
      </c>
      <c r="M107" s="51">
        <f t="shared" si="26"/>
        <v>2.0006478345635426</v>
      </c>
      <c r="N107" s="94">
        <f t="shared" si="22"/>
        <v>175780225.83655134</v>
      </c>
      <c r="O107" s="56">
        <f t="shared" si="23"/>
        <v>97.807013730453377</v>
      </c>
      <c r="P107" s="57">
        <f t="shared" si="24"/>
        <v>100.14928073379598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5"/>
        <v>8.2406147506944212</v>
      </c>
      <c r="K108" s="51">
        <f t="shared" si="16"/>
        <v>1.9908715154170999</v>
      </c>
      <c r="L108" s="55">
        <f t="shared" si="17"/>
        <v>1.0226365879063809E-2</v>
      </c>
      <c r="M108" s="51">
        <f t="shared" si="26"/>
        <v>2.0010978812961637</v>
      </c>
      <c r="N108" s="94">
        <f t="shared" si="22"/>
        <v>174026245.50778905</v>
      </c>
      <c r="O108" s="56">
        <f t="shared" si="23"/>
        <v>97.920024940409689</v>
      </c>
      <c r="P108" s="57">
        <f t="shared" si="24"/>
        <v>100.25311631044552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5"/>
        <v>8.2362153642196638</v>
      </c>
      <c r="K109" s="51">
        <f t="shared" si="16"/>
        <v>1.9913781121031873</v>
      </c>
      <c r="L109" s="55">
        <f t="shared" si="17"/>
        <v>1.0174483831301089E-2</v>
      </c>
      <c r="M109" s="51">
        <f t="shared" si="26"/>
        <v>2.0015525959344882</v>
      </c>
      <c r="N109" s="94">
        <f t="shared" si="22"/>
        <v>172272265.17902559</v>
      </c>
      <c r="O109" s="56">
        <f t="shared" si="23"/>
        <v>98.03431352957405</v>
      </c>
      <c r="P109" s="57">
        <f t="shared" si="24"/>
        <v>100.35813821322377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5"/>
        <v>8.231770955667491</v>
      </c>
      <c r="K110" s="51">
        <f t="shared" si="16"/>
        <v>1.9918898931565385</v>
      </c>
      <c r="L110" s="55">
        <f t="shared" si="17"/>
        <v>1.0122183692284372E-2</v>
      </c>
      <c r="M110" s="51">
        <f t="shared" si="26"/>
        <v>2.002012076848823</v>
      </c>
      <c r="N110" s="94">
        <f t="shared" si="22"/>
        <v>170518284.85026306</v>
      </c>
      <c r="O110" s="56">
        <f t="shared" si="23"/>
        <v>98.14990716440299</v>
      </c>
      <c r="P110" s="57">
        <f t="shared" si="24"/>
        <v>100.46437269946631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5"/>
        <v>8.227280594015447</v>
      </c>
      <c r="K111" s="51">
        <f t="shared" si="16"/>
        <v>1.9924069657859407</v>
      </c>
      <c r="L111" s="55">
        <f t="shared" si="17"/>
        <v>1.006945978416162E-2</v>
      </c>
      <c r="M111" s="51">
        <f t="shared" si="26"/>
        <v>2.0024764255701024</v>
      </c>
      <c r="N111" s="94">
        <f t="shared" si="22"/>
        <v>168764304.52150035</v>
      </c>
      <c r="O111" s="56">
        <f t="shared" si="23"/>
        <v>98.266834403011345</v>
      </c>
      <c r="P111" s="57">
        <f t="shared" si="24"/>
        <v>100.57184689784729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5"/>
        <v>8.2227433190598358</v>
      </c>
      <c r="K112" s="51">
        <f t="shared" si="16"/>
        <v>1.9929294405604505</v>
      </c>
      <c r="L112" s="55">
        <f t="shared" si="17"/>
        <v>1.0016306367056416E-2</v>
      </c>
      <c r="M112" s="51">
        <f t="shared" si="26"/>
        <v>2.0029457469275069</v>
      </c>
      <c r="N112" s="94">
        <f t="shared" si="22"/>
        <v>167010324.19273844</v>
      </c>
      <c r="O112" s="56">
        <f t="shared" si="23"/>
        <v>98.385124733531299</v>
      </c>
      <c r="P112" s="57">
        <f t="shared" si="24"/>
        <v>100.68058884722585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5"/>
        <v>8.2181581401833128</v>
      </c>
      <c r="K113" s="51">
        <f t="shared" si="16"/>
        <v>1.9934574315513063</v>
      </c>
      <c r="L113" s="55">
        <f t="shared" si="17"/>
        <v>9.962717642378504E-3</v>
      </c>
      <c r="M113" s="51">
        <f t="shared" si="26"/>
        <v>2.0034201491936847</v>
      </c>
      <c r="N113" s="94">
        <f t="shared" si="22"/>
        <v>165256343.86397561</v>
      </c>
      <c r="O113" s="56">
        <f t="shared" si="23"/>
        <v>98.5048086145447</v>
      </c>
      <c r="P113" s="57">
        <f t="shared" si="24"/>
        <v>100.79062753767819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5"/>
        <v>8.2135240350567411</v>
      </c>
      <c r="K114" s="51">
        <f t="shared" si="16"/>
        <v>1.9939910564814123</v>
      </c>
      <c r="L114" s="55">
        <f t="shared" si="17"/>
        <v>9.9086877566831131E-3</v>
      </c>
      <c r="M114" s="51">
        <f t="shared" si="26"/>
        <v>2.0038997442380952</v>
      </c>
      <c r="N114" s="94">
        <f t="shared" si="22"/>
        <v>163502363.53521287</v>
      </c>
      <c r="O114" s="56">
        <f t="shared" si="23"/>
        <v>98.625917517723011</v>
      </c>
      <c r="P114" s="57">
        <f t="shared" si="24"/>
        <v>100.90199295386745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5"/>
        <v>8.2088399482710219</v>
      </c>
      <c r="K115" s="51">
        <f t="shared" si="16"/>
        <v>1.9945304368828858</v>
      </c>
      <c r="L115" s="55">
        <f t="shared" si="17"/>
        <v>9.8542108061415341E-3</v>
      </c>
      <c r="M115" s="51">
        <f t="shared" si="26"/>
        <v>2.0043846476890272</v>
      </c>
      <c r="N115" s="94">
        <f t="shared" si="22"/>
        <v>161748383.20644996</v>
      </c>
      <c r="O115" s="56">
        <f t="shared" si="23"/>
        <v>98.748483972822328</v>
      </c>
      <c r="P115" s="57">
        <f t="shared" si="24"/>
        <v>101.01471612091129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5"/>
        <v>8.2041047898943429</v>
      </c>
      <c r="K116" s="51">
        <f t="shared" si="16"/>
        <v>1.9950756982631916</v>
      </c>
      <c r="L116" s="55">
        <f t="shared" si="17"/>
        <v>9.7992808416933613E-3</v>
      </c>
      <c r="M116" s="51">
        <f t="shared" si="26"/>
        <v>2.0048749791048852</v>
      </c>
      <c r="N116" s="94">
        <f t="shared" si="22"/>
        <v>159994402.87768754</v>
      </c>
      <c r="O116" s="56">
        <f t="shared" si="23"/>
        <v>98.872541615188368</v>
      </c>
      <c r="P116" s="57">
        <f t="shared" si="24"/>
        <v>101.12882915292296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5"/>
        <v>8.1993174339499006</v>
      </c>
      <c r="K117" s="51">
        <f t="shared" si="16"/>
        <v>1.9956269702804357</v>
      </c>
      <c r="L117" s="55">
        <f t="shared" si="17"/>
        <v>9.7438918749581695E-3</v>
      </c>
      <c r="M117" s="51">
        <f t="shared" si="26"/>
        <v>2.0053708621553938</v>
      </c>
      <c r="N117" s="94">
        <f t="shared" si="22"/>
        <v>158240422.54892436</v>
      </c>
      <c r="O117" s="56">
        <f t="shared" si="23"/>
        <v>98.998125235942737</v>
      </c>
      <c r="P117" s="57">
        <f t="shared" si="24"/>
        <v>101.24436530441407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5"/>
        <v>8.19447671680879</v>
      </c>
      <c r="K118" s="51">
        <f t="shared" si="16"/>
        <v>1.9961843869284259</v>
      </c>
      <c r="L118" s="55">
        <f t="shared" si="17"/>
        <v>9.6880378849936929E-3</v>
      </c>
      <c r="M118" s="51">
        <f t="shared" si="26"/>
        <v>2.0058724248134197</v>
      </c>
      <c r="N118" s="94">
        <f t="shared" si="22"/>
        <v>156486442.220162</v>
      </c>
      <c r="O118" s="56">
        <f t="shared" si="23"/>
        <v>99.125270835031927</v>
      </c>
      <c r="P118" s="57">
        <f t="shared" si="24"/>
        <v>101.36135902476444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5"/>
        <v>8.1895814354922933</v>
      </c>
      <c r="K119" s="51">
        <f t="shared" si="16"/>
        <v>1.9967480867321672</v>
      </c>
      <c r="L119" s="55">
        <f t="shared" si="17"/>
        <v>9.6317128259970283E-3</v>
      </c>
      <c r="M119" s="51">
        <f t="shared" si="26"/>
        <v>2.006379799558164</v>
      </c>
      <c r="N119" s="94">
        <f t="shared" si="22"/>
        <v>154732461.89139944</v>
      </c>
      <c r="O119" s="56">
        <f t="shared" si="23"/>
        <v>99.254015677337577</v>
      </c>
      <c r="P119" s="57">
        <f t="shared" si="24"/>
        <v>101.47984601598135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5"/>
        <v>8.1846303458774177</v>
      </c>
      <c r="K120" s="51">
        <f t="shared" si="16"/>
        <v>1.9973182129544962</v>
      </c>
      <c r="L120" s="55">
        <f t="shared" si="17"/>
        <v>9.5749106360573794E-3</v>
      </c>
      <c r="M120" s="51">
        <f t="shared" si="26"/>
        <v>2.0068931235905536</v>
      </c>
      <c r="N120" s="94">
        <f t="shared" si="22"/>
        <v>152978481.56263703</v>
      </c>
      <c r="O120" s="56">
        <f t="shared" si="23"/>
        <v>99.384398352060657</v>
      </c>
      <c r="P120" s="57">
        <f t="shared" si="24"/>
        <v>101.59986329398838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5"/>
        <v>8.1796221607989388</v>
      </c>
      <c r="K121" s="51">
        <f t="shared" si="16"/>
        <v>1.9978949138146336</v>
      </c>
      <c r="L121" s="55">
        <f t="shared" si="17"/>
        <v>9.5176252470804065E-3</v>
      </c>
      <c r="M121" s="51">
        <f t="shared" si="26"/>
        <v>2.0074125390617139</v>
      </c>
      <c r="N121" s="94">
        <f t="shared" si="22"/>
        <v>151224501.23387435</v>
      </c>
      <c r="O121" s="56">
        <f t="shared" si="23"/>
        <v>99.516458835611019</v>
      </c>
      <c r="P121" s="57">
        <f t="shared" si="24"/>
        <v>101.72144925370689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5"/>
        <v>8.1745555480407415</v>
      </c>
      <c r="K122" s="51">
        <f t="shared" si="16"/>
        <v>1.9984783427194861</v>
      </c>
      <c r="L122" s="55">
        <f t="shared" si="17"/>
        <v>9.4598505960192016E-3</v>
      </c>
      <c r="M122" s="51">
        <f t="shared" si="26"/>
        <v>2.0079381933155052</v>
      </c>
      <c r="N122" s="94">
        <f t="shared" si="22"/>
        <v>149470520.90511152</v>
      </c>
      <c r="O122" s="56">
        <f t="shared" si="23"/>
        <v>99.650238558253136</v>
      </c>
      <c r="P122" s="57">
        <f t="shared" si="24"/>
        <v>101.84464373821486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5"/>
        <v>8.1694291282085985</v>
      </c>
      <c r="K123" s="51">
        <f t="shared" si="16"/>
        <v>1.9990686585085986</v>
      </c>
      <c r="L123" s="55">
        <f t="shared" si="17"/>
        <v>9.4015806375621572E-3</v>
      </c>
      <c r="M123" s="51">
        <f t="shared" si="26"/>
        <v>2.0084702391461606</v>
      </c>
      <c r="N123" s="94">
        <f t="shared" si="22"/>
        <v>147716540.57634884</v>
      </c>
      <c r="O123" s="56">
        <f t="shared" si="23"/>
        <v>99.785780474778079</v>
      </c>
      <c r="P123" s="57">
        <f t="shared" si="24"/>
        <v>101.96948811229292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5"/>
        <v>8.1642414724758883</v>
      </c>
      <c r="K124" s="51">
        <f t="shared" si="16"/>
        <v>1.9996660257137377</v>
      </c>
      <c r="L124" s="55">
        <f t="shared" si="17"/>
        <v>9.3428093584459523E-3</v>
      </c>
      <c r="M124" s="51">
        <f t="shared" si="26"/>
        <v>2.0090088350721835</v>
      </c>
      <c r="N124" s="94">
        <f t="shared" si="22"/>
        <v>145962560.24758613</v>
      </c>
      <c r="O124" s="56">
        <f t="shared" si="23"/>
        <v>99.923129139496993</v>
      </c>
      <c r="P124" s="57">
        <f t="shared" si="24"/>
        <v>102.09602534069512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5"/>
        <v>8.1589911001930453</v>
      </c>
      <c r="K125" s="51">
        <f t="shared" si="16"/>
        <v>2.0002706148341698</v>
      </c>
      <c r="L125" s="55">
        <f t="shared" si="17"/>
        <v>9.2835307935820455E-3</v>
      </c>
      <c r="M125" s="51">
        <f t="shared" si="26"/>
        <v>2.0095541456277517</v>
      </c>
      <c r="N125" s="94">
        <f t="shared" si="22"/>
        <v>144208579.91882333</v>
      </c>
      <c r="O125" s="56">
        <f t="shared" si="23"/>
        <v>100.06233078587626</v>
      </c>
      <c r="P125" s="57">
        <f t="shared" si="24"/>
        <v>102.22430007151574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5"/>
        <v>8.1536764763507357</v>
      </c>
      <c r="K126" s="51">
        <f t="shared" si="16"/>
        <v>2.0008826026287778</v>
      </c>
      <c r="L126" s="55">
        <f t="shared" si="17"/>
        <v>9.2237390442074588E-3</v>
      </c>
      <c r="M126" s="51">
        <f t="shared" si="26"/>
        <v>2.0101063416729854</v>
      </c>
      <c r="N126" s="94">
        <f t="shared" si="22"/>
        <v>142454599.59006047</v>
      </c>
      <c r="O126" s="56">
        <f t="shared" si="23"/>
        <v>100.20343341116015</v>
      </c>
      <c r="P126" s="57">
        <f t="shared" si="24"/>
        <v>102.35435872505013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5"/>
        <v>8.1482960088858665</v>
      </c>
      <c r="K127" s="51">
        <f t="shared" si="16"/>
        <v>2.0015021724262811</v>
      </c>
      <c r="L127" s="55">
        <f t="shared" si="17"/>
        <v>9.1634282982959378E-3</v>
      </c>
      <c r="M127" s="51">
        <f t="shared" si="26"/>
        <v>2.0106656007245771</v>
      </c>
      <c r="N127" s="94">
        <f t="shared" si="22"/>
        <v>140700619.26129812</v>
      </c>
      <c r="O127" s="56">
        <f t="shared" si="23"/>
        <v>100.34648686636089</v>
      </c>
      <c r="P127" s="57">
        <f t="shared" si="24"/>
        <v>102.48624958859511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5"/>
        <v>8.1428480458186243</v>
      </c>
      <c r="K128" s="51">
        <f t="shared" si="16"/>
        <v>2.0021295144549089</v>
      </c>
      <c r="L128" s="55">
        <f t="shared" si="17"/>
        <v>9.1025928534946444E-3</v>
      </c>
      <c r="M128" s="51">
        <f t="shared" si="26"/>
        <v>2.0112321073084036</v>
      </c>
      <c r="N128" s="94">
        <f t="shared" si="22"/>
        <v>138946638.93253559</v>
      </c>
      <c r="O128" s="56">
        <f t="shared" si="23"/>
        <v>100.49154295202823</v>
      </c>
      <c r="P128" s="57">
        <f t="shared" si="24"/>
        <v>102.62002291766663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5"/>
        <v>8.1373308722076434</v>
      </c>
      <c r="K129" s="51">
        <f t="shared" si="16"/>
        <v>2.002764826193018</v>
      </c>
      <c r="L129" s="55">
        <f t="shared" si="17"/>
        <v>9.0412271428835286E-3</v>
      </c>
      <c r="M129" s="51">
        <f t="shared" si="26"/>
        <v>2.0118060533359015</v>
      </c>
      <c r="N129" s="94">
        <f t="shared" si="22"/>
        <v>137192658.60377276</v>
      </c>
      <c r="O129" s="56">
        <f t="shared" si="23"/>
        <v>100.63865552024527</v>
      </c>
      <c r="P129" s="57">
        <f t="shared" si="24"/>
        <v>102.75573104416455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5"/>
        <v>8.1317427069092769</v>
      </c>
      <c r="K130" s="51">
        <f t="shared" ref="K130:K193" si="27">+$I$14+$I$13*J130</f>
        <v>2.0034083127422688</v>
      </c>
      <c r="L130" s="55">
        <f t="shared" ref="L130:L193" si="28">SQRT(2*$I$20*$I$17)*SQRT((1/$I$2)+((J130-$I$11)^2/$I$8))</f>
        <v>8.9793257638915158E-3</v>
      </c>
      <c r="M130" s="51">
        <f t="shared" si="26"/>
        <v>2.0123876385061603</v>
      </c>
      <c r="N130" s="94">
        <f t="shared" si="22"/>
        <v>135438678.27501023</v>
      </c>
      <c r="O130" s="56">
        <f t="shared" si="23"/>
        <v>100.78788058334523</v>
      </c>
      <c r="P130" s="57">
        <f t="shared" si="24"/>
        <v>102.89342849206272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5"/>
        <v>8.1260816991256188</v>
      </c>
      <c r="K131" s="51">
        <f t="shared" si="27"/>
        <v>2.0040601872251247</v>
      </c>
      <c r="L131" s="55">
        <f t="shared" si="28"/>
        <v>8.9168835107445218E-3</v>
      </c>
      <c r="M131" s="51">
        <f t="shared" si="26"/>
        <v>2.0129770707358694</v>
      </c>
      <c r="N131" s="94">
        <f t="shared" si="22"/>
        <v>133684697.94624749</v>
      </c>
      <c r="O131" s="56">
        <f t="shared" si="23"/>
        <v>100.93927642988064</v>
      </c>
      <c r="P131" s="57">
        <f t="shared" si="24"/>
        <v>103.03317210126083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5"/>
        <v>8.1203459247245853</v>
      </c>
      <c r="K132" s="51">
        <f t="shared" si="27"/>
        <v>2.0047206712086032</v>
      </c>
      <c r="L132" s="55">
        <f t="shared" si="28"/>
        <v>8.8538954108681612E-3</v>
      </c>
      <c r="M132" s="51">
        <f t="shared" si="26"/>
        <v>2.0135745666194715</v>
      </c>
      <c r="N132" s="94">
        <f t="shared" si="22"/>
        <v>131930717.61748448</v>
      </c>
      <c r="O132" s="56">
        <f t="shared" si="23"/>
        <v>101.09290374843535</v>
      </c>
      <c r="P132" s="57">
        <f t="shared" si="24"/>
        <v>103.17502116029661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5"/>
        <v>8.114533382313704</v>
      </c>
      <c r="K133" s="51">
        <f t="shared" si="27"/>
        <v>2.0053899951563832</v>
      </c>
      <c r="L133" s="55">
        <f t="shared" si="28"/>
        <v>8.7903567657201323E-3</v>
      </c>
      <c r="M133" s="51">
        <f t="shared" si="26"/>
        <v>2.0141803519221031</v>
      </c>
      <c r="N133" s="94">
        <f t="shared" si="22"/>
        <v>130176737.2887217</v>
      </c>
      <c r="O133" s="56">
        <f t="shared" si="23"/>
        <v>101.24882575991803</v>
      </c>
      <c r="P133" s="57">
        <f t="shared" si="24"/>
        <v>103.31903754868857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5"/>
        <v>8.1086419890475749</v>
      </c>
      <c r="K134" s="51">
        <f t="shared" si="27"/>
        <v>2.0060683989115851</v>
      </c>
      <c r="L134" s="55">
        <f t="shared" si="28"/>
        <v>8.7262631965881552E-3</v>
      </c>
      <c r="M134" s="51">
        <f t="shared" si="26"/>
        <v>2.0147946621081734</v>
      </c>
      <c r="N134" s="94">
        <f t="shared" si="22"/>
        <v>128422756.95995937</v>
      </c>
      <c r="O134" s="56">
        <f t="shared" si="23"/>
        <v>101.40710835904504</v>
      </c>
      <c r="P134" s="57">
        <f t="shared" si="24"/>
        <v>103.46528588975772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5"/>
        <v>8.1026695761470453</v>
      </c>
      <c r="K135" s="51">
        <f t="shared" si="27"/>
        <v>2.0067561322127427</v>
      </c>
      <c r="L135" s="55">
        <f t="shared" si="28"/>
        <v>8.6616106959579303E-3</v>
      </c>
      <c r="M135" s="51">
        <f t="shared" si="26"/>
        <v>2.0154177429087006</v>
      </c>
      <c r="N135" s="94">
        <f t="shared" si="22"/>
        <v>126668776.63119665</v>
      </c>
      <c r="O135" s="56">
        <f t="shared" si="23"/>
        <v>101.56782026578232</v>
      </c>
      <c r="P135" s="57">
        <f t="shared" si="24"/>
        <v>103.61383371486285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5"/>
        <v>8.0966138841059507</v>
      </c>
      <c r="K136" s="51">
        <f t="shared" si="27"/>
        <v>2.0074534552457584</v>
      </c>
      <c r="L136" s="55">
        <f t="shared" si="28"/>
        <v>8.5963956851328894E-3</v>
      </c>
      <c r="M136" s="51">
        <f t="shared" si="26"/>
        <v>2.0160498509308913</v>
      </c>
      <c r="N136" s="94">
        <f t="shared" si="22"/>
        <v>124914796.30243398</v>
      </c>
      <c r="O136" s="56">
        <f t="shared" si="23"/>
        <v>101.7310331876003</v>
      </c>
      <c r="P136" s="57">
        <f t="shared" si="24"/>
        <v>103.76475164008906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5"/>
        <v>8.090472557558936</v>
      </c>
      <c r="K137" s="51">
        <f t="shared" si="27"/>
        <v>2.0081606392348781</v>
      </c>
      <c r="L137" s="55">
        <f t="shared" si="28"/>
        <v>8.530615078876487E-3</v>
      </c>
      <c r="M137" s="51">
        <f t="shared" si="26"/>
        <v>2.0166912543137547</v>
      </c>
      <c r="N137" s="94">
        <f t="shared" si="22"/>
        <v>123160815.97367133</v>
      </c>
      <c r="O137" s="56">
        <f t="shared" si="23"/>
        <v>101.89682199347342</v>
      </c>
      <c r="P137" s="57">
        <f t="shared" si="24"/>
        <v>103.91811355652806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5"/>
        <v>8.0842431397811563</v>
      </c>
      <c r="K138" s="51">
        <f t="shared" si="27"/>
        <v>2.0088779670760633</v>
      </c>
      <c r="L138" s="55">
        <f t="shared" si="28"/>
        <v>8.4642663579479784E-3</v>
      </c>
      <c r="M138" s="51">
        <f t="shared" si="26"/>
        <v>2.0173422334340114</v>
      </c>
      <c r="N138" s="94">
        <f t="shared" si="22"/>
        <v>121406835.64490922</v>
      </c>
      <c r="O138" s="56">
        <f t="shared" si="23"/>
        <v>102.06526490065922</v>
      </c>
      <c r="P138" s="57">
        <f t="shared" si="24"/>
        <v>104.07399683542529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5"/>
        <v>8.0779230667877364</v>
      </c>
      <c r="K139" s="51">
        <f t="shared" si="27"/>
        <v>2.0096057340164464</v>
      </c>
      <c r="L139" s="55">
        <f t="shared" si="28"/>
        <v>8.3973476505178196E-3</v>
      </c>
      <c r="M139" s="51">
        <f t="shared" si="26"/>
        <v>2.0180030816669641</v>
      </c>
      <c r="N139" s="94">
        <f t="shared" si="22"/>
        <v>119652855.31614582</v>
      </c>
      <c r="O139" s="56">
        <f t="shared" si="23"/>
        <v>102.23644367539323</v>
      </c>
      <c r="P139" s="57">
        <f t="shared" si="24"/>
        <v>104.23248254959914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5"/>
        <v>8.0715096609975276</v>
      </c>
      <c r="K140" s="51">
        <f t="shared" si="27"/>
        <v>2.0103442483839604</v>
      </c>
      <c r="L140" s="55">
        <f t="shared" si="28"/>
        <v>8.3298578235794316E-3</v>
      </c>
      <c r="M140" s="51">
        <f t="shared" si="26"/>
        <v>2.01867410620754</v>
      </c>
      <c r="N140" s="94">
        <f t="shared" si="22"/>
        <v>117898874.98738359</v>
      </c>
      <c r="O140" s="56">
        <f t="shared" si="23"/>
        <v>102.41044384875705</v>
      </c>
      <c r="P140" s="57">
        <f t="shared" si="24"/>
        <v>104.39365571269751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5"/>
        <v>8.0650001244219247</v>
      </c>
      <c r="K141" s="51">
        <f t="shared" si="27"/>
        <v>2.0110938323716563</v>
      </c>
      <c r="L141" s="55">
        <f t="shared" si="28"/>
        <v>8.2617965856226425E-3</v>
      </c>
      <c r="M141" s="51">
        <f t="shared" si="26"/>
        <v>2.0193556289572787</v>
      </c>
      <c r="N141" s="94">
        <f t="shared" si="22"/>
        <v>116144894.65862104</v>
      </c>
      <c r="O141" s="56">
        <f t="shared" si="23"/>
        <v>102.58735494911389</v>
      </c>
      <c r="P141" s="57">
        <f t="shared" si="24"/>
        <v>104.55760553803388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5"/>
        <v>8.0583915313354524</v>
      </c>
      <c r="K142" s="51">
        <f t="shared" si="27"/>
        <v>2.0118548228817006</v>
      </c>
      <c r="L142" s="55">
        <f t="shared" si="28"/>
        <v>8.1931646020056773E-3</v>
      </c>
      <c r="M142" s="51">
        <f t="shared" si="26"/>
        <v>2.0200479874837063</v>
      </c>
      <c r="N142" s="94">
        <f t="shared" si="22"/>
        <v>114390914.32985809</v>
      </c>
      <c r="O142" s="56">
        <f t="shared" si="23"/>
        <v>102.76727075265275</v>
      </c>
      <c r="P142" s="57">
        <f t="shared" si="24"/>
        <v>104.72442571894588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5"/>
        <v>8.0516808203799961</v>
      </c>
      <c r="K143" s="51">
        <f t="shared" si="27"/>
        <v>2.012627572434583</v>
      </c>
      <c r="L143" s="55">
        <f t="shared" si="28"/>
        <v>8.1239636246555648E-3</v>
      </c>
      <c r="M143" s="51">
        <f t="shared" si="26"/>
        <v>2.0207515360592385</v>
      </c>
      <c r="N143" s="94">
        <f t="shared" si="22"/>
        <v>112636934.00109555</v>
      </c>
      <c r="O143" s="56">
        <f t="shared" si="23"/>
        <v>102.95028955375429</v>
      </c>
      <c r="P143" s="57">
        <f t="shared" si="24"/>
        <v>104.89421473283821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5"/>
        <v>8.0448647860493896</v>
      </c>
      <c r="K144" s="51">
        <f t="shared" si="27"/>
        <v>2.0134124501496817</v>
      </c>
      <c r="L144" s="55">
        <f t="shared" si="28"/>
        <v>8.0541966379503813E-3</v>
      </c>
      <c r="M144" s="51">
        <f t="shared" si="26"/>
        <v>2.0214666467876321</v>
      </c>
      <c r="N144" s="94">
        <f t="shared" si="22"/>
        <v>110882953.67233276</v>
      </c>
      <c r="O144" s="56">
        <f t="shared" si="23"/>
        <v>103.13651445708433</v>
      </c>
      <c r="P144" s="57">
        <f t="shared" si="24"/>
        <v>105.06707617133821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5"/>
        <v>8.0379400694950469</v>
      </c>
      <c r="K145" s="51">
        <f t="shared" si="27"/>
        <v>2.0142098428040103</v>
      </c>
      <c r="L145" s="55">
        <f t="shared" si="28"/>
        <v>7.9838680228902312E-3</v>
      </c>
      <c r="M145" s="51">
        <f t="shared" si="26"/>
        <v>2.0221937108269006</v>
      </c>
      <c r="N145" s="94">
        <f t="shared" si="22"/>
        <v>109128973.34357029</v>
      </c>
      <c r="O145" s="56">
        <f t="shared" si="23"/>
        <v>103.32605369353284</v>
      </c>
      <c r="P145" s="57">
        <f t="shared" si="24"/>
        <v>105.24311909927218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5"/>
        <v>8.030903148586626</v>
      </c>
      <c r="K146" s="51">
        <f t="shared" si="27"/>
        <v>2.0150201559767495</v>
      </c>
      <c r="L146" s="55">
        <f t="shared" si="28"/>
        <v>7.91298374195493E-3</v>
      </c>
      <c r="M146" s="51">
        <f t="shared" si="26"/>
        <v>2.0229331397187047</v>
      </c>
      <c r="N146" s="94">
        <f t="shared" si="22"/>
        <v>107374993.01480736</v>
      </c>
      <c r="O146" s="56">
        <f t="shared" si="23"/>
        <v>103.51902096236734</v>
      </c>
      <c r="P146" s="57">
        <f t="shared" si="24"/>
        <v>105.42245844550636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5"/>
        <v>8.0237503271541115</v>
      </c>
      <c r="K147" s="51">
        <f t="shared" si="27"/>
        <v>2.0158438152880369</v>
      </c>
      <c r="L147" s="55">
        <f t="shared" si="28"/>
        <v>7.8415515473793489E-3</v>
      </c>
      <c r="M147" s="51">
        <f t="shared" si="26"/>
        <v>2.0236853668354162</v>
      </c>
      <c r="N147" s="94">
        <f t="shared" si="22"/>
        <v>105621012.68604507</v>
      </c>
      <c r="O147" s="56">
        <f t="shared" si="23"/>
        <v>103.71553580223907</v>
      </c>
      <c r="P147" s="57">
        <f t="shared" si="24"/>
        <v>105.60521542906675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5"/>
        <v>8.0164777233290359</v>
      </c>
      <c r="K148" s="51">
        <f t="shared" si="27"/>
        <v>2.0166812677414985</v>
      </c>
      <c r="L148" s="55">
        <f t="shared" si="28"/>
        <v>7.7695812159578465E-3</v>
      </c>
      <c r="M148" s="51">
        <f t="shared" si="26"/>
        <v>2.0244508489574562</v>
      </c>
      <c r="N148" s="94">
        <f t="shared" si="22"/>
        <v>103867032.35728218</v>
      </c>
      <c r="O148" s="56">
        <f t="shared" si="23"/>
        <v>103.91572399400498</v>
      </c>
      <c r="P148" s="57">
        <f t="shared" si="24"/>
        <v>105.79151802438521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5"/>
        <v>8.0090812568927952</v>
      </c>
      <c r="K149" s="51">
        <f t="shared" si="27"/>
        <v>2.0175329831811073</v>
      </c>
      <c r="L149" s="55">
        <f t="shared" si="28"/>
        <v>7.6970848139257505E-3</v>
      </c>
      <c r="M149" s="51">
        <f t="shared" si="26"/>
        <v>2.0252300679950332</v>
      </c>
      <c r="N149" s="94">
        <f t="shared" si="22"/>
        <v>102113052.02851942</v>
      </c>
      <c r="O149" s="56">
        <f t="shared" si="23"/>
        <v>104.11971799867742</v>
      </c>
      <c r="P149" s="57">
        <f t="shared" si="24"/>
        <v>105.98150146999917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5"/>
        <v>8.0015566355288055</v>
      </c>
      <c r="K150" s="51">
        <f t="shared" si="27"/>
        <v>2.0183994558742731</v>
      </c>
      <c r="L150" s="55">
        <f t="shared" si="28"/>
        <v>7.6240769959643045E-3</v>
      </c>
      <c r="M150" s="51">
        <f t="shared" si="26"/>
        <v>2.0260235328702372</v>
      </c>
      <c r="N150" s="94">
        <f t="shared" si="22"/>
        <v>100359071.69975713</v>
      </c>
      <c r="O150" s="56">
        <f t="shared" si="23"/>
        <v>104.32765743423221</v>
      </c>
      <c r="P150" s="57">
        <f t="shared" si="24"/>
        <v>106.175308825599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5"/>
        <v>7.9938993398625264</v>
      </c>
      <c r="K151" s="51">
        <f t="shared" si="27"/>
        <v>2.0192812062345076</v>
      </c>
      <c r="L151" s="55">
        <f t="shared" si="28"/>
        <v>7.550575342946635E-3</v>
      </c>
      <c r="M151" s="51">
        <f t="shared" si="26"/>
        <v>2.0268317815774544</v>
      </c>
      <c r="N151" s="94">
        <f t="shared" si="22"/>
        <v>98605091.370994121</v>
      </c>
      <c r="O151" s="56">
        <f t="shared" si="23"/>
        <v>104.53968959546694</v>
      </c>
      <c r="P151" s="57">
        <f t="shared" si="24"/>
        <v>106.37309158295095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5"/>
        <v>7.986104607158822</v>
      </c>
      <c r="K152" s="51">
        <f t="shared" si="27"/>
        <v>2.020178782698701</v>
      </c>
      <c r="L152" s="55">
        <f t="shared" si="28"/>
        <v>7.4766007436949935E-3</v>
      </c>
      <c r="M152" s="51">
        <f t="shared" si="26"/>
        <v>2.0276553834423958</v>
      </c>
      <c r="N152" s="94">
        <f t="shared" si="22"/>
        <v>96851111.042231753</v>
      </c>
      <c r="O152" s="56">
        <f t="shared" si="23"/>
        <v>104.75597002163987</v>
      </c>
      <c r="P152" s="57">
        <f t="shared" si="24"/>
        <v>106.57501033695623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5"/>
        <v>7.9781674135293557</v>
      </c>
      <c r="K153" s="51">
        <f t="shared" si="27"/>
        <v>2.0210927637759704</v>
      </c>
      <c r="L153" s="55">
        <f t="shared" si="28"/>
        <v>7.4021778267645043E-3</v>
      </c>
      <c r="M153" s="51">
        <f t="shared" si="26"/>
        <v>2.0284949416027347</v>
      </c>
      <c r="N153" s="94">
        <f t="shared" si="22"/>
        <v>95097130.713469028</v>
      </c>
      <c r="O153" s="56">
        <f t="shared" si="23"/>
        <v>104.97666311723778</v>
      </c>
      <c r="P153" s="57">
        <f t="shared" si="24"/>
        <v>106.78123552395732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5"/>
        <v>7.9700824544836211</v>
      </c>
      <c r="K154" s="51">
        <f t="shared" si="27"/>
        <v>2.0220237602872388</v>
      </c>
      <c r="L154" s="55">
        <f t="shared" si="28"/>
        <v>7.3273354491200137E-3</v>
      </c>
      <c r="M154" s="51">
        <f t="shared" si="26"/>
        <v>2.029351095736359</v>
      </c>
      <c r="N154" s="94">
        <f t="shared" si="22"/>
        <v>93343150.384706095</v>
      </c>
      <c r="O154" s="56">
        <f t="shared" si="23"/>
        <v>105.20194283192558</v>
      </c>
      <c r="P154" s="57">
        <f t="shared" si="24"/>
        <v>106.99194823536244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5"/>
        <v>7.9618441236350161</v>
      </c>
      <c r="K155" s="51">
        <f t="shared" si="27"/>
        <v>2.0229724178172699</v>
      </c>
      <c r="L155" s="55">
        <f t="shared" si="28"/>
        <v>7.2521072495406649E-3</v>
      </c>
      <c r="M155" s="51">
        <f t="shared" si="26"/>
        <v>2.0302245250668105</v>
      </c>
      <c r="N155" s="94">
        <f t="shared" si="22"/>
        <v>91589170.05594331</v>
      </c>
      <c r="O155" s="56">
        <f t="shared" si="23"/>
        <v>105.43199340655497</v>
      </c>
      <c r="P155" s="57">
        <f t="shared" si="24"/>
        <v>107.20734111578963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5"/>
        <v>7.9534464893478898</v>
      </c>
      <c r="K156" s="51">
        <f t="shared" si="27"/>
        <v>2.0239394194037965</v>
      </c>
      <c r="L156" s="55">
        <f t="shared" si="28"/>
        <v>7.1765322756883769E-3</v>
      </c>
      <c r="M156" s="51">
        <f t="shared" si="26"/>
        <v>2.0311159516794848</v>
      </c>
      <c r="N156" s="94">
        <f t="shared" si="22"/>
        <v>89835189.727180958</v>
      </c>
      <c r="O156" s="56">
        <f t="shared" si="23"/>
        <v>105.66701019304911</v>
      </c>
      <c r="P156" s="57">
        <f t="shared" si="24"/>
        <v>107.42761935621495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5"/>
        <v>7.9448832690819229</v>
      </c>
      <c r="K157" s="51">
        <f t="shared" si="27"/>
        <v>2.024925488491808</v>
      </c>
      <c r="L157" s="55">
        <f t="shared" si="28"/>
        <v>7.10065569502423E-3</v>
      </c>
      <c r="M157" s="51">
        <f t="shared" si="26"/>
        <v>2.0320261441868324</v>
      </c>
      <c r="N157" s="94">
        <f t="shared" si="22"/>
        <v>88081209.398418158</v>
      </c>
      <c r="O157" s="56">
        <f t="shared" si="23"/>
        <v>105.90720055708587</v>
      </c>
      <c r="P157" s="57">
        <f t="shared" si="24"/>
        <v>107.65300179410937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5"/>
        <v>7.9361478011558981</v>
      </c>
      <c r="K158" s="51">
        <f t="shared" si="27"/>
        <v>2.0259313921850026</v>
      </c>
      <c r="L158" s="55">
        <f t="shared" si="28"/>
        <v>7.02452960116635E-3</v>
      </c>
      <c r="M158" s="51">
        <f t="shared" si="26"/>
        <v>2.032955921786169</v>
      </c>
      <c r="N158" s="94">
        <f t="shared" si="22"/>
        <v>86327229.069655478</v>
      </c>
      <c r="O158" s="56">
        <f t="shared" si="23"/>
        <v>106.1527848737762</v>
      </c>
      <c r="P158" s="57">
        <f t="shared" si="24"/>
        <v>107.8837221342819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5"/>
        <v>7.9272330136129465</v>
      </c>
      <c r="K159" s="51">
        <f t="shared" si="27"/>
        <v>2.0269579448310009</v>
      </c>
      <c r="L159" s="55">
        <f t="shared" si="28"/>
        <v>6.94821392886775E-3</v>
      </c>
      <c r="M159" s="51">
        <f t="shared" si="26"/>
        <v>2.0339061587598688</v>
      </c>
      <c r="N159" s="94">
        <f t="shared" si="22"/>
        <v>84573248.740892768</v>
      </c>
      <c r="O159" s="56">
        <f t="shared" si="23"/>
        <v>106.40399762802507</v>
      </c>
      <c r="P159" s="57">
        <f t="shared" si="24"/>
        <v>108.12003030614923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5"/>
        <v>7.9181313898227437</v>
      </c>
      <c r="K160" s="51">
        <f t="shared" si="27"/>
        <v>2.028006011982316</v>
      </c>
      <c r="L160" s="55">
        <f t="shared" si="28"/>
        <v>6.8717774925651414E-3</v>
      </c>
      <c r="M160" s="51">
        <f t="shared" si="26"/>
        <v>2.0348777894748813</v>
      </c>
      <c r="N160" s="94">
        <f t="shared" si="22"/>
        <v>82819268.412130296</v>
      </c>
      <c r="O160" s="56">
        <f t="shared" si="23"/>
        <v>106.66108863301389</v>
      </c>
      <c r="P160" s="57">
        <f t="shared" si="24"/>
        <v>108.36219397549735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5"/>
        <v>7.9088349304014649</v>
      </c>
      <c r="K161" s="51">
        <f t="shared" si="27"/>
        <v>2.0290765147813286</v>
      </c>
      <c r="L161" s="55">
        <f t="shared" si="28"/>
        <v>6.7952991654175723E-3</v>
      </c>
      <c r="M161" s="51">
        <f t="shared" si="26"/>
        <v>2.0358718139467462</v>
      </c>
      <c r="N161" s="94">
        <f t="shared" si="22"/>
        <v>81065288.083367452</v>
      </c>
      <c r="O161" s="56">
        <f t="shared" si="23"/>
        <v>106.92432438228255</v>
      </c>
      <c r="P161" s="57">
        <f t="shared" si="24"/>
        <v>108.61050023150533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5"/>
        <v>7.8993351109661178</v>
      </c>
      <c r="K162" s="51">
        <f t="shared" si="27"/>
        <v>2.0301704348249503</v>
      </c>
      <c r="L162" s="55">
        <f t="shared" si="28"/>
        <v>6.7188692179196638E-3</v>
      </c>
      <c r="M162" s="51">
        <f t="shared" si="26"/>
        <v>2.0368893040428699</v>
      </c>
      <c r="N162" s="94">
        <f t="shared" si="22"/>
        <v>79311307.754604876</v>
      </c>
      <c r="O162" s="56">
        <f t="shared" si="23"/>
        <v>107.19398955331386</v>
      </c>
      <c r="P162" s="57">
        <f t="shared" si="24"/>
        <v>108.8652574729802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5"/>
        <v>7.8896228351641815</v>
      </c>
      <c r="K163" s="51">
        <f t="shared" si="27"/>
        <v>2.0312888195733372</v>
      </c>
      <c r="L163" s="55">
        <f t="shared" si="28"/>
        <v>6.642590837530893E-3</v>
      </c>
      <c r="M163" s="51">
        <f t="shared" si="26"/>
        <v>2.0379314104108679</v>
      </c>
      <c r="N163" s="94">
        <f t="shared" si="22"/>
        <v>77557327.42584227</v>
      </c>
      <c r="O163" s="56">
        <f t="shared" si="23"/>
        <v>107.47038868336546</v>
      </c>
      <c r="P163" s="57">
        <f t="shared" si="24"/>
        <v>109.12679752143652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5"/>
        <v>7.8796883823299311</v>
      </c>
      <c r="K164" s="51">
        <f t="shared" si="27"/>
        <v>2.032432788377351</v>
      </c>
      <c r="L164" s="55">
        <f t="shared" si="28"/>
        <v>6.5665818532888529E-3</v>
      </c>
      <c r="M164" s="51">
        <f t="shared" si="26"/>
        <v>2.0389993702306399</v>
      </c>
      <c r="N164" s="94">
        <f t="shared" si="22"/>
        <v>75803347.097079694</v>
      </c>
      <c r="O164" s="56">
        <f t="shared" si="23"/>
        <v>107.75384804168336</v>
      </c>
      <c r="P164" s="57">
        <f t="shared" si="24"/>
        <v>109.39547799298079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5"/>
        <v>7.8695213490125049</v>
      </c>
      <c r="K165" s="51">
        <f t="shared" si="27"/>
        <v>2.0336035392117009</v>
      </c>
      <c r="L165" s="55">
        <f t="shared" si="28"/>
        <v>6.4909766920305751E-3</v>
      </c>
      <c r="M165" s="51">
        <f t="shared" si="26"/>
        <v>2.0400945159037316</v>
      </c>
      <c r="N165" s="94">
        <f t="shared" si="22"/>
        <v>74049366.76831691</v>
      </c>
      <c r="O165" s="56">
        <f t="shared" si="23"/>
        <v>108.04471772625428</v>
      </c>
      <c r="P165" s="57">
        <f t="shared" si="24"/>
        <v>109.6716849660135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5"/>
        <v>7.8591105834940622</v>
      </c>
      <c r="K166" s="51">
        <f t="shared" si="27"/>
        <v>2.0348023562152848</v>
      </c>
      <c r="L166" s="55">
        <f t="shared" si="28"/>
        <v>6.4159285955645703E-3</v>
      </c>
      <c r="M166" s="51">
        <f t="shared" si="26"/>
        <v>2.0412182848108493</v>
      </c>
      <c r="N166" s="94">
        <f t="shared" si="22"/>
        <v>72295386.439554289</v>
      </c>
      <c r="O166" s="56">
        <f t="shared" si="23"/>
        <v>108.34337401806465</v>
      </c>
      <c r="P166" s="57">
        <f t="shared" si="24"/>
        <v>109.95583598769213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5"/>
        <v>7.8484441122647199</v>
      </c>
      <c r="K167" s="51">
        <f t="shared" si="27"/>
        <v>2.0360306181577252</v>
      </c>
      <c r="L167" s="55">
        <f t="shared" si="28"/>
        <v>6.3416121308139698E-3</v>
      </c>
      <c r="M167" s="51">
        <f t="shared" si="26"/>
        <v>2.0423722302885392</v>
      </c>
      <c r="N167" s="94">
        <f t="shared" si="22"/>
        <v>70541406.11079146</v>
      </c>
      <c r="O167" s="56">
        <f t="shared" si="23"/>
        <v>108.6502220316075</v>
      </c>
      <c r="P167" s="57">
        <f t="shared" si="24"/>
        <v>110.24838346906951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5"/>
        <v>7.8375090572388348</v>
      </c>
      <c r="K168" s="51">
        <f t="shared" si="27"/>
        <v>2.0372898079720509</v>
      </c>
      <c r="L168" s="55">
        <f t="shared" si="28"/>
        <v>6.2682260274392991E-3</v>
      </c>
      <c r="M168" s="51">
        <f t="shared" si="26"/>
        <v>2.0435580339994903</v>
      </c>
      <c r="N168" s="94">
        <f t="shared" ref="N168:N204" si="29">10^$J168</f>
        <v>68787425.782028899</v>
      </c>
      <c r="O168" s="56">
        <f t="shared" ref="O168:O204" si="30">10^K168</f>
        <v>108.96569870732684</v>
      </c>
      <c r="P168" s="57">
        <f t="shared" ref="P168:P204" si="31">10^M168</f>
        <v>110.54981852701657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32">LOG($I$24+($I$25-$I$24)*(ROW()-104)/100)</f>
        <v>7.8262915422772892</v>
      </c>
      <c r="K169" s="51">
        <f t="shared" si="27"/>
        <v>2.0385815235188125</v>
      </c>
      <c r="L169" s="55">
        <f t="shared" si="28"/>
        <v>6.195996379538337E-3</v>
      </c>
      <c r="M169" s="51">
        <f t="shared" ref="M169:M204" si="33">+$I$14+$I$13*J169+L169</f>
        <v>2.0447775198983509</v>
      </c>
      <c r="N169" s="94">
        <f t="shared" si="29"/>
        <v>67033445.453266226</v>
      </c>
      <c r="O169" s="56">
        <f t="shared" si="30"/>
        <v>109.29027620010547</v>
      </c>
      <c r="P169" s="57">
        <f t="shared" si="31"/>
        <v>110.86067534073669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32"/>
        <v>7.8147765873139985</v>
      </c>
      <c r="K170" s="51">
        <f t="shared" si="27"/>
        <v>2.0399074897775895</v>
      </c>
      <c r="L170" s="55">
        <f t="shared" si="28"/>
        <v>6.1251802494335502E-3</v>
      </c>
      <c r="M170" s="51">
        <f t="shared" si="33"/>
        <v>2.046032670027023</v>
      </c>
      <c r="N170" s="94">
        <f t="shared" si="29"/>
        <v>65279465.124503523</v>
      </c>
      <c r="O170" s="56">
        <f t="shared" si="30"/>
        <v>109.62446572812607</v>
      </c>
      <c r="P170" s="57">
        <f t="shared" si="31"/>
        <v>111.18153610214328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32"/>
        <v>7.8029479880602537</v>
      </c>
      <c r="K171" s="51">
        <f t="shared" si="27"/>
        <v>2.0412695726992394</v>
      </c>
      <c r="L171" s="55">
        <f t="shared" si="28"/>
        <v>6.0560697119344947E-3</v>
      </c>
      <c r="M171" s="51">
        <f t="shared" si="33"/>
        <v>2.0473256424111739</v>
      </c>
      <c r="N171" s="94">
        <f t="shared" si="29"/>
        <v>63525484.795740873</v>
      </c>
      <c r="O171" s="56">
        <f t="shared" si="30"/>
        <v>109.96882195892576</v>
      </c>
      <c r="P171" s="57">
        <f t="shared" si="31"/>
        <v>111.51303665302596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32"/>
        <v>7.7907881788631927</v>
      </c>
      <c r="K172" s="51">
        <f t="shared" si="27"/>
        <v>2.0426697949979693</v>
      </c>
      <c r="L172" s="55">
        <f t="shared" si="28"/>
        <v>5.9889963763615581E-3</v>
      </c>
      <c r="M172" s="51">
        <f t="shared" si="33"/>
        <v>2.048658791374331</v>
      </c>
      <c r="N172" s="94">
        <f t="shared" si="29"/>
        <v>61771504.466978244</v>
      </c>
      <c r="O172" s="56">
        <f t="shared" si="30"/>
        <v>110.32394802479901</v>
      </c>
      <c r="P172" s="57">
        <f t="shared" si="31"/>
        <v>111.85587291824511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32"/>
        <v>7.7782780758057779</v>
      </c>
      <c r="K173" s="51">
        <f t="shared" si="27"/>
        <v>2.0441103542186383</v>
      </c>
      <c r="L173" s="55">
        <f t="shared" si="28"/>
        <v>5.9243364205215721E-3</v>
      </c>
      <c r="M173" s="51">
        <f t="shared" si="33"/>
        <v>2.0500346906391598</v>
      </c>
      <c r="N173" s="94">
        <f t="shared" si="29"/>
        <v>60017524.138215534</v>
      </c>
      <c r="O173" s="56">
        <f t="shared" si="30"/>
        <v>110.69050127863035</v>
      </c>
      <c r="P173" s="57">
        <f t="shared" si="31"/>
        <v>112.21080826384087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32"/>
        <v>7.7653968965306408</v>
      </c>
      <c r="K174" s="51">
        <f t="shared" si="27"/>
        <v>2.0455936434843407</v>
      </c>
      <c r="L174" s="55">
        <f t="shared" si="28"/>
        <v>5.8625161651757757E-3</v>
      </c>
      <c r="M174" s="51">
        <f t="shared" si="33"/>
        <v>2.0514561596495167</v>
      </c>
      <c r="N174" s="94">
        <f t="shared" si="29"/>
        <v>58263543.809452899</v>
      </c>
      <c r="O174" s="56">
        <f t="shared" si="30"/>
        <v>111.06919992473028</v>
      </c>
      <c r="P174" s="57">
        <f t="shared" si="31"/>
        <v>112.5786819327741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32"/>
        <v>7.7521219525171565</v>
      </c>
      <c r="K175" s="51">
        <f t="shared" si="27"/>
        <v>2.0471222754160463</v>
      </c>
      <c r="L175" s="55">
        <f t="shared" si="28"/>
        <v>5.8040182088071003E-3</v>
      </c>
      <c r="M175" s="51">
        <f t="shared" si="33"/>
        <v>2.0529262936248536</v>
      </c>
      <c r="N175" s="94">
        <f t="shared" si="29"/>
        <v>56509563.480690233</v>
      </c>
      <c r="O175" s="56">
        <f t="shared" si="30"/>
        <v>111.46083068857767</v>
      </c>
      <c r="P175" s="57">
        <f t="shared" si="31"/>
        <v>112.96041874023987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32"/>
        <v>7.7384284085980131</v>
      </c>
      <c r="K176" s="51">
        <f t="shared" si="27"/>
        <v>2.0486991098246699</v>
      </c>
      <c r="L176" s="55">
        <f t="shared" si="28"/>
        <v>5.7493881303038478E-3</v>
      </c>
      <c r="M176" s="51">
        <f t="shared" si="33"/>
        <v>2.0544484979549735</v>
      </c>
      <c r="N176" s="94">
        <f t="shared" si="29"/>
        <v>54755583.151927702</v>
      </c>
      <c r="O176" s="56">
        <f t="shared" si="30"/>
        <v>111.86625772623077</v>
      </c>
      <c r="P176" s="57">
        <f t="shared" si="31"/>
        <v>113.35704024675481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32"/>
        <v>7.724289003312685</v>
      </c>
      <c r="K177" s="51">
        <f t="shared" si="27"/>
        <v>2.0503272859128345</v>
      </c>
      <c r="L177" s="55">
        <f t="shared" si="28"/>
        <v>5.6992417515316536E-3</v>
      </c>
      <c r="M177" s="51">
        <f t="shared" si="33"/>
        <v>2.0560265276643661</v>
      </c>
      <c r="N177" s="94">
        <f t="shared" si="29"/>
        <v>53001602.82316491</v>
      </c>
      <c r="O177" s="56">
        <f t="shared" si="30"/>
        <v>112.28643302078045</v>
      </c>
      <c r="P177" s="57">
        <f t="shared" si="31"/>
        <v>113.76967767282802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32"/>
        <v>7.7096737221860856</v>
      </c>
      <c r="K178" s="51">
        <f t="shared" si="27"/>
        <v>2.0520102598973784</v>
      </c>
      <c r="L178" s="55">
        <f t="shared" si="28"/>
        <v>5.6542729333658639E-3</v>
      </c>
      <c r="M178" s="51">
        <f t="shared" si="33"/>
        <v>2.0576645328307444</v>
      </c>
      <c r="N178" s="94">
        <f t="shared" si="29"/>
        <v>51247622.494402327</v>
      </c>
      <c r="O178" s="56">
        <f t="shared" si="30"/>
        <v>112.72240857260003</v>
      </c>
      <c r="P178" s="57">
        <f t="shared" si="31"/>
        <v>114.19958687730458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32"/>
        <v>7.6945494140907646</v>
      </c>
      <c r="K179" s="51">
        <f t="shared" si="27"/>
        <v>2.0537518491858888</v>
      </c>
      <c r="L179" s="55">
        <f t="shared" si="28"/>
        <v>5.6152618594743579E-3</v>
      </c>
      <c r="M179" s="51">
        <f t="shared" si="33"/>
        <v>2.0593671110453631</v>
      </c>
      <c r="N179" s="94">
        <f t="shared" si="29"/>
        <v>49493642.165639549</v>
      </c>
      <c r="O179" s="56">
        <f t="shared" si="30"/>
        <v>113.17535076635185</v>
      </c>
      <c r="P179" s="57">
        <f t="shared" si="31"/>
        <v>114.6481657971209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32"/>
        <v>7.6788793383636866</v>
      </c>
      <c r="K180" s="51">
        <f t="shared" si="27"/>
        <v>2.0555562845269586</v>
      </c>
      <c r="L180" s="55">
        <f t="shared" si="28"/>
        <v>5.58308374564694E-3</v>
      </c>
      <c r="M180" s="51">
        <f t="shared" si="33"/>
        <v>2.0611393682726056</v>
      </c>
      <c r="N180" s="94">
        <f t="shared" si="29"/>
        <v>47739661.836876839</v>
      </c>
      <c r="O180" s="56">
        <f t="shared" si="30"/>
        <v>113.64655739628259</v>
      </c>
      <c r="P180" s="57">
        <f t="shared" si="31"/>
        <v>115.11697484599891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32"/>
        <v>7.6626226271157449</v>
      </c>
      <c r="K181" s="51">
        <f t="shared" si="27"/>
        <v>2.0574282719261432</v>
      </c>
      <c r="L181" s="55">
        <f t="shared" si="28"/>
        <v>5.5587179049999165E-3</v>
      </c>
      <c r="M181" s="51">
        <f t="shared" si="33"/>
        <v>2.0629869898311433</v>
      </c>
      <c r="N181" s="94">
        <f t="shared" si="29"/>
        <v>45985681.508114271</v>
      </c>
      <c r="O181" s="56">
        <f t="shared" si="30"/>
        <v>114.1374779599572</v>
      </c>
      <c r="P181" s="57">
        <f t="shared" si="31"/>
        <v>115.60776090322913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32"/>
        <v>7.6457336429327354</v>
      </c>
      <c r="K182" s="51">
        <f t="shared" si="27"/>
        <v>2.0593730666077623</v>
      </c>
      <c r="L182" s="55">
        <f t="shared" si="28"/>
        <v>5.5432571106003243E-3</v>
      </c>
      <c r="M182" s="51">
        <f t="shared" si="33"/>
        <v>2.0649163237183625</v>
      </c>
      <c r="N182" s="94">
        <f t="shared" si="29"/>
        <v>44231701.179351635</v>
      </c>
      <c r="O182" s="56">
        <f t="shared" si="30"/>
        <v>114.64973799988996</v>
      </c>
      <c r="P182" s="57">
        <f t="shared" si="31"/>
        <v>116.12248570497329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32"/>
        <v>7.6281612065534796</v>
      </c>
      <c r="K183" s="51">
        <f t="shared" si="27"/>
        <v>2.0613965619490542</v>
      </c>
      <c r="L183" s="55">
        <f t="shared" si="28"/>
        <v>5.5379172408235944E-3</v>
      </c>
      <c r="M183" s="51">
        <f t="shared" si="33"/>
        <v>2.0669344791898778</v>
      </c>
      <c r="N183" s="94">
        <f t="shared" si="29"/>
        <v>42477720.850588977</v>
      </c>
      <c r="O183" s="56">
        <f t="shared" si="30"/>
        <v>115.1851684976312</v>
      </c>
      <c r="P183" s="57">
        <f t="shared" si="31"/>
        <v>116.66335969918167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32"/>
        <v>7.6098476616022959</v>
      </c>
      <c r="K184" s="51">
        <f t="shared" si="27"/>
        <v>2.0635053971777881</v>
      </c>
      <c r="L184" s="55">
        <f t="shared" si="28"/>
        <v>5.5440472877115315E-3</v>
      </c>
      <c r="M184" s="51">
        <f t="shared" si="33"/>
        <v>2.0690494444654997</v>
      </c>
      <c r="N184" s="94">
        <f t="shared" si="29"/>
        <v>40723740.521826178</v>
      </c>
      <c r="O184" s="56">
        <f t="shared" si="30"/>
        <v>115.74584162723228</v>
      </c>
      <c r="P184" s="57">
        <f t="shared" si="31"/>
        <v>117.23288276922415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32"/>
        <v>7.5907277332971894</v>
      </c>
      <c r="K185" s="51">
        <f t="shared" si="27"/>
        <v>2.0657070887939195</v>
      </c>
      <c r="L185" s="55">
        <f t="shared" si="28"/>
        <v>5.5631399781962019E-3</v>
      </c>
      <c r="M185" s="51">
        <f t="shared" si="33"/>
        <v>2.0712702287721156</v>
      </c>
      <c r="N185" s="94">
        <f t="shared" si="29"/>
        <v>38969760.193063632</v>
      </c>
      <c r="O185" s="56">
        <f t="shared" si="30"/>
        <v>116.33411458579886</v>
      </c>
      <c r="P185" s="57">
        <f t="shared" si="31"/>
        <v>117.83389371046873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32"/>
        <v>7.5707271241531977</v>
      </c>
      <c r="K186" s="51">
        <f t="shared" si="27"/>
        <v>2.0680101922766925</v>
      </c>
      <c r="L186" s="55">
        <f t="shared" si="28"/>
        <v>5.596843530082613E-3</v>
      </c>
      <c r="M186" s="51">
        <f t="shared" si="33"/>
        <v>2.0736070358067753</v>
      </c>
      <c r="N186" s="94">
        <f t="shared" si="29"/>
        <v>37215779.864300974</v>
      </c>
      <c r="O186" s="56">
        <f t="shared" si="30"/>
        <v>116.9526837837075</v>
      </c>
      <c r="P186" s="57">
        <f t="shared" si="31"/>
        <v>118.46963101504802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32"/>
        <v>7.5497607704223801</v>
      </c>
      <c r="K187" s="51">
        <f t="shared" si="27"/>
        <v>2.0704245028584776</v>
      </c>
      <c r="L187" s="55">
        <f t="shared" si="28"/>
        <v>5.6469754703864462E-3</v>
      </c>
      <c r="M187" s="51">
        <f t="shared" si="33"/>
        <v>2.0760714783288639</v>
      </c>
      <c r="N187" s="94">
        <f t="shared" si="29"/>
        <v>35461799.535538323</v>
      </c>
      <c r="O187" s="56">
        <f t="shared" si="30"/>
        <v>117.60465246410007</v>
      </c>
      <c r="P187" s="57">
        <f t="shared" si="31"/>
        <v>119.14380846504433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32"/>
        <v>7.5277306558997807</v>
      </c>
      <c r="K188" s="51">
        <f t="shared" si="27"/>
        <v>2.0729613072686632</v>
      </c>
      <c r="L188" s="55">
        <f t="shared" si="28"/>
        <v>5.715540017454516E-3</v>
      </c>
      <c r="M188" s="51">
        <f t="shared" si="33"/>
        <v>2.0786768472861179</v>
      </c>
      <c r="N188" s="94">
        <f t="shared" si="29"/>
        <v>33707819.206775539</v>
      </c>
      <c r="O188" s="56">
        <f t="shared" si="30"/>
        <v>118.29361593365029</v>
      </c>
      <c r="P188" s="57">
        <f t="shared" si="31"/>
        <v>119.86071037430993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32"/>
        <v>7.5045230410041608</v>
      </c>
      <c r="K189" s="51">
        <f t="shared" si="27"/>
        <v>2.0756337028096263</v>
      </c>
      <c r="L189" s="55">
        <f t="shared" si="28"/>
        <v>5.8047513103137464E-3</v>
      </c>
      <c r="M189" s="51">
        <f t="shared" si="33"/>
        <v>2.0814384541199402</v>
      </c>
      <c r="N189" s="94">
        <f t="shared" si="29"/>
        <v>31953838.878012955</v>
      </c>
      <c r="O189" s="56">
        <f t="shared" si="30"/>
        <v>119.02377018350441</v>
      </c>
      <c r="P189" s="57">
        <f t="shared" si="31"/>
        <v>120.62531323723492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32"/>
        <v>7.4800049088040401</v>
      </c>
      <c r="K190" s="51">
        <f t="shared" si="27"/>
        <v>2.0784570066027581</v>
      </c>
      <c r="L190" s="55">
        <f t="shared" si="28"/>
        <v>5.9170658132175627E-3</v>
      </c>
      <c r="M190" s="51">
        <f t="shared" si="33"/>
        <v>2.0843740724159758</v>
      </c>
      <c r="N190" s="94">
        <f t="shared" si="29"/>
        <v>30199858.549250271</v>
      </c>
      <c r="O190" s="56">
        <f t="shared" si="30"/>
        <v>119.80005201132379</v>
      </c>
      <c r="P190" s="57">
        <f t="shared" si="31"/>
        <v>121.44344332469331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32"/>
        <v>7.4540193464505622</v>
      </c>
      <c r="K191" s="51">
        <f t="shared" si="27"/>
        <v>2.081449287424169</v>
      </c>
      <c r="L191" s="55">
        <f t="shared" si="28"/>
        <v>6.0552286193524697E-3</v>
      </c>
      <c r="M191" s="51">
        <f t="shared" si="33"/>
        <v>2.0875045160435213</v>
      </c>
      <c r="N191" s="94">
        <f t="shared" si="29"/>
        <v>28445878.220487624</v>
      </c>
      <c r="O191" s="56">
        <f t="shared" si="30"/>
        <v>120.6283222255344</v>
      </c>
      <c r="P191" s="57">
        <f t="shared" si="31"/>
        <v>122.3219838726411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32"/>
        <v>7.4263794548140831</v>
      </c>
      <c r="K192" s="51">
        <f t="shared" si="27"/>
        <v>2.0846320670201872</v>
      </c>
      <c r="L192" s="55">
        <f t="shared" si="28"/>
        <v>6.2223402889690091E-3</v>
      </c>
      <c r="M192" s="51">
        <f t="shared" si="33"/>
        <v>2.0908544073091564</v>
      </c>
      <c r="N192" s="94">
        <f t="shared" si="29"/>
        <v>26691897.891724978</v>
      </c>
      <c r="O192" s="56">
        <f t="shared" si="30"/>
        <v>121.51560878529341</v>
      </c>
      <c r="P192" s="57">
        <f t="shared" si="31"/>
        <v>123.26915169915429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32"/>
        <v>7.3968601849615343</v>
      </c>
      <c r="K193" s="51">
        <f t="shared" si="27"/>
        <v>2.0880312601505988</v>
      </c>
      <c r="L193" s="55">
        <f t="shared" si="28"/>
        <v>6.4219535954790621E-3</v>
      </c>
      <c r="M193" s="51">
        <f t="shared" si="33"/>
        <v>2.0944532137460778</v>
      </c>
      <c r="N193" s="94">
        <f t="shared" si="29"/>
        <v>24937917.562962279</v>
      </c>
      <c r="O193" s="56">
        <f t="shared" si="30"/>
        <v>122.47043492788879</v>
      </c>
      <c r="P193" s="57">
        <f t="shared" si="31"/>
        <v>124.29487265971936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32"/>
        <v>7.3651871923646057</v>
      </c>
      <c r="K194" s="51">
        <f t="shared" ref="K194:K204" si="34">+$I$14+$I$13*J194</f>
        <v>2.0916784580451555</v>
      </c>
      <c r="L194" s="55">
        <f t="shared" ref="L194:L204" si="35">SQRT(2*$I$20*$I$17)*SQRT((1/$I$2)+((J194-$I$11)^2/$I$8))</f>
        <v>6.6582137076512506E-3</v>
      </c>
      <c r="M194" s="51">
        <f t="shared" si="33"/>
        <v>2.0983366717528069</v>
      </c>
      <c r="N194" s="94">
        <f t="shared" si="29"/>
        <v>23183937.234199632</v>
      </c>
      <c r="O194" s="56">
        <f t="shared" si="30"/>
        <v>123.50327041759554</v>
      </c>
      <c r="P194" s="57">
        <f t="shared" si="31"/>
        <v>125.41130058679951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32"/>
        <v>7.3310212976983964</v>
      </c>
      <c r="K195" s="51">
        <f t="shared" si="34"/>
        <v>2.0956127177685118</v>
      </c>
      <c r="L195" s="55">
        <f t="shared" si="35"/>
        <v>6.936062012406422E-3</v>
      </c>
      <c r="M195" s="51">
        <f t="shared" si="33"/>
        <v>2.1025487797809181</v>
      </c>
      <c r="N195" s="94">
        <f t="shared" si="29"/>
        <v>21429956.905436978</v>
      </c>
      <c r="O195" s="56">
        <f t="shared" si="30"/>
        <v>124.62716554525086</v>
      </c>
      <c r="P195" s="57">
        <f t="shared" si="31"/>
        <v>126.63354938149439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32"/>
        <v>7.2939362968804247</v>
      </c>
      <c r="K196" s="51">
        <f t="shared" si="34"/>
        <v>2.0998831174312214</v>
      </c>
      <c r="L196" s="55">
        <f t="shared" si="35"/>
        <v>7.2615350686657445E-3</v>
      </c>
      <c r="M196" s="51">
        <f t="shared" si="33"/>
        <v>2.1071446524998869</v>
      </c>
      <c r="N196" s="94">
        <f t="shared" si="29"/>
        <v>19675976.576674309</v>
      </c>
      <c r="O196" s="56">
        <f t="shared" si="30"/>
        <v>125.85866401932692</v>
      </c>
      <c r="P196" s="57">
        <f t="shared" si="31"/>
        <v>127.98075046630368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32"/>
        <v>7.2533863820653606</v>
      </c>
      <c r="K197" s="51">
        <f t="shared" si="34"/>
        <v>2.1045525077165053</v>
      </c>
      <c r="L197" s="55">
        <f t="shared" si="35"/>
        <v>7.6422101263371525E-3</v>
      </c>
      <c r="M197" s="51">
        <f t="shared" si="33"/>
        <v>2.1121947178428426</v>
      </c>
      <c r="N197" s="94">
        <f t="shared" si="29"/>
        <v>17921996.247911606</v>
      </c>
      <c r="O197" s="56">
        <f t="shared" si="30"/>
        <v>127.21915531805776</v>
      </c>
      <c r="P197" s="57">
        <f t="shared" si="31"/>
        <v>129.47762299530467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32"/>
        <v>7.2086567281170408</v>
      </c>
      <c r="K198" s="51">
        <f t="shared" si="34"/>
        <v>2.1097032019303628</v>
      </c>
      <c r="L198" s="55">
        <f t="shared" si="35"/>
        <v>8.087885448202178E-3</v>
      </c>
      <c r="M198" s="51">
        <f t="shared" si="33"/>
        <v>2.1177910873785648</v>
      </c>
      <c r="N198" s="94">
        <f t="shared" si="29"/>
        <v>16168015.919148987</v>
      </c>
      <c r="O198" s="56">
        <f t="shared" si="30"/>
        <v>128.7369459091658</v>
      </c>
      <c r="P198" s="57">
        <f t="shared" si="31"/>
        <v>131.15688313729672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32"/>
        <v>7.1587855900620729</v>
      </c>
      <c r="K199" s="51">
        <f t="shared" si="34"/>
        <v>2.1154459466096536</v>
      </c>
      <c r="L199" s="55">
        <f t="shared" si="35"/>
        <v>8.6116549514678592E-3</v>
      </c>
      <c r="M199" s="51">
        <f t="shared" si="33"/>
        <v>2.1240576015611214</v>
      </c>
      <c r="N199" s="94">
        <f t="shared" si="29"/>
        <v>14414035.590386333</v>
      </c>
      <c r="O199" s="56">
        <f t="shared" si="30"/>
        <v>130.45055964674521</v>
      </c>
      <c r="P199" s="57">
        <f t="shared" si="31"/>
        <v>133.06308911711059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32"/>
        <v>7.1024356013974357</v>
      </c>
      <c r="K200" s="51">
        <f t="shared" si="34"/>
        <v>2.1219347417365118</v>
      </c>
      <c r="L200" s="55">
        <f t="shared" si="35"/>
        <v>9.2316830295677416E-3</v>
      </c>
      <c r="M200" s="51">
        <f t="shared" si="33"/>
        <v>2.1311664247660795</v>
      </c>
      <c r="N200" s="94">
        <f t="shared" si="29"/>
        <v>12660055.261623623</v>
      </c>
      <c r="O200" s="56">
        <f t="shared" si="30"/>
        <v>132.41425510039625</v>
      </c>
      <c r="P200" s="57">
        <f t="shared" si="31"/>
        <v>135.25907864028713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32"/>
        <v>7.0376684772877391</v>
      </c>
      <c r="K201" s="51">
        <f t="shared" si="34"/>
        <v>2.1293927840407392</v>
      </c>
      <c r="L201" s="55">
        <f t="shared" si="35"/>
        <v>9.9743085641341329E-3</v>
      </c>
      <c r="M201" s="51">
        <f t="shared" si="33"/>
        <v>2.1393670926048731</v>
      </c>
      <c r="N201" s="94">
        <f t="shared" si="29"/>
        <v>10906074.932860978</v>
      </c>
      <c r="O201" s="56">
        <f t="shared" si="30"/>
        <v>134.70781259015456</v>
      </c>
      <c r="P201" s="57">
        <f t="shared" si="31"/>
        <v>137.83740637931265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32"/>
        <v>6.9615205007218419</v>
      </c>
      <c r="K202" s="51">
        <f t="shared" si="34"/>
        <v>2.1381613504765116</v>
      </c>
      <c r="L202" s="55">
        <f t="shared" si="35"/>
        <v>1.0879889831665723E-2</v>
      </c>
      <c r="M202" s="51">
        <f t="shared" si="33"/>
        <v>2.1490412403081773</v>
      </c>
      <c r="N202" s="94">
        <f t="shared" si="29"/>
        <v>9152094.6040983442</v>
      </c>
      <c r="O202" s="56">
        <f t="shared" si="30"/>
        <v>137.45525583276049</v>
      </c>
      <c r="P202" s="57">
        <f t="shared" si="31"/>
        <v>140.94226298803935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32"/>
        <v>6.8691210353822409</v>
      </c>
      <c r="K203" s="51">
        <f t="shared" si="34"/>
        <v>2.1488013029348538</v>
      </c>
      <c r="L203" s="55">
        <f t="shared" si="35"/>
        <v>1.2014940512647185E-2</v>
      </c>
      <c r="M203" s="51">
        <f t="shared" si="33"/>
        <v>2.1608162434475009</v>
      </c>
      <c r="N203" s="94">
        <f t="shared" si="29"/>
        <v>7398114.2753356863</v>
      </c>
      <c r="O203" s="56">
        <f t="shared" si="30"/>
        <v>140.86441724541785</v>
      </c>
      <c r="P203" s="57">
        <f t="shared" si="31"/>
        <v>144.81589859651172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32"/>
        <v>6.7515973118801913</v>
      </c>
      <c r="K204" s="51">
        <f t="shared" si="34"/>
        <v>2.1623343556012671</v>
      </c>
      <c r="L204" s="55">
        <f t="shared" si="35"/>
        <v>1.3500991686995529E-2</v>
      </c>
      <c r="M204" s="51">
        <f t="shared" si="33"/>
        <v>2.1758353472882628</v>
      </c>
      <c r="N204" s="97">
        <f t="shared" si="29"/>
        <v>5644133.9465729911</v>
      </c>
      <c r="O204" s="91">
        <f t="shared" si="30"/>
        <v>145.32300029655488</v>
      </c>
      <c r="P204" s="92">
        <f t="shared" si="31"/>
        <v>149.91163724369792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1:Y343"/>
  <sheetViews>
    <sheetView topLeftCell="K1" zoomScale="85" zoomScaleNormal="85" workbookViewId="0">
      <selection activeCell="X5" sqref="X5"/>
    </sheetView>
  </sheetViews>
  <sheetFormatPr defaultColWidth="9.1796875" defaultRowHeight="14.5" x14ac:dyDescent="0.35"/>
  <cols>
    <col min="4" max="4" width="25.54296875" bestFit="1" customWidth="1"/>
    <col min="5" max="5" width="9.1796875" style="1"/>
    <col min="10" max="10" width="11" customWidth="1"/>
    <col min="11" max="11" width="9.54296875" bestFit="1" customWidth="1"/>
    <col min="12" max="12" width="9.54296875" customWidth="1"/>
    <col min="13" max="13" width="12.81640625" bestFit="1" customWidth="1"/>
    <col min="14" max="14" width="12" bestFit="1" customWidth="1"/>
    <col min="15" max="15" width="18.453125" bestFit="1" customWidth="1"/>
    <col min="16" max="16" width="14" customWidth="1"/>
    <col min="17" max="17" width="13.1796875" bestFit="1" customWidth="1"/>
    <col min="18" max="18" width="22.1796875" customWidth="1"/>
    <col min="19" max="20" width="12.54296875" customWidth="1"/>
    <col min="21" max="21" width="10" bestFit="1" customWidth="1"/>
    <col min="22" max="22" width="12.81640625" bestFit="1" customWidth="1"/>
    <col min="23" max="23" width="19.90625" customWidth="1"/>
    <col min="24" max="24" width="14.81640625" customWidth="1"/>
    <col min="25" max="25" width="28.81640625" customWidth="1"/>
    <col min="26" max="26" width="16.1796875" customWidth="1"/>
    <col min="27" max="29" width="17.54296875" customWidth="1"/>
    <col min="30" max="30" width="38.81640625" bestFit="1" customWidth="1"/>
    <col min="31" max="32" width="38.81640625" customWidth="1"/>
  </cols>
  <sheetData>
    <row r="1" spans="4:25" x14ac:dyDescent="0.35">
      <c r="D1" t="s">
        <v>0</v>
      </c>
      <c r="E1" s="1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3" t="s">
        <v>10</v>
      </c>
      <c r="O1" s="3"/>
      <c r="P1" s="3" t="s">
        <v>11</v>
      </c>
      <c r="Q1" s="3" t="s">
        <v>12</v>
      </c>
      <c r="R1" s="3" t="s">
        <v>13</v>
      </c>
      <c r="S1" s="3" t="s">
        <v>14</v>
      </c>
    </row>
    <row r="2" spans="4:25" x14ac:dyDescent="0.35">
      <c r="D2">
        <v>1.1919999999999999</v>
      </c>
      <c r="E2" s="4">
        <v>0.80600000000000005</v>
      </c>
      <c r="F2" s="3"/>
      <c r="G2" s="3"/>
      <c r="H2" s="3">
        <v>1.2290000000000001</v>
      </c>
      <c r="I2" s="3" t="s">
        <v>102</v>
      </c>
      <c r="J2" s="5">
        <f>'Drop size and fallvelocity'!I2</f>
        <v>1.9040000000000001E-3</v>
      </c>
      <c r="K2" s="3">
        <v>0.4</v>
      </c>
      <c r="L2" s="99">
        <f>'Drop size and fallvelocity'!I8</f>
        <v>2.3199999999999998</v>
      </c>
      <c r="M2" s="3">
        <v>29</v>
      </c>
      <c r="N2" s="6">
        <v>85</v>
      </c>
      <c r="O2" s="7"/>
      <c r="P2" s="109">
        <f>1000*4/3*PI()*POWER((J2/2),3)</f>
        <v>3.6140940865063069E-6</v>
      </c>
      <c r="Q2" s="8">
        <v>0.38940000000000002</v>
      </c>
      <c r="R2">
        <f>(N2/1000)/3600</f>
        <v>2.3611111111111114E-5</v>
      </c>
      <c r="S2" s="9">
        <f>((2*PI())/360)*305</f>
        <v>5.3232542185827052</v>
      </c>
    </row>
    <row r="3" spans="4:25" s="12" customFormat="1" ht="58" x14ac:dyDescent="0.35">
      <c r="D3" s="10" t="s">
        <v>16</v>
      </c>
      <c r="E3" s="11" t="s">
        <v>17</v>
      </c>
      <c r="F3" s="10"/>
      <c r="G3" s="10" t="s">
        <v>18</v>
      </c>
      <c r="H3" s="10" t="s">
        <v>19</v>
      </c>
      <c r="I3" s="10" t="s">
        <v>20</v>
      </c>
      <c r="J3" s="10" t="s">
        <v>21</v>
      </c>
      <c r="K3" s="10" t="s">
        <v>22</v>
      </c>
      <c r="L3" s="10" t="s">
        <v>23</v>
      </c>
      <c r="M3" s="10" t="s">
        <v>24</v>
      </c>
      <c r="N3" s="10" t="s">
        <v>25</v>
      </c>
      <c r="O3" s="10" t="s">
        <v>89</v>
      </c>
      <c r="P3" s="10" t="s">
        <v>26</v>
      </c>
      <c r="Q3" s="10" t="s">
        <v>27</v>
      </c>
      <c r="R3" s="10" t="s">
        <v>28</v>
      </c>
      <c r="S3" s="10" t="s">
        <v>29</v>
      </c>
      <c r="T3" s="10" t="s">
        <v>30</v>
      </c>
      <c r="U3" s="10" t="s">
        <v>31</v>
      </c>
      <c r="V3" s="10" t="s">
        <v>32</v>
      </c>
      <c r="Y3" s="12" t="s">
        <v>123</v>
      </c>
    </row>
    <row r="4" spans="4:25" x14ac:dyDescent="0.35">
      <c r="D4" s="13"/>
      <c r="E4" s="14"/>
      <c r="F4" s="13" t="s">
        <v>33</v>
      </c>
      <c r="G4" s="13" t="s">
        <v>34</v>
      </c>
      <c r="H4" s="13" t="s">
        <v>35</v>
      </c>
      <c r="I4" s="13" t="s">
        <v>36</v>
      </c>
      <c r="J4" s="13" t="s">
        <v>35</v>
      </c>
      <c r="K4" s="13" t="s">
        <v>35</v>
      </c>
      <c r="L4" s="13" t="s">
        <v>36</v>
      </c>
      <c r="M4" s="10" t="s">
        <v>37</v>
      </c>
      <c r="N4" s="10" t="s">
        <v>38</v>
      </c>
      <c r="O4" s="10" t="s">
        <v>158</v>
      </c>
      <c r="P4" s="10" t="s">
        <v>39</v>
      </c>
      <c r="Q4" s="13" t="s">
        <v>40</v>
      </c>
      <c r="R4" s="10" t="s">
        <v>35</v>
      </c>
      <c r="S4" s="13" t="s">
        <v>35</v>
      </c>
      <c r="T4" s="13" t="s">
        <v>36</v>
      </c>
      <c r="U4" s="13" t="s">
        <v>41</v>
      </c>
      <c r="V4" s="13" t="s">
        <v>42</v>
      </c>
      <c r="W4" s="108" t="s">
        <v>154</v>
      </c>
      <c r="X4" s="108" t="s">
        <v>125</v>
      </c>
      <c r="Y4" s="108" t="s">
        <v>124</v>
      </c>
    </row>
    <row r="5" spans="4:25" x14ac:dyDescent="0.35">
      <c r="D5" s="15"/>
      <c r="E5" s="16"/>
      <c r="F5" s="15"/>
      <c r="G5" s="15"/>
      <c r="H5" s="15"/>
      <c r="I5" s="15"/>
      <c r="J5" s="15"/>
      <c r="K5" s="15"/>
      <c r="L5" s="15"/>
      <c r="M5" s="17"/>
      <c r="N5" s="17"/>
      <c r="O5" s="17"/>
      <c r="P5" s="17"/>
      <c r="Q5" s="15"/>
      <c r="R5" s="17"/>
      <c r="S5" s="15"/>
      <c r="T5" s="15"/>
      <c r="U5" s="15"/>
      <c r="V5" s="15"/>
      <c r="W5" t="s">
        <v>157</v>
      </c>
      <c r="X5" t="s">
        <v>155</v>
      </c>
    </row>
    <row r="6" spans="4:25" ht="15" thickBot="1" x14ac:dyDescent="0.4">
      <c r="D6" s="15"/>
      <c r="E6" s="16"/>
      <c r="F6" s="15"/>
      <c r="G6" s="15"/>
      <c r="H6" s="15"/>
      <c r="I6" s="15"/>
      <c r="J6" s="15"/>
      <c r="K6" s="15"/>
      <c r="L6" s="15"/>
      <c r="M6" s="17"/>
      <c r="N6" s="17"/>
      <c r="O6" s="17"/>
      <c r="P6" s="110">
        <f>O7*1000000*PI()*J2^2/4</f>
        <v>23928635238.265411</v>
      </c>
      <c r="Q6" s="18"/>
      <c r="R6" s="18"/>
      <c r="S6" s="15">
        <f>H2</f>
        <v>1.2290000000000001</v>
      </c>
      <c r="T6" s="15"/>
      <c r="U6" s="15"/>
      <c r="V6" s="15"/>
    </row>
    <row r="7" spans="4:25" ht="15" thickBot="1" x14ac:dyDescent="0.4">
      <c r="D7" s="19" t="s">
        <v>101</v>
      </c>
      <c r="E7" s="20">
        <v>2</v>
      </c>
      <c r="F7" s="21">
        <v>800</v>
      </c>
      <c r="G7" s="22">
        <f t="shared" ref="G7" si="0">F7/60*2*PI()</f>
        <v>83.775804095727821</v>
      </c>
      <c r="H7" s="21">
        <f t="shared" ref="H7:H47" si="1">$H$2</f>
        <v>1.2290000000000001</v>
      </c>
      <c r="I7" s="22">
        <f t="shared" ref="I7" si="2">G7*H7</f>
        <v>102.96046323364951</v>
      </c>
      <c r="J7" s="23">
        <f t="shared" ref="J7:J47" si="3">$J$2</f>
        <v>1.9040000000000001E-3</v>
      </c>
      <c r="K7" s="21">
        <f t="shared" ref="K7:K47" si="4">$K$2</f>
        <v>0.4</v>
      </c>
      <c r="L7" s="24">
        <f t="shared" ref="L7:L47" si="5">$L$2</f>
        <v>2.3199999999999998</v>
      </c>
      <c r="M7" s="25">
        <f>($R$2*G7)/($S$2*($D$2-$E$2)*$L$2)</f>
        <v>4.1493735422274439E-4</v>
      </c>
      <c r="N7" s="26">
        <f t="shared" ref="N7" si="6">3/(2*$J$2)*M7</f>
        <v>0.32689392402001916</v>
      </c>
      <c r="O7" s="135">
        <f>P7/((((J7)/(2))^2)*PI())</f>
        <v>8404157059.0284328</v>
      </c>
      <c r="P7" s="22">
        <f>(3/(2*$J$2))*R7</f>
        <v>23928.635238265408</v>
      </c>
      <c r="Q7" s="21">
        <f>U7*60</f>
        <v>86400</v>
      </c>
      <c r="R7" s="27">
        <f>($R$2*$G7*$Q7)/(2*PI()*($D$2-$E$2)*$L$2)</f>
        <v>30.373414329104897</v>
      </c>
      <c r="S7" s="28">
        <f>$S$6-V7/1000</f>
        <v>1.20467796355365</v>
      </c>
      <c r="T7" s="22">
        <f>G7*S7</f>
        <v>100.92286507311093</v>
      </c>
      <c r="U7">
        <v>1440</v>
      </c>
      <c r="V7">
        <v>24.322036446350129</v>
      </c>
      <c r="W7">
        <f>O7*X7</f>
        <v>154683062.1829651</v>
      </c>
      <c r="X7">
        <f>0.5*$P$2*T7*T7</f>
        <v>1.8405541578591977E-2</v>
      </c>
      <c r="Y7" s="27">
        <f t="shared" ref="Y7:Y47" si="7">($R$2*$G7*$Q7)/(2*PI()*($D$2-$E$2))</f>
        <v>70.466321243523353</v>
      </c>
    </row>
    <row r="8" spans="4:25" ht="15" thickBot="1" x14ac:dyDescent="0.4">
      <c r="D8" s="19" t="s">
        <v>103</v>
      </c>
      <c r="E8" s="20">
        <v>1</v>
      </c>
      <c r="F8" s="21">
        <v>996</v>
      </c>
      <c r="G8" s="22">
        <f t="shared" ref="G8" si="8">F8/60*2*PI()</f>
        <v>104.30087609918114</v>
      </c>
      <c r="H8" s="21">
        <f t="shared" si="1"/>
        <v>1.2290000000000001</v>
      </c>
      <c r="I8" s="22">
        <f t="shared" ref="I8" si="9">G8*H8</f>
        <v>128.18577672589362</v>
      </c>
      <c r="J8" s="23">
        <f t="shared" si="3"/>
        <v>1.9040000000000001E-3</v>
      </c>
      <c r="K8" s="21">
        <f t="shared" si="4"/>
        <v>0.4</v>
      </c>
      <c r="L8" s="24">
        <f t="shared" si="5"/>
        <v>2.3199999999999998</v>
      </c>
      <c r="M8" s="25">
        <f>($R$2*G8)/($S$2*($D$2-$E$2)*$L$2)</f>
        <v>5.1659700600731676E-4</v>
      </c>
      <c r="N8" s="26">
        <f t="shared" ref="N8" si="10">3/(2*$J$2)*M8</f>
        <v>0.40698293540492386</v>
      </c>
      <c r="O8" s="135">
        <f t="shared" ref="O8:O47" si="11">P8/((((J8)/(2))^2)*PI())</f>
        <v>1089914118.5927498</v>
      </c>
      <c r="P8" s="22">
        <f>(3/(2*$J$2))*R8</f>
        <v>3103.2448824625453</v>
      </c>
      <c r="Q8" s="21">
        <f>U8*60</f>
        <v>9000</v>
      </c>
      <c r="R8" s="27">
        <f>($R$2*$G8*$Q8)/(2*PI()*($D$2-$E$2)*$L$2)</f>
        <v>3.9390521708057915</v>
      </c>
      <c r="S8" s="28">
        <f>$S$6-V8/1000</f>
        <v>1.1306500445119398</v>
      </c>
      <c r="T8" s="22">
        <f>G8*S8</f>
        <v>117.92779020417348</v>
      </c>
      <c r="U8">
        <v>150</v>
      </c>
      <c r="V8">
        <v>98.349955488060317</v>
      </c>
      <c r="W8">
        <f t="shared" ref="W8:W47" si="12">O8*X8</f>
        <v>27390127.780705929</v>
      </c>
      <c r="X8">
        <f t="shared" ref="X8:X47" si="13">0.5*$P$2*T8*T8</f>
        <v>2.5130537639122322E-2</v>
      </c>
      <c r="Y8" s="27">
        <f t="shared" si="7"/>
        <v>9.138601036269435</v>
      </c>
    </row>
    <row r="9" spans="4:25" ht="15" thickBot="1" x14ac:dyDescent="0.4">
      <c r="D9" s="19" t="s">
        <v>103</v>
      </c>
      <c r="E9" s="20">
        <v>1</v>
      </c>
      <c r="F9" s="21">
        <v>996</v>
      </c>
      <c r="G9" s="22">
        <f t="shared" ref="G9:G30" si="14">F9/60*2*PI()</f>
        <v>104.30087609918114</v>
      </c>
      <c r="H9" s="21">
        <f t="shared" si="1"/>
        <v>1.2290000000000001</v>
      </c>
      <c r="I9" s="22">
        <f t="shared" ref="I9:I30" si="15">G9*H9</f>
        <v>128.18577672589362</v>
      </c>
      <c r="J9" s="23">
        <f t="shared" si="3"/>
        <v>1.9040000000000001E-3</v>
      </c>
      <c r="K9" s="21">
        <f t="shared" si="4"/>
        <v>0.4</v>
      </c>
      <c r="L9" s="24">
        <f t="shared" si="5"/>
        <v>2.3199999999999998</v>
      </c>
      <c r="M9" s="25">
        <f t="shared" ref="M9:M30" si="16">($R$2*G9)/($S$2*($D$2-$E$2)*$L$2)</f>
        <v>5.1659700600731676E-4</v>
      </c>
      <c r="N9" s="26">
        <f t="shared" ref="N9:N30" si="17">3/(2*$J$2)*M9</f>
        <v>0.40698293540492386</v>
      </c>
      <c r="O9" s="135">
        <f t="shared" si="11"/>
        <v>1743862589.7484002</v>
      </c>
      <c r="P9" s="22">
        <f t="shared" ref="P9:P30" si="18">(3/(2*$J$2))*R9</f>
        <v>4965.1918119400734</v>
      </c>
      <c r="Q9" s="21">
        <f t="shared" ref="Q9:Q30" si="19">U9*60</f>
        <v>14400</v>
      </c>
      <c r="R9" s="27">
        <f t="shared" ref="R9:R47" si="20">($R$2*$G9*$Q9)/(2*PI()*($D$2-$E$2)*$L$2)</f>
        <v>6.3024834732892669</v>
      </c>
      <c r="S9" s="28">
        <f t="shared" ref="S9:S30" si="21">$S$6-V9/1000</f>
        <v>1.1274329898931714</v>
      </c>
      <c r="T9" s="22">
        <f t="shared" ref="T9:T30" si="22">G9*S9</f>
        <v>117.59224858897701</v>
      </c>
      <c r="U9">
        <v>240</v>
      </c>
      <c r="V9">
        <v>101.56701010682866</v>
      </c>
      <c r="W9">
        <f t="shared" si="12"/>
        <v>43575171.979870513</v>
      </c>
      <c r="X9">
        <f t="shared" si="13"/>
        <v>2.4987732540416169E-2</v>
      </c>
      <c r="Y9" s="27">
        <f t="shared" si="7"/>
        <v>14.621761658031097</v>
      </c>
    </row>
    <row r="10" spans="4:25" ht="15" thickBot="1" x14ac:dyDescent="0.4">
      <c r="D10" s="19" t="s">
        <v>103</v>
      </c>
      <c r="E10" s="20">
        <v>1</v>
      </c>
      <c r="F10" s="21">
        <v>996</v>
      </c>
      <c r="G10" s="22">
        <f t="shared" si="14"/>
        <v>104.30087609918114</v>
      </c>
      <c r="H10" s="21">
        <f t="shared" si="1"/>
        <v>1.2290000000000001</v>
      </c>
      <c r="I10" s="22">
        <f t="shared" si="15"/>
        <v>128.18577672589362</v>
      </c>
      <c r="J10" s="23">
        <f t="shared" si="3"/>
        <v>1.9040000000000001E-3</v>
      </c>
      <c r="K10" s="21">
        <f t="shared" si="4"/>
        <v>0.4</v>
      </c>
      <c r="L10" s="24">
        <f t="shared" si="5"/>
        <v>2.3199999999999998</v>
      </c>
      <c r="M10" s="25">
        <f>($R$2*G10)/($S$2*($D$2-$E$2)*$L$2)</f>
        <v>5.1659700600731676E-4</v>
      </c>
      <c r="N10" s="26">
        <f>3/(2*$J$2)*M10</f>
        <v>0.40698293540492386</v>
      </c>
      <c r="O10" s="135">
        <f t="shared" si="11"/>
        <v>1961845413.4669502</v>
      </c>
      <c r="P10" s="22">
        <f t="shared" si="18"/>
        <v>5585.8407884325825</v>
      </c>
      <c r="Q10" s="21">
        <f t="shared" si="19"/>
        <v>16200</v>
      </c>
      <c r="R10" s="27">
        <f t="shared" si="20"/>
        <v>7.090293907450425</v>
      </c>
      <c r="S10" s="28">
        <f t="shared" si="21"/>
        <v>1.1120370856462087</v>
      </c>
      <c r="T10" s="22">
        <f t="shared" si="22"/>
        <v>115.98644228767971</v>
      </c>
      <c r="U10">
        <v>270</v>
      </c>
      <c r="V10">
        <v>116.96291435379138</v>
      </c>
      <c r="W10">
        <f t="shared" si="12"/>
        <v>47692347.193818092</v>
      </c>
      <c r="X10">
        <f t="shared" si="13"/>
        <v>2.430994147981147E-2</v>
      </c>
      <c r="Y10" s="27">
        <f t="shared" si="7"/>
        <v>16.449481865284984</v>
      </c>
    </row>
    <row r="11" spans="4:25" ht="15" thickBot="1" x14ac:dyDescent="0.4">
      <c r="D11" s="19" t="s">
        <v>103</v>
      </c>
      <c r="E11" s="20">
        <v>1</v>
      </c>
      <c r="F11" s="21">
        <v>996</v>
      </c>
      <c r="G11" s="22">
        <f t="shared" si="14"/>
        <v>104.30087609918114</v>
      </c>
      <c r="H11" s="21">
        <f t="shared" si="1"/>
        <v>1.2290000000000001</v>
      </c>
      <c r="I11" s="22">
        <f t="shared" si="15"/>
        <v>128.18577672589362</v>
      </c>
      <c r="J11" s="23">
        <f t="shared" si="3"/>
        <v>1.9040000000000001E-3</v>
      </c>
      <c r="K11" s="21">
        <f t="shared" si="4"/>
        <v>0.4</v>
      </c>
      <c r="L11" s="24">
        <f t="shared" si="5"/>
        <v>2.3199999999999998</v>
      </c>
      <c r="M11" s="25">
        <f t="shared" si="16"/>
        <v>5.1659700600731676E-4</v>
      </c>
      <c r="N11" s="26">
        <f t="shared" si="17"/>
        <v>0.40698293540492386</v>
      </c>
      <c r="O11" s="135">
        <f t="shared" si="11"/>
        <v>2615793884.6225996</v>
      </c>
      <c r="P11" s="22">
        <f t="shared" si="18"/>
        <v>7447.7877179101079</v>
      </c>
      <c r="Q11" s="21">
        <f t="shared" si="19"/>
        <v>21600</v>
      </c>
      <c r="R11" s="27">
        <f t="shared" si="20"/>
        <v>9.4537252099338982</v>
      </c>
      <c r="S11" s="28">
        <f t="shared" si="21"/>
        <v>1.0902070721617094</v>
      </c>
      <c r="T11" s="22">
        <f t="shared" si="22"/>
        <v>113.70955275598949</v>
      </c>
      <c r="U11">
        <v>360</v>
      </c>
      <c r="V11">
        <v>138.79292783829075</v>
      </c>
      <c r="W11">
        <f t="shared" si="12"/>
        <v>61117683.009050615</v>
      </c>
      <c r="X11">
        <f t="shared" si="13"/>
        <v>2.336486959784621E-2</v>
      </c>
      <c r="Y11" s="27">
        <f t="shared" si="7"/>
        <v>21.932642487046643</v>
      </c>
    </row>
    <row r="12" spans="4:25" ht="15" thickBot="1" x14ac:dyDescent="0.4">
      <c r="D12" s="19" t="s">
        <v>103</v>
      </c>
      <c r="E12" s="20">
        <v>1</v>
      </c>
      <c r="F12" s="21">
        <v>996</v>
      </c>
      <c r="G12" s="22">
        <f t="shared" si="14"/>
        <v>104.30087609918114</v>
      </c>
      <c r="H12" s="21">
        <f t="shared" si="1"/>
        <v>1.2290000000000001</v>
      </c>
      <c r="I12" s="22">
        <f t="shared" si="15"/>
        <v>128.18577672589362</v>
      </c>
      <c r="J12" s="23">
        <f t="shared" si="3"/>
        <v>1.9040000000000001E-3</v>
      </c>
      <c r="K12" s="21">
        <f t="shared" si="4"/>
        <v>0.4</v>
      </c>
      <c r="L12" s="24">
        <f t="shared" si="5"/>
        <v>2.3199999999999998</v>
      </c>
      <c r="M12" s="25">
        <f t="shared" si="16"/>
        <v>5.1659700600731676E-4</v>
      </c>
      <c r="N12" s="26">
        <f t="shared" si="17"/>
        <v>0.40698293540492386</v>
      </c>
      <c r="O12" s="135">
        <f t="shared" si="11"/>
        <v>2833776708.3411503</v>
      </c>
      <c r="P12" s="22">
        <f t="shared" si="18"/>
        <v>8068.4366944026187</v>
      </c>
      <c r="Q12" s="21">
        <f t="shared" si="19"/>
        <v>23400</v>
      </c>
      <c r="R12" s="27">
        <f t="shared" si="20"/>
        <v>10.241535644095059</v>
      </c>
      <c r="S12" s="28">
        <f t="shared" si="21"/>
        <v>1.0621727390552997</v>
      </c>
      <c r="T12" s="22">
        <f t="shared" si="22"/>
        <v>110.78554725213468</v>
      </c>
      <c r="U12">
        <v>390</v>
      </c>
      <c r="V12">
        <v>166.82726094470044</v>
      </c>
      <c r="W12">
        <f t="shared" si="12"/>
        <v>62849423.713265508</v>
      </c>
      <c r="X12">
        <f t="shared" si="13"/>
        <v>2.2178678908705056E-2</v>
      </c>
      <c r="Y12" s="27">
        <f t="shared" si="7"/>
        <v>23.760362694300532</v>
      </c>
    </row>
    <row r="13" spans="4:25" ht="15" thickBot="1" x14ac:dyDescent="0.4">
      <c r="D13" s="19" t="s">
        <v>103</v>
      </c>
      <c r="E13" s="20">
        <v>1</v>
      </c>
      <c r="F13" s="21">
        <v>996</v>
      </c>
      <c r="G13" s="22">
        <f t="shared" si="14"/>
        <v>104.30087609918114</v>
      </c>
      <c r="H13" s="21">
        <f t="shared" si="1"/>
        <v>1.2290000000000001</v>
      </c>
      <c r="I13" s="22">
        <f t="shared" si="15"/>
        <v>128.18577672589362</v>
      </c>
      <c r="J13" s="23">
        <f t="shared" si="3"/>
        <v>1.9040000000000001E-3</v>
      </c>
      <c r="K13" s="21">
        <f t="shared" si="4"/>
        <v>0.4</v>
      </c>
      <c r="L13" s="24">
        <f t="shared" si="5"/>
        <v>2.3199999999999998</v>
      </c>
      <c r="M13" s="25">
        <f t="shared" si="16"/>
        <v>5.1659700600731676E-4</v>
      </c>
      <c r="N13" s="26">
        <f t="shared" si="17"/>
        <v>0.40698293540492386</v>
      </c>
      <c r="O13" s="135">
        <f t="shared" si="11"/>
        <v>3051759532.0597</v>
      </c>
      <c r="P13" s="22">
        <f t="shared" si="18"/>
        <v>8689.0856708951269</v>
      </c>
      <c r="Q13" s="21">
        <f t="shared" si="19"/>
        <v>25200</v>
      </c>
      <c r="R13" s="27">
        <f t="shared" si="20"/>
        <v>11.029346078256216</v>
      </c>
      <c r="S13" s="28">
        <f t="shared" si="21"/>
        <v>1.0589556844365313</v>
      </c>
      <c r="T13" s="22">
        <f t="shared" si="22"/>
        <v>110.45000563693822</v>
      </c>
      <c r="U13">
        <v>420</v>
      </c>
      <c r="V13">
        <v>170.04431556346879</v>
      </c>
      <c r="W13">
        <f t="shared" si="12"/>
        <v>67274619.992483333</v>
      </c>
      <c r="X13">
        <f t="shared" si="13"/>
        <v>2.2044535057805882E-2</v>
      </c>
      <c r="Y13" s="27">
        <f t="shared" si="7"/>
        <v>25.588082901554419</v>
      </c>
    </row>
    <row r="14" spans="4:25" ht="15" thickBot="1" x14ac:dyDescent="0.4">
      <c r="D14" s="19" t="s">
        <v>103</v>
      </c>
      <c r="E14" s="20">
        <v>1</v>
      </c>
      <c r="F14" s="21">
        <v>996</v>
      </c>
      <c r="G14" s="22">
        <f t="shared" si="14"/>
        <v>104.30087609918114</v>
      </c>
      <c r="H14" s="21">
        <f t="shared" si="1"/>
        <v>1.2290000000000001</v>
      </c>
      <c r="I14" s="22">
        <f t="shared" si="15"/>
        <v>128.18577672589362</v>
      </c>
      <c r="J14" s="23">
        <f t="shared" si="3"/>
        <v>1.9040000000000001E-3</v>
      </c>
      <c r="K14" s="21">
        <f t="shared" si="4"/>
        <v>0.4</v>
      </c>
      <c r="L14" s="24">
        <f t="shared" si="5"/>
        <v>2.3199999999999998</v>
      </c>
      <c r="M14" s="25">
        <f t="shared" si="16"/>
        <v>5.1659700600731676E-4</v>
      </c>
      <c r="N14" s="26">
        <f t="shared" si="17"/>
        <v>0.40698293540492386</v>
      </c>
      <c r="O14" s="135">
        <f t="shared" si="11"/>
        <v>4141673650.6524501</v>
      </c>
      <c r="P14" s="22">
        <f t="shared" si="18"/>
        <v>11792.330553357673</v>
      </c>
      <c r="Q14" s="21">
        <f t="shared" si="19"/>
        <v>34200</v>
      </c>
      <c r="R14" s="27">
        <f t="shared" si="20"/>
        <v>14.968398249062007</v>
      </c>
      <c r="S14" s="28">
        <f t="shared" si="21"/>
        <v>1.0270149278644742</v>
      </c>
      <c r="T14" s="22">
        <f t="shared" si="22"/>
        <v>107.11855674320198</v>
      </c>
      <c r="U14">
        <v>570</v>
      </c>
      <c r="V14">
        <v>201.98507213552577</v>
      </c>
      <c r="W14">
        <f t="shared" si="12"/>
        <v>85876583.658990681</v>
      </c>
      <c r="X14">
        <f t="shared" si="13"/>
        <v>2.0734753846542758E-2</v>
      </c>
      <c r="Y14" s="27">
        <f t="shared" si="7"/>
        <v>34.726683937823857</v>
      </c>
    </row>
    <row r="15" spans="4:25" ht="15" thickBot="1" x14ac:dyDescent="0.4">
      <c r="D15" s="19" t="s">
        <v>103</v>
      </c>
      <c r="E15" s="20">
        <v>2</v>
      </c>
      <c r="F15" s="21">
        <v>996</v>
      </c>
      <c r="G15" s="22">
        <f t="shared" si="14"/>
        <v>104.30087609918114</v>
      </c>
      <c r="H15" s="21">
        <f t="shared" si="1"/>
        <v>1.2290000000000001</v>
      </c>
      <c r="I15" s="22">
        <f t="shared" si="15"/>
        <v>128.18577672589362</v>
      </c>
      <c r="J15" s="23">
        <f t="shared" si="3"/>
        <v>1.9040000000000001E-3</v>
      </c>
      <c r="K15" s="21">
        <f t="shared" si="4"/>
        <v>0.4</v>
      </c>
      <c r="L15" s="24">
        <f t="shared" si="5"/>
        <v>2.3199999999999998</v>
      </c>
      <c r="M15" s="25">
        <f t="shared" si="16"/>
        <v>5.1659700600731676E-4</v>
      </c>
      <c r="N15" s="26">
        <f t="shared" si="17"/>
        <v>0.40698293540492386</v>
      </c>
      <c r="O15" s="135">
        <f t="shared" si="11"/>
        <v>871931294.87420011</v>
      </c>
      <c r="P15" s="22">
        <f t="shared" si="18"/>
        <v>2482.5959059700367</v>
      </c>
      <c r="Q15" s="21">
        <f t="shared" si="19"/>
        <v>7200</v>
      </c>
      <c r="R15" s="27">
        <f t="shared" si="20"/>
        <v>3.1512417366446335</v>
      </c>
      <c r="S15" s="28">
        <f t="shared" si="21"/>
        <v>1.1872657099200001</v>
      </c>
      <c r="T15" s="22">
        <f t="shared" si="22"/>
        <v>123.83285370717226</v>
      </c>
      <c r="U15">
        <v>120</v>
      </c>
      <c r="V15">
        <v>41.734290080000001</v>
      </c>
      <c r="W15">
        <f t="shared" si="12"/>
        <v>24161477.4124493</v>
      </c>
      <c r="X15">
        <f t="shared" si="13"/>
        <v>2.7710299600996947E-2</v>
      </c>
      <c r="Y15" s="27">
        <f t="shared" si="7"/>
        <v>7.3108808290155487</v>
      </c>
    </row>
    <row r="16" spans="4:25" ht="15" thickBot="1" x14ac:dyDescent="0.4">
      <c r="D16" s="19" t="s">
        <v>103</v>
      </c>
      <c r="E16" s="20">
        <v>2</v>
      </c>
      <c r="F16" s="21">
        <v>996</v>
      </c>
      <c r="G16" s="22">
        <f t="shared" si="14"/>
        <v>104.30087609918114</v>
      </c>
      <c r="H16" s="21">
        <f t="shared" si="1"/>
        <v>1.2290000000000001</v>
      </c>
      <c r="I16" s="22">
        <f t="shared" si="15"/>
        <v>128.18577672589362</v>
      </c>
      <c r="J16" s="23">
        <f t="shared" si="3"/>
        <v>1.9040000000000001E-3</v>
      </c>
      <c r="K16" s="21">
        <f t="shared" si="4"/>
        <v>0.4</v>
      </c>
      <c r="L16" s="24">
        <f t="shared" si="5"/>
        <v>2.3199999999999998</v>
      </c>
      <c r="M16" s="25">
        <f t="shared" si="16"/>
        <v>5.1659700600731676E-4</v>
      </c>
      <c r="N16" s="26">
        <f t="shared" si="17"/>
        <v>0.40698293540492386</v>
      </c>
      <c r="O16" s="135">
        <f t="shared" si="11"/>
        <v>1089914118.5927498</v>
      </c>
      <c r="P16" s="22">
        <f t="shared" si="18"/>
        <v>3103.2448824625453</v>
      </c>
      <c r="Q16" s="21">
        <f t="shared" si="19"/>
        <v>9000</v>
      </c>
      <c r="R16" s="27">
        <f t="shared" si="20"/>
        <v>3.9390521708057915</v>
      </c>
      <c r="S16" s="28">
        <f t="shared" si="21"/>
        <v>1.1647933998700002</v>
      </c>
      <c r="T16" s="22">
        <f t="shared" si="22"/>
        <v>121.48897208098484</v>
      </c>
      <c r="U16">
        <v>150</v>
      </c>
      <c r="V16">
        <v>64.206600129999998</v>
      </c>
      <c r="W16">
        <f t="shared" si="12"/>
        <v>29069358.788639963</v>
      </c>
      <c r="X16">
        <f t="shared" si="13"/>
        <v>2.6671237937694638E-2</v>
      </c>
      <c r="Y16" s="27">
        <f t="shared" si="7"/>
        <v>9.138601036269435</v>
      </c>
    </row>
    <row r="17" spans="4:25" ht="15" thickBot="1" x14ac:dyDescent="0.4">
      <c r="D17" s="19" t="s">
        <v>103</v>
      </c>
      <c r="E17" s="20">
        <v>2</v>
      </c>
      <c r="F17" s="21">
        <v>996</v>
      </c>
      <c r="G17" s="22">
        <f t="shared" si="14"/>
        <v>104.30087609918114</v>
      </c>
      <c r="H17" s="21">
        <f t="shared" si="1"/>
        <v>1.2290000000000001</v>
      </c>
      <c r="I17" s="22">
        <f t="shared" si="15"/>
        <v>128.18577672589362</v>
      </c>
      <c r="J17" s="23">
        <f t="shared" si="3"/>
        <v>1.9040000000000001E-3</v>
      </c>
      <c r="K17" s="21">
        <f t="shared" si="4"/>
        <v>0.4</v>
      </c>
      <c r="L17" s="24">
        <f t="shared" si="5"/>
        <v>2.3199999999999998</v>
      </c>
      <c r="M17" s="25">
        <f t="shared" si="16"/>
        <v>5.1659700600731676E-4</v>
      </c>
      <c r="N17" s="26">
        <f t="shared" si="17"/>
        <v>0.40698293540492386</v>
      </c>
      <c r="O17" s="135">
        <f t="shared" si="11"/>
        <v>1743862589.7484002</v>
      </c>
      <c r="P17" s="22">
        <f t="shared" si="18"/>
        <v>4965.1918119400734</v>
      </c>
      <c r="Q17" s="21">
        <f t="shared" si="19"/>
        <v>14400</v>
      </c>
      <c r="R17" s="27">
        <f t="shared" si="20"/>
        <v>6.3024834732892669</v>
      </c>
      <c r="S17" s="28">
        <f t="shared" si="21"/>
        <v>1.105631604</v>
      </c>
      <c r="T17" s="22">
        <f t="shared" si="22"/>
        <v>115.31834494014291</v>
      </c>
      <c r="U17">
        <v>240</v>
      </c>
      <c r="V17">
        <v>123.368396</v>
      </c>
      <c r="W17">
        <f t="shared" si="12"/>
        <v>41906223.153261527</v>
      </c>
      <c r="X17">
        <f t="shared" si="13"/>
        <v>2.4030691064545199E-2</v>
      </c>
      <c r="Y17" s="27">
        <f t="shared" si="7"/>
        <v>14.621761658031097</v>
      </c>
    </row>
    <row r="18" spans="4:25" ht="15" thickBot="1" x14ac:dyDescent="0.4">
      <c r="D18" s="19" t="s">
        <v>103</v>
      </c>
      <c r="E18" s="20">
        <v>2</v>
      </c>
      <c r="F18" s="21">
        <v>996</v>
      </c>
      <c r="G18" s="22">
        <f t="shared" si="14"/>
        <v>104.30087609918114</v>
      </c>
      <c r="H18" s="21">
        <f t="shared" si="1"/>
        <v>1.2290000000000001</v>
      </c>
      <c r="I18" s="22">
        <f t="shared" si="15"/>
        <v>128.18577672589362</v>
      </c>
      <c r="J18" s="23">
        <f t="shared" si="3"/>
        <v>1.9040000000000001E-3</v>
      </c>
      <c r="K18" s="21">
        <f t="shared" si="4"/>
        <v>0.4</v>
      </c>
      <c r="L18" s="24">
        <f t="shared" si="5"/>
        <v>2.3199999999999998</v>
      </c>
      <c r="M18" s="25">
        <f t="shared" si="16"/>
        <v>5.1659700600731676E-4</v>
      </c>
      <c r="N18" s="26">
        <f t="shared" si="17"/>
        <v>0.40698293540492386</v>
      </c>
      <c r="O18" s="135">
        <f t="shared" si="11"/>
        <v>2397811060.9040499</v>
      </c>
      <c r="P18" s="22">
        <f t="shared" si="18"/>
        <v>6827.1387414175997</v>
      </c>
      <c r="Q18" s="21">
        <f t="shared" si="19"/>
        <v>19800</v>
      </c>
      <c r="R18" s="27">
        <f t="shared" si="20"/>
        <v>8.6659147757727411</v>
      </c>
      <c r="S18" s="28">
        <f t="shared" si="21"/>
        <v>1.0719231390000001</v>
      </c>
      <c r="T18" s="22">
        <f t="shared" si="22"/>
        <v>111.80252250868433</v>
      </c>
      <c r="U18" s="22">
        <v>330</v>
      </c>
      <c r="V18" s="29">
        <v>157.07686100000001</v>
      </c>
      <c r="W18">
        <f t="shared" si="12"/>
        <v>54161118.259237923</v>
      </c>
      <c r="X18">
        <f t="shared" si="13"/>
        <v>2.2587733930469686E-2</v>
      </c>
      <c r="Y18" s="27">
        <f t="shared" si="7"/>
        <v>20.104922279792756</v>
      </c>
    </row>
    <row r="19" spans="4:25" ht="15" thickBot="1" x14ac:dyDescent="0.4">
      <c r="D19" s="19" t="s">
        <v>103</v>
      </c>
      <c r="E19" s="20">
        <v>2</v>
      </c>
      <c r="F19" s="21">
        <v>996</v>
      </c>
      <c r="G19" s="22">
        <f t="shared" si="14"/>
        <v>104.30087609918114</v>
      </c>
      <c r="H19" s="21">
        <f t="shared" si="1"/>
        <v>1.2290000000000001</v>
      </c>
      <c r="I19" s="22">
        <f t="shared" si="15"/>
        <v>128.18577672589362</v>
      </c>
      <c r="J19" s="23">
        <f t="shared" si="3"/>
        <v>1.9040000000000001E-3</v>
      </c>
      <c r="K19" s="21">
        <f t="shared" si="4"/>
        <v>0.4</v>
      </c>
      <c r="L19" s="24">
        <f t="shared" si="5"/>
        <v>2.3199999999999998</v>
      </c>
      <c r="M19" s="25">
        <f t="shared" si="16"/>
        <v>5.1659700600731676E-4</v>
      </c>
      <c r="N19" s="26">
        <f t="shared" si="17"/>
        <v>0.40698293540492386</v>
      </c>
      <c r="O19" s="135">
        <f t="shared" si="11"/>
        <v>2615793884.6225996</v>
      </c>
      <c r="P19" s="22">
        <f t="shared" si="18"/>
        <v>7447.7877179101079</v>
      </c>
      <c r="Q19" s="21">
        <f t="shared" si="19"/>
        <v>21600</v>
      </c>
      <c r="R19" s="27">
        <f t="shared" si="20"/>
        <v>9.4537252099338982</v>
      </c>
      <c r="S19" s="28">
        <f t="shared" si="21"/>
        <v>1.0226216425000001</v>
      </c>
      <c r="T19" s="22">
        <f t="shared" si="22"/>
        <v>106.66033323073361</v>
      </c>
      <c r="U19" s="34">
        <v>360</v>
      </c>
      <c r="V19" s="29">
        <v>206.37835749999999</v>
      </c>
      <c r="W19">
        <f t="shared" si="12"/>
        <v>53774805.874960035</v>
      </c>
      <c r="X19">
        <f t="shared" si="13"/>
        <v>2.0557738203718805E-2</v>
      </c>
      <c r="Y19" s="27">
        <f t="shared" si="7"/>
        <v>21.932642487046643</v>
      </c>
    </row>
    <row r="20" spans="4:25" ht="15" thickBot="1" x14ac:dyDescent="0.4">
      <c r="D20" s="19" t="s">
        <v>103</v>
      </c>
      <c r="E20" s="20">
        <v>2</v>
      </c>
      <c r="F20" s="21">
        <v>996</v>
      </c>
      <c r="G20" s="22">
        <f t="shared" si="14"/>
        <v>104.30087609918114</v>
      </c>
      <c r="H20" s="21">
        <f t="shared" si="1"/>
        <v>1.2290000000000001</v>
      </c>
      <c r="I20" s="22">
        <f t="shared" si="15"/>
        <v>128.18577672589362</v>
      </c>
      <c r="J20" s="23">
        <f t="shared" si="3"/>
        <v>1.9040000000000001E-3</v>
      </c>
      <c r="K20" s="21">
        <f t="shared" si="4"/>
        <v>0.4</v>
      </c>
      <c r="L20" s="24">
        <f t="shared" si="5"/>
        <v>2.3199999999999998</v>
      </c>
      <c r="M20" s="25">
        <f t="shared" si="16"/>
        <v>5.1659700600731676E-4</v>
      </c>
      <c r="N20" s="26">
        <f t="shared" si="17"/>
        <v>0.40698293540492386</v>
      </c>
      <c r="O20" s="135">
        <f t="shared" si="11"/>
        <v>4141673650.6524501</v>
      </c>
      <c r="P20" s="22">
        <f t="shared" si="18"/>
        <v>11792.330553357673</v>
      </c>
      <c r="Q20" s="21">
        <f t="shared" si="19"/>
        <v>34200</v>
      </c>
      <c r="R20" s="27">
        <f t="shared" si="20"/>
        <v>14.968398249062007</v>
      </c>
      <c r="S20" s="28">
        <f t="shared" si="21"/>
        <v>1.0322526325000001</v>
      </c>
      <c r="T20" s="22">
        <f t="shared" si="22"/>
        <v>107.66485392543608</v>
      </c>
      <c r="U20">
        <v>570</v>
      </c>
      <c r="V20">
        <v>196.7473675</v>
      </c>
      <c r="W20">
        <f t="shared" si="12"/>
        <v>86754746.444520593</v>
      </c>
      <c r="X20">
        <f t="shared" si="13"/>
        <v>2.0946784745064079E-2</v>
      </c>
      <c r="Y20" s="27">
        <f t="shared" si="7"/>
        <v>34.726683937823857</v>
      </c>
    </row>
    <row r="21" spans="4:25" ht="15" thickBot="1" x14ac:dyDescent="0.4">
      <c r="D21" s="19" t="s">
        <v>103</v>
      </c>
      <c r="E21" s="20">
        <v>3</v>
      </c>
      <c r="F21" s="21">
        <v>996</v>
      </c>
      <c r="G21" s="22">
        <f t="shared" si="14"/>
        <v>104.30087609918114</v>
      </c>
      <c r="H21" s="21">
        <f t="shared" si="1"/>
        <v>1.2290000000000001</v>
      </c>
      <c r="I21" s="22">
        <f t="shared" si="15"/>
        <v>128.18577672589362</v>
      </c>
      <c r="J21" s="23">
        <f t="shared" si="3"/>
        <v>1.9040000000000001E-3</v>
      </c>
      <c r="K21" s="21">
        <f t="shared" si="4"/>
        <v>0.4</v>
      </c>
      <c r="L21" s="24">
        <f t="shared" si="5"/>
        <v>2.3199999999999998</v>
      </c>
      <c r="M21" s="25">
        <f t="shared" si="16"/>
        <v>5.1659700600731676E-4</v>
      </c>
      <c r="N21" s="26">
        <f t="shared" si="17"/>
        <v>0.40698293540492386</v>
      </c>
      <c r="O21" s="135">
        <f t="shared" si="11"/>
        <v>871931294.87420011</v>
      </c>
      <c r="P21" s="22">
        <f t="shared" si="18"/>
        <v>2482.5959059700367</v>
      </c>
      <c r="Q21" s="21">
        <f t="shared" si="19"/>
        <v>7200</v>
      </c>
      <c r="R21" s="27">
        <f t="shared" si="20"/>
        <v>3.1512417366446335</v>
      </c>
      <c r="S21" s="28">
        <f t="shared" si="21"/>
        <v>1.2085572884</v>
      </c>
      <c r="T21" s="22">
        <f t="shared" si="22"/>
        <v>126.05358399617073</v>
      </c>
      <c r="U21">
        <v>120</v>
      </c>
      <c r="V21">
        <v>20.442711599999999</v>
      </c>
      <c r="W21">
        <f t="shared" si="12"/>
        <v>25035837.301246908</v>
      </c>
      <c r="X21">
        <f t="shared" si="13"/>
        <v>2.8713084905226404E-2</v>
      </c>
      <c r="Y21" s="27">
        <f t="shared" si="7"/>
        <v>7.3108808290155487</v>
      </c>
    </row>
    <row r="22" spans="4:25" ht="15" thickBot="1" x14ac:dyDescent="0.4">
      <c r="D22" s="19" t="s">
        <v>103</v>
      </c>
      <c r="E22" s="20">
        <v>3</v>
      </c>
      <c r="F22" s="21">
        <v>996</v>
      </c>
      <c r="G22" s="22">
        <f t="shared" si="14"/>
        <v>104.30087609918114</v>
      </c>
      <c r="H22" s="21">
        <f t="shared" si="1"/>
        <v>1.2290000000000001</v>
      </c>
      <c r="I22" s="22">
        <f t="shared" si="15"/>
        <v>128.18577672589362</v>
      </c>
      <c r="J22" s="23">
        <f t="shared" si="3"/>
        <v>1.9040000000000001E-3</v>
      </c>
      <c r="K22" s="21">
        <f t="shared" si="4"/>
        <v>0.4</v>
      </c>
      <c r="L22" s="24">
        <f t="shared" si="5"/>
        <v>2.3199999999999998</v>
      </c>
      <c r="M22" s="25">
        <f t="shared" si="16"/>
        <v>5.1659700600731676E-4</v>
      </c>
      <c r="N22" s="26">
        <f t="shared" si="17"/>
        <v>0.40698293540492386</v>
      </c>
      <c r="O22" s="135">
        <f t="shared" si="11"/>
        <v>1089914118.5927498</v>
      </c>
      <c r="P22" s="22">
        <f t="shared" si="18"/>
        <v>3103.2448824625453</v>
      </c>
      <c r="Q22" s="21">
        <f t="shared" si="19"/>
        <v>9000</v>
      </c>
      <c r="R22" s="27">
        <f t="shared" si="20"/>
        <v>3.9390521708057915</v>
      </c>
      <c r="S22" s="28">
        <f t="shared" si="21"/>
        <v>1.1729548131300001</v>
      </c>
      <c r="T22" s="22">
        <f t="shared" si="22"/>
        <v>122.3402146342103</v>
      </c>
      <c r="U22">
        <v>150</v>
      </c>
      <c r="V22">
        <v>56.045186870000002</v>
      </c>
      <c r="W22">
        <f t="shared" si="12"/>
        <v>29478149.249495689</v>
      </c>
      <c r="X22">
        <f t="shared" si="13"/>
        <v>2.7046304609354546E-2</v>
      </c>
      <c r="Y22" s="27">
        <f t="shared" si="7"/>
        <v>9.138601036269435</v>
      </c>
    </row>
    <row r="23" spans="4:25" ht="15" thickBot="1" x14ac:dyDescent="0.4">
      <c r="D23" s="19" t="s">
        <v>103</v>
      </c>
      <c r="E23" s="20">
        <v>3</v>
      </c>
      <c r="F23" s="21">
        <v>996</v>
      </c>
      <c r="G23" s="22">
        <f t="shared" si="14"/>
        <v>104.30087609918114</v>
      </c>
      <c r="H23" s="21">
        <f t="shared" si="1"/>
        <v>1.2290000000000001</v>
      </c>
      <c r="I23" s="22">
        <f t="shared" si="15"/>
        <v>128.18577672589362</v>
      </c>
      <c r="J23" s="23">
        <f t="shared" si="3"/>
        <v>1.9040000000000001E-3</v>
      </c>
      <c r="K23" s="21">
        <f t="shared" si="4"/>
        <v>0.4</v>
      </c>
      <c r="L23" s="24">
        <f t="shared" si="5"/>
        <v>2.3199999999999998</v>
      </c>
      <c r="M23" s="25">
        <f t="shared" si="16"/>
        <v>5.1659700600731676E-4</v>
      </c>
      <c r="N23" s="26">
        <f t="shared" si="17"/>
        <v>0.40698293540492386</v>
      </c>
      <c r="O23" s="135">
        <f t="shared" si="11"/>
        <v>1307896942.3112998</v>
      </c>
      <c r="P23" s="22">
        <f t="shared" si="18"/>
        <v>3723.8938589550539</v>
      </c>
      <c r="Q23" s="21">
        <f t="shared" si="19"/>
        <v>10800</v>
      </c>
      <c r="R23" s="27">
        <f t="shared" si="20"/>
        <v>4.7268626049669491</v>
      </c>
      <c r="S23" s="28">
        <f t="shared" si="21"/>
        <v>1.16422646435</v>
      </c>
      <c r="T23" s="22">
        <f t="shared" si="22"/>
        <v>121.42984020955707</v>
      </c>
      <c r="U23">
        <v>180</v>
      </c>
      <c r="V23">
        <v>64.773535649999999</v>
      </c>
      <c r="W23">
        <f t="shared" si="12"/>
        <v>34849281.642519154</v>
      </c>
      <c r="X23">
        <f t="shared" si="13"/>
        <v>2.664528107308969E-2</v>
      </c>
      <c r="Y23" s="27">
        <f t="shared" si="7"/>
        <v>10.966321243523321</v>
      </c>
    </row>
    <row r="24" spans="4:25" ht="15" thickBot="1" x14ac:dyDescent="0.4">
      <c r="D24" s="19" t="s">
        <v>103</v>
      </c>
      <c r="E24" s="20">
        <v>3</v>
      </c>
      <c r="F24" s="21">
        <v>996</v>
      </c>
      <c r="G24" s="22">
        <f t="shared" si="14"/>
        <v>104.30087609918114</v>
      </c>
      <c r="H24" s="21">
        <f t="shared" si="1"/>
        <v>1.2290000000000001</v>
      </c>
      <c r="I24" s="22">
        <f t="shared" si="15"/>
        <v>128.18577672589362</v>
      </c>
      <c r="J24" s="23">
        <f t="shared" si="3"/>
        <v>1.9040000000000001E-3</v>
      </c>
      <c r="K24" s="21">
        <f t="shared" si="4"/>
        <v>0.4</v>
      </c>
      <c r="L24" s="24">
        <f t="shared" si="5"/>
        <v>2.3199999999999998</v>
      </c>
      <c r="M24" s="25">
        <f t="shared" si="16"/>
        <v>5.1659700600731676E-4</v>
      </c>
      <c r="N24" s="26">
        <f t="shared" si="17"/>
        <v>0.40698293540492386</v>
      </c>
      <c r="O24" s="135">
        <f t="shared" si="11"/>
        <v>1743862589.7484002</v>
      </c>
      <c r="P24" s="22">
        <f t="shared" si="18"/>
        <v>4965.1918119400734</v>
      </c>
      <c r="Q24" s="21">
        <f t="shared" si="19"/>
        <v>14400</v>
      </c>
      <c r="R24" s="27">
        <f t="shared" si="20"/>
        <v>6.3024834732892669</v>
      </c>
      <c r="S24" s="28">
        <f t="shared" si="21"/>
        <v>1.1525121015200002</v>
      </c>
      <c r="T24" s="22">
        <f t="shared" si="22"/>
        <v>120.2080219034444</v>
      </c>
      <c r="U24">
        <v>240</v>
      </c>
      <c r="V24">
        <v>76.487898479999998</v>
      </c>
      <c r="W24">
        <f t="shared" si="12"/>
        <v>45535343.92474518</v>
      </c>
      <c r="X24">
        <f t="shared" si="13"/>
        <v>2.611177290712733E-2</v>
      </c>
      <c r="Y24" s="27">
        <f t="shared" si="7"/>
        <v>14.621761658031097</v>
      </c>
    </row>
    <row r="25" spans="4:25" ht="15" thickBot="1" x14ac:dyDescent="0.4">
      <c r="D25" s="19" t="s">
        <v>103</v>
      </c>
      <c r="E25" s="20">
        <v>3</v>
      </c>
      <c r="F25" s="21">
        <v>996</v>
      </c>
      <c r="G25" s="22">
        <f t="shared" si="14"/>
        <v>104.30087609918114</v>
      </c>
      <c r="H25" s="21">
        <f t="shared" si="1"/>
        <v>1.2290000000000001</v>
      </c>
      <c r="I25" s="22">
        <f t="shared" si="15"/>
        <v>128.18577672589362</v>
      </c>
      <c r="J25" s="23">
        <f t="shared" si="3"/>
        <v>1.9040000000000001E-3</v>
      </c>
      <c r="K25" s="21">
        <f t="shared" si="4"/>
        <v>0.4</v>
      </c>
      <c r="L25" s="24">
        <f t="shared" si="5"/>
        <v>2.3199999999999998</v>
      </c>
      <c r="M25" s="25">
        <f t="shared" si="16"/>
        <v>5.1659700600731676E-4</v>
      </c>
      <c r="N25" s="26">
        <f t="shared" si="17"/>
        <v>0.40698293540492386</v>
      </c>
      <c r="O25" s="135">
        <f t="shared" si="11"/>
        <v>2179828237.1854997</v>
      </c>
      <c r="P25" s="22">
        <f t="shared" si="18"/>
        <v>6206.4897649250906</v>
      </c>
      <c r="Q25" s="21">
        <f t="shared" si="19"/>
        <v>18000</v>
      </c>
      <c r="R25" s="27">
        <f t="shared" si="20"/>
        <v>7.878104341611583</v>
      </c>
      <c r="S25" s="28">
        <f t="shared" si="21"/>
        <v>1.1472291535800001</v>
      </c>
      <c r="T25" s="22">
        <f t="shared" si="22"/>
        <v>119.65700580491604</v>
      </c>
      <c r="U25">
        <v>300</v>
      </c>
      <c r="V25">
        <v>81.770846419999998</v>
      </c>
      <c r="W25">
        <f t="shared" si="12"/>
        <v>56398557.382573754</v>
      </c>
      <c r="X25">
        <f t="shared" si="13"/>
        <v>2.5872936417868017E-2</v>
      </c>
      <c r="Y25" s="27">
        <f t="shared" si="7"/>
        <v>18.27720207253887</v>
      </c>
    </row>
    <row r="26" spans="4:25" ht="15" thickBot="1" x14ac:dyDescent="0.4">
      <c r="D26" s="19" t="s">
        <v>103</v>
      </c>
      <c r="E26" s="20">
        <v>3</v>
      </c>
      <c r="F26" s="21">
        <v>996</v>
      </c>
      <c r="G26" s="22">
        <f t="shared" si="14"/>
        <v>104.30087609918114</v>
      </c>
      <c r="H26" s="21">
        <f t="shared" si="1"/>
        <v>1.2290000000000001</v>
      </c>
      <c r="I26" s="22">
        <f t="shared" si="15"/>
        <v>128.18577672589362</v>
      </c>
      <c r="J26" s="23">
        <f t="shared" si="3"/>
        <v>1.9040000000000001E-3</v>
      </c>
      <c r="K26" s="21">
        <f t="shared" si="4"/>
        <v>0.4</v>
      </c>
      <c r="L26" s="24">
        <f t="shared" si="5"/>
        <v>2.3199999999999998</v>
      </c>
      <c r="M26" s="25">
        <f t="shared" si="16"/>
        <v>5.1659700600731676E-4</v>
      </c>
      <c r="N26" s="26">
        <f t="shared" si="17"/>
        <v>0.40698293540492386</v>
      </c>
      <c r="O26" s="135">
        <f t="shared" si="11"/>
        <v>2397811060.9040499</v>
      </c>
      <c r="P26" s="22">
        <f t="shared" si="18"/>
        <v>6827.1387414175997</v>
      </c>
      <c r="Q26" s="21">
        <f t="shared" si="19"/>
        <v>19800</v>
      </c>
      <c r="R26" s="27">
        <f t="shared" si="20"/>
        <v>8.6659147757727411</v>
      </c>
      <c r="S26" s="28">
        <f t="shared" si="21"/>
        <v>1.1424055924200001</v>
      </c>
      <c r="T26" s="22">
        <f t="shared" si="22"/>
        <v>119.15390415001005</v>
      </c>
      <c r="U26" s="34">
        <v>330</v>
      </c>
      <c r="V26" s="35">
        <v>86.594407579999995</v>
      </c>
      <c r="W26">
        <f t="shared" si="12"/>
        <v>61517824.911866777</v>
      </c>
      <c r="X26">
        <f t="shared" si="13"/>
        <v>2.5655826647439282E-2</v>
      </c>
      <c r="Y26" s="27">
        <f t="shared" si="7"/>
        <v>20.104922279792756</v>
      </c>
    </row>
    <row r="27" spans="4:25" ht="15" thickBot="1" x14ac:dyDescent="0.4">
      <c r="D27" s="19" t="s">
        <v>103</v>
      </c>
      <c r="E27" s="20">
        <v>3</v>
      </c>
      <c r="F27" s="21">
        <v>996</v>
      </c>
      <c r="G27" s="22">
        <f t="shared" si="14"/>
        <v>104.30087609918114</v>
      </c>
      <c r="H27" s="21">
        <f t="shared" si="1"/>
        <v>1.2290000000000001</v>
      </c>
      <c r="I27" s="22">
        <f t="shared" si="15"/>
        <v>128.18577672589362</v>
      </c>
      <c r="J27" s="23">
        <f t="shared" si="3"/>
        <v>1.9040000000000001E-3</v>
      </c>
      <c r="K27" s="21">
        <f t="shared" si="4"/>
        <v>0.4</v>
      </c>
      <c r="L27" s="24">
        <f t="shared" si="5"/>
        <v>2.3199999999999998</v>
      </c>
      <c r="M27" s="25">
        <f t="shared" si="16"/>
        <v>5.1659700600731676E-4</v>
      </c>
      <c r="N27" s="26">
        <f t="shared" si="17"/>
        <v>0.40698293540492386</v>
      </c>
      <c r="O27" s="135">
        <f t="shared" si="11"/>
        <v>2615793884.6225996</v>
      </c>
      <c r="P27" s="22">
        <f t="shared" si="18"/>
        <v>7447.7877179101079</v>
      </c>
      <c r="Q27" s="21">
        <f t="shared" si="19"/>
        <v>21600</v>
      </c>
      <c r="R27" s="27">
        <f t="shared" si="20"/>
        <v>9.4537252099338982</v>
      </c>
      <c r="S27" s="28">
        <f t="shared" si="21"/>
        <v>1.1219628808000002</v>
      </c>
      <c r="T27" s="22">
        <f t="shared" si="22"/>
        <v>117.02171141820115</v>
      </c>
      <c r="U27" s="22">
        <v>360</v>
      </c>
      <c r="V27" s="29">
        <v>107.03711920000001</v>
      </c>
      <c r="W27">
        <f t="shared" si="12"/>
        <v>64730039.120014131</v>
      </c>
      <c r="X27">
        <f t="shared" si="13"/>
        <v>2.4745848478559779E-2</v>
      </c>
      <c r="Y27" s="27">
        <f t="shared" si="7"/>
        <v>21.932642487046643</v>
      </c>
    </row>
    <row r="28" spans="4:25" ht="15" thickBot="1" x14ac:dyDescent="0.4">
      <c r="D28" s="19" t="s">
        <v>103</v>
      </c>
      <c r="E28" s="20">
        <v>3</v>
      </c>
      <c r="F28" s="21">
        <v>996</v>
      </c>
      <c r="G28" s="22">
        <f t="shared" si="14"/>
        <v>104.30087609918114</v>
      </c>
      <c r="H28" s="21">
        <f t="shared" si="1"/>
        <v>1.2290000000000001</v>
      </c>
      <c r="I28" s="22">
        <f t="shared" si="15"/>
        <v>128.18577672589362</v>
      </c>
      <c r="J28" s="23">
        <f t="shared" si="3"/>
        <v>1.9040000000000001E-3</v>
      </c>
      <c r="K28" s="21">
        <f t="shared" si="4"/>
        <v>0.4</v>
      </c>
      <c r="L28" s="24">
        <f t="shared" si="5"/>
        <v>2.3199999999999998</v>
      </c>
      <c r="M28" s="25">
        <f t="shared" si="16"/>
        <v>5.1659700600731676E-4</v>
      </c>
      <c r="N28" s="26">
        <f t="shared" si="17"/>
        <v>0.40698293540492386</v>
      </c>
      <c r="O28" s="135">
        <f t="shared" si="11"/>
        <v>2833776708.3411503</v>
      </c>
      <c r="P28" s="22">
        <f t="shared" si="18"/>
        <v>8068.4366944026187</v>
      </c>
      <c r="Q28" s="21">
        <f t="shared" si="19"/>
        <v>23400</v>
      </c>
      <c r="R28" s="27">
        <f t="shared" si="20"/>
        <v>10.241535644095059</v>
      </c>
      <c r="S28" s="28">
        <f t="shared" si="21"/>
        <v>1.1070328105</v>
      </c>
      <c r="T28" s="22">
        <f t="shared" si="22"/>
        <v>115.46449200568877</v>
      </c>
      <c r="U28" s="22">
        <v>390</v>
      </c>
      <c r="V28" s="29">
        <v>121.9671895</v>
      </c>
      <c r="W28">
        <f t="shared" si="12"/>
        <v>68270327.081449658</v>
      </c>
      <c r="X28">
        <f t="shared" si="13"/>
        <v>2.4091639570788224E-2</v>
      </c>
      <c r="Y28" s="27">
        <f t="shared" si="7"/>
        <v>23.760362694300532</v>
      </c>
    </row>
    <row r="29" spans="4:25" ht="15" thickBot="1" x14ac:dyDescent="0.4">
      <c r="D29" s="19" t="s">
        <v>103</v>
      </c>
      <c r="E29" s="20">
        <v>3</v>
      </c>
      <c r="F29" s="21">
        <v>996</v>
      </c>
      <c r="G29" s="22">
        <f t="shared" si="14"/>
        <v>104.30087609918114</v>
      </c>
      <c r="H29" s="21">
        <f t="shared" si="1"/>
        <v>1.2290000000000001</v>
      </c>
      <c r="I29" s="22">
        <f t="shared" si="15"/>
        <v>128.18577672589362</v>
      </c>
      <c r="J29" s="23">
        <f t="shared" si="3"/>
        <v>1.9040000000000001E-3</v>
      </c>
      <c r="K29" s="21">
        <f t="shared" si="4"/>
        <v>0.4</v>
      </c>
      <c r="L29" s="24">
        <f t="shared" si="5"/>
        <v>2.3199999999999998</v>
      </c>
      <c r="M29" s="25">
        <f t="shared" si="16"/>
        <v>5.1659700600731676E-4</v>
      </c>
      <c r="N29" s="26">
        <f t="shared" si="17"/>
        <v>0.40698293540492386</v>
      </c>
      <c r="O29" s="135">
        <f t="shared" si="11"/>
        <v>3705708003.2153502</v>
      </c>
      <c r="P29" s="22">
        <f t="shared" si="18"/>
        <v>10551.032600372655</v>
      </c>
      <c r="Q29" s="21">
        <f t="shared" si="19"/>
        <v>30600</v>
      </c>
      <c r="R29" s="27">
        <f t="shared" si="20"/>
        <v>13.392777380739691</v>
      </c>
      <c r="S29" s="28">
        <f t="shared" si="21"/>
        <v>1.0948590609000002</v>
      </c>
      <c r="T29" s="22">
        <f t="shared" si="22"/>
        <v>114.19475925699673</v>
      </c>
      <c r="U29" s="31">
        <v>510</v>
      </c>
      <c r="V29" s="29">
        <v>134.1409391</v>
      </c>
      <c r="W29">
        <f t="shared" si="12"/>
        <v>87323875.30227685</v>
      </c>
      <c r="X29">
        <f t="shared" si="13"/>
        <v>2.3564694041329784E-2</v>
      </c>
      <c r="Y29" s="27">
        <f t="shared" si="7"/>
        <v>31.071243523316081</v>
      </c>
    </row>
    <row r="30" spans="4:25" ht="15" thickBot="1" x14ac:dyDescent="0.4">
      <c r="D30" s="19" t="s">
        <v>103</v>
      </c>
      <c r="E30" s="20">
        <v>3</v>
      </c>
      <c r="F30" s="21">
        <v>996</v>
      </c>
      <c r="G30" s="22">
        <f t="shared" si="14"/>
        <v>104.30087609918114</v>
      </c>
      <c r="H30" s="21">
        <f t="shared" si="1"/>
        <v>1.2290000000000001</v>
      </c>
      <c r="I30" s="22">
        <f t="shared" si="15"/>
        <v>128.18577672589362</v>
      </c>
      <c r="J30" s="23">
        <f t="shared" si="3"/>
        <v>1.9040000000000001E-3</v>
      </c>
      <c r="K30" s="21">
        <f t="shared" si="4"/>
        <v>0.4</v>
      </c>
      <c r="L30" s="24">
        <f t="shared" si="5"/>
        <v>2.3199999999999998</v>
      </c>
      <c r="M30" s="25">
        <f t="shared" si="16"/>
        <v>5.1659700600731676E-4</v>
      </c>
      <c r="N30" s="26">
        <f t="shared" si="17"/>
        <v>0.40698293540492386</v>
      </c>
      <c r="O30" s="135">
        <f t="shared" si="11"/>
        <v>4141673650.6524501</v>
      </c>
      <c r="P30" s="22">
        <f t="shared" si="18"/>
        <v>11792.330553357673</v>
      </c>
      <c r="Q30" s="21">
        <f t="shared" si="19"/>
        <v>34200</v>
      </c>
      <c r="R30" s="27">
        <f t="shared" si="20"/>
        <v>14.968398249062007</v>
      </c>
      <c r="S30" s="28">
        <f t="shared" si="21"/>
        <v>1.0854416320000002</v>
      </c>
      <c r="T30" s="22">
        <f t="shared" si="22"/>
        <v>113.21251317212499</v>
      </c>
      <c r="U30" s="30">
        <v>570</v>
      </c>
      <c r="V30" s="29">
        <v>143.558368</v>
      </c>
      <c r="W30">
        <f t="shared" si="12"/>
        <v>95925527.564071923</v>
      </c>
      <c r="X30">
        <f t="shared" si="13"/>
        <v>2.3161054118535026E-2</v>
      </c>
      <c r="Y30" s="27">
        <f t="shared" si="7"/>
        <v>34.726683937823857</v>
      </c>
    </row>
    <row r="31" spans="4:25" ht="15" thickBot="1" x14ac:dyDescent="0.4">
      <c r="D31" s="19" t="s">
        <v>104</v>
      </c>
      <c r="E31" s="20">
        <v>1</v>
      </c>
      <c r="F31" s="21">
        <v>1193</v>
      </c>
      <c r="G31" s="22">
        <f t="shared" ref="G31" si="23">F31/60*2*PI()</f>
        <v>124.9306678577541</v>
      </c>
      <c r="H31" s="21">
        <f t="shared" si="1"/>
        <v>1.2290000000000001</v>
      </c>
      <c r="I31" s="22">
        <f t="shared" ref="I31" si="24">G31*H31</f>
        <v>153.53979079717979</v>
      </c>
      <c r="J31" s="23">
        <f t="shared" si="3"/>
        <v>1.9040000000000001E-3</v>
      </c>
      <c r="K31" s="21">
        <f t="shared" si="4"/>
        <v>0.4</v>
      </c>
      <c r="L31" s="24">
        <f t="shared" si="5"/>
        <v>2.3199999999999998</v>
      </c>
      <c r="M31" s="25">
        <f t="shared" ref="M31" si="25">($R$2*G31)/($S$2*($D$2-$E$2)*$L$2)</f>
        <v>6.1877532948466742E-4</v>
      </c>
      <c r="N31" s="26">
        <f t="shared" ref="N31" si="26">3/(2*$J$2)*M31</f>
        <v>0.48748056419485347</v>
      </c>
      <c r="O31" s="135">
        <f t="shared" si="11"/>
        <v>261097900.29741973</v>
      </c>
      <c r="P31" s="22">
        <f t="shared" ref="P31" si="27">(3/(2*$J$2))*R31</f>
        <v>743.40786039715169</v>
      </c>
      <c r="Q31" s="21">
        <f t="shared" ref="Q31" si="28">U31*60</f>
        <v>1800</v>
      </c>
      <c r="R31" s="27">
        <f t="shared" si="20"/>
        <v>0.94363237746411799</v>
      </c>
      <c r="S31" s="28">
        <f t="shared" ref="S31" si="29">$S$6-V31/1000</f>
        <v>1.144154314478097</v>
      </c>
      <c r="T31" s="22">
        <f t="shared" ref="T31" si="30">G31*S31</f>
        <v>142.93996264007947</v>
      </c>
      <c r="U31">
        <v>30</v>
      </c>
      <c r="V31">
        <v>84.845685521903164</v>
      </c>
      <c r="W31">
        <f t="shared" si="12"/>
        <v>9640069.5369110331</v>
      </c>
      <c r="X31">
        <f t="shared" si="13"/>
        <v>3.6921283265510425E-2</v>
      </c>
      <c r="Y31" s="27">
        <f t="shared" si="7"/>
        <v>2.1892271157167538</v>
      </c>
    </row>
    <row r="32" spans="4:25" ht="15" thickBot="1" x14ac:dyDescent="0.4">
      <c r="D32" s="19" t="s">
        <v>104</v>
      </c>
      <c r="E32" s="20">
        <v>1</v>
      </c>
      <c r="F32" s="21">
        <v>1193</v>
      </c>
      <c r="G32" s="22">
        <f t="shared" ref="G32:G47" si="31">F32/60*2*PI()</f>
        <v>124.9306678577541</v>
      </c>
      <c r="H32" s="21">
        <f t="shared" si="1"/>
        <v>1.2290000000000001</v>
      </c>
      <c r="I32" s="22">
        <f t="shared" ref="I32:I47" si="32">G32*H32</f>
        <v>153.53979079717979</v>
      </c>
      <c r="J32" s="23">
        <f t="shared" si="3"/>
        <v>1.9040000000000001E-3</v>
      </c>
      <c r="K32" s="21">
        <f t="shared" si="4"/>
        <v>0.4</v>
      </c>
      <c r="L32" s="24">
        <f t="shared" si="5"/>
        <v>2.3199999999999998</v>
      </c>
      <c r="M32" s="25">
        <f t="shared" ref="M32:M47" si="33">($R$2*G32)/($S$2*($D$2-$E$2)*$L$2)</f>
        <v>6.1877532948466742E-4</v>
      </c>
      <c r="N32" s="26">
        <f t="shared" ref="N32:N47" si="34">3/(2*$J$2)*M32</f>
        <v>0.48748056419485347</v>
      </c>
      <c r="O32" s="135">
        <f t="shared" si="11"/>
        <v>391646850.44612962</v>
      </c>
      <c r="P32" s="22">
        <f t="shared" ref="P32:P47" si="35">(3/(2*$J$2))*R32</f>
        <v>1115.1117905957276</v>
      </c>
      <c r="Q32" s="21">
        <f t="shared" ref="Q32:Q47" si="36">U32*60</f>
        <v>2700</v>
      </c>
      <c r="R32" s="27">
        <f t="shared" si="20"/>
        <v>1.4154485661961771</v>
      </c>
      <c r="S32" s="28">
        <f t="shared" ref="S32:S47" si="37">$S$6-V32/1000</f>
        <v>1.0793128962743661</v>
      </c>
      <c r="T32" s="22">
        <f t="shared" ref="T32:T47" si="38">G32*S32</f>
        <v>134.83928095904344</v>
      </c>
      <c r="U32">
        <v>45</v>
      </c>
      <c r="V32">
        <v>149.68710372563405</v>
      </c>
      <c r="W32">
        <f t="shared" si="12"/>
        <v>12867582.253041573</v>
      </c>
      <c r="X32">
        <f t="shared" si="13"/>
        <v>3.2855063786122511E-2</v>
      </c>
      <c r="Y32" s="27">
        <f t="shared" si="7"/>
        <v>3.2838406735751309</v>
      </c>
    </row>
    <row r="33" spans="4:25" ht="15" thickBot="1" x14ac:dyDescent="0.4">
      <c r="D33" s="19" t="s">
        <v>104</v>
      </c>
      <c r="E33" s="20">
        <v>1</v>
      </c>
      <c r="F33" s="21">
        <v>1193</v>
      </c>
      <c r="G33" s="22">
        <f t="shared" si="31"/>
        <v>124.9306678577541</v>
      </c>
      <c r="H33" s="21">
        <f t="shared" si="1"/>
        <v>1.2290000000000001</v>
      </c>
      <c r="I33" s="22">
        <f t="shared" si="32"/>
        <v>153.53979079717979</v>
      </c>
      <c r="J33" s="23">
        <f t="shared" si="3"/>
        <v>1.9040000000000001E-3</v>
      </c>
      <c r="K33" s="21">
        <f t="shared" si="4"/>
        <v>0.4</v>
      </c>
      <c r="L33" s="24">
        <f t="shared" si="5"/>
        <v>2.3199999999999998</v>
      </c>
      <c r="M33" s="25">
        <f t="shared" si="33"/>
        <v>6.1877532948466742E-4</v>
      </c>
      <c r="N33" s="26">
        <f t="shared" si="34"/>
        <v>0.48748056419485347</v>
      </c>
      <c r="O33" s="135">
        <f t="shared" si="11"/>
        <v>522195800.59483945</v>
      </c>
      <c r="P33" s="22">
        <f t="shared" si="35"/>
        <v>1486.8157207943034</v>
      </c>
      <c r="Q33" s="21">
        <f t="shared" si="36"/>
        <v>3600</v>
      </c>
      <c r="R33" s="27">
        <f t="shared" si="20"/>
        <v>1.887264754928236</v>
      </c>
      <c r="S33" s="28">
        <f t="shared" si="37"/>
        <v>1.0374648887811779</v>
      </c>
      <c r="T33" s="22">
        <f t="shared" si="38"/>
        <v>129.61118143440314</v>
      </c>
      <c r="U33">
        <v>60</v>
      </c>
      <c r="V33">
        <v>191.53511121882207</v>
      </c>
      <c r="W33">
        <f t="shared" si="12"/>
        <v>15852135.372631654</v>
      </c>
      <c r="X33">
        <f t="shared" si="13"/>
        <v>3.0356688725903767E-2</v>
      </c>
      <c r="Y33" s="27">
        <f t="shared" si="7"/>
        <v>4.3784542314335075</v>
      </c>
    </row>
    <row r="34" spans="4:25" ht="15" thickBot="1" x14ac:dyDescent="0.4">
      <c r="D34" s="19" t="s">
        <v>104</v>
      </c>
      <c r="E34" s="20">
        <v>1</v>
      </c>
      <c r="F34" s="21">
        <v>1193</v>
      </c>
      <c r="G34" s="22">
        <f t="shared" si="31"/>
        <v>124.9306678577541</v>
      </c>
      <c r="H34" s="21">
        <f t="shared" si="1"/>
        <v>1.2290000000000001</v>
      </c>
      <c r="I34" s="22">
        <f t="shared" si="32"/>
        <v>153.53979079717979</v>
      </c>
      <c r="J34" s="23">
        <f t="shared" si="3"/>
        <v>1.9040000000000001E-3</v>
      </c>
      <c r="K34" s="21">
        <f t="shared" si="4"/>
        <v>0.4</v>
      </c>
      <c r="L34" s="24">
        <f t="shared" si="5"/>
        <v>2.3199999999999998</v>
      </c>
      <c r="M34" s="25">
        <f t="shared" si="33"/>
        <v>6.1877532948466742E-4</v>
      </c>
      <c r="N34" s="26">
        <f t="shared" si="34"/>
        <v>0.48748056419485347</v>
      </c>
      <c r="O34" s="135">
        <f t="shared" si="11"/>
        <v>783293700.89225924</v>
      </c>
      <c r="P34" s="22">
        <f t="shared" si="35"/>
        <v>2230.2235811914552</v>
      </c>
      <c r="Q34" s="21">
        <f t="shared" si="36"/>
        <v>5400</v>
      </c>
      <c r="R34" s="27">
        <f t="shared" si="20"/>
        <v>2.8308971323923542</v>
      </c>
      <c r="S34" s="28">
        <f t="shared" si="37"/>
        <v>0.99147806736009225</v>
      </c>
      <c r="T34" s="22">
        <f t="shared" si="38"/>
        <v>123.86601712161163</v>
      </c>
      <c r="U34">
        <v>90</v>
      </c>
      <c r="V34">
        <v>237.52193263990779</v>
      </c>
      <c r="W34">
        <f t="shared" si="12"/>
        <v>21716930.38660118</v>
      </c>
      <c r="X34">
        <f t="shared" si="13"/>
        <v>2.772514366177484E-2</v>
      </c>
      <c r="Y34" s="27">
        <f t="shared" si="7"/>
        <v>6.5676813471502618</v>
      </c>
    </row>
    <row r="35" spans="4:25" ht="15" thickBot="1" x14ac:dyDescent="0.4">
      <c r="D35" s="19" t="s">
        <v>104</v>
      </c>
      <c r="E35" s="20">
        <v>1</v>
      </c>
      <c r="F35" s="21">
        <v>1193</v>
      </c>
      <c r="G35" s="22">
        <f t="shared" si="31"/>
        <v>124.9306678577541</v>
      </c>
      <c r="H35" s="21">
        <f t="shared" si="1"/>
        <v>1.2290000000000001</v>
      </c>
      <c r="I35" s="22">
        <f t="shared" si="32"/>
        <v>153.53979079717979</v>
      </c>
      <c r="J35" s="23">
        <f t="shared" si="3"/>
        <v>1.9040000000000001E-3</v>
      </c>
      <c r="K35" s="21">
        <f t="shared" si="4"/>
        <v>0.4</v>
      </c>
      <c r="L35" s="24">
        <f t="shared" si="5"/>
        <v>2.3199999999999998</v>
      </c>
      <c r="M35" s="25">
        <f t="shared" si="33"/>
        <v>6.1877532948466742E-4</v>
      </c>
      <c r="N35" s="26">
        <f t="shared" si="34"/>
        <v>0.48748056419485347</v>
      </c>
      <c r="O35" s="135">
        <f t="shared" si="11"/>
        <v>1044391601.1896789</v>
      </c>
      <c r="P35" s="22">
        <f t="shared" si="35"/>
        <v>2973.6314415886068</v>
      </c>
      <c r="Q35" s="21">
        <f t="shared" si="36"/>
        <v>7200</v>
      </c>
      <c r="R35" s="27">
        <f t="shared" si="20"/>
        <v>3.774529509856472</v>
      </c>
      <c r="S35" s="28">
        <f t="shared" si="37"/>
        <v>0.93353467236952437</v>
      </c>
      <c r="T35" s="22">
        <f t="shared" si="38"/>
        <v>116.62711008749434</v>
      </c>
      <c r="U35">
        <v>120</v>
      </c>
      <c r="V35">
        <v>295.46532763047577</v>
      </c>
      <c r="W35">
        <f t="shared" si="12"/>
        <v>25670354.022995848</v>
      </c>
      <c r="X35">
        <f t="shared" si="13"/>
        <v>2.457924210971674E-2</v>
      </c>
      <c r="Y35" s="27">
        <f t="shared" si="7"/>
        <v>8.7569084628670151</v>
      </c>
    </row>
    <row r="36" spans="4:25" ht="15" thickBot="1" x14ac:dyDescent="0.4">
      <c r="D36" s="19" t="s">
        <v>104</v>
      </c>
      <c r="E36" s="20">
        <v>2</v>
      </c>
      <c r="F36" s="21">
        <v>1193</v>
      </c>
      <c r="G36" s="22">
        <f t="shared" si="31"/>
        <v>124.9306678577541</v>
      </c>
      <c r="H36" s="21">
        <f t="shared" si="1"/>
        <v>1.2290000000000001</v>
      </c>
      <c r="I36" s="22">
        <f t="shared" si="32"/>
        <v>153.53979079717979</v>
      </c>
      <c r="J36" s="23">
        <f t="shared" si="3"/>
        <v>1.9040000000000001E-3</v>
      </c>
      <c r="K36" s="21">
        <f t="shared" si="4"/>
        <v>0.4</v>
      </c>
      <c r="L36" s="24">
        <f t="shared" si="5"/>
        <v>2.3199999999999998</v>
      </c>
      <c r="M36" s="25">
        <f t="shared" si="33"/>
        <v>6.1877532948466742E-4</v>
      </c>
      <c r="N36" s="26">
        <f t="shared" si="34"/>
        <v>0.48748056419485347</v>
      </c>
      <c r="O36" s="135">
        <f t="shared" si="11"/>
        <v>261097900.29741973</v>
      </c>
      <c r="P36" s="22">
        <f t="shared" si="35"/>
        <v>743.40786039715169</v>
      </c>
      <c r="Q36" s="21">
        <f t="shared" si="36"/>
        <v>1800</v>
      </c>
      <c r="R36" s="27">
        <f t="shared" si="20"/>
        <v>0.94363237746411799</v>
      </c>
      <c r="S36" s="28">
        <f t="shared" si="37"/>
        <v>1.1748860890300001</v>
      </c>
      <c r="T36" s="22">
        <f t="shared" si="38"/>
        <v>146.77930375930265</v>
      </c>
      <c r="U36" s="30">
        <v>30</v>
      </c>
      <c r="V36" s="29">
        <v>54.113910969999999</v>
      </c>
      <c r="W36">
        <f t="shared" si="12"/>
        <v>10164885.353591194</v>
      </c>
      <c r="X36">
        <f t="shared" si="13"/>
        <v>3.8931317877364209E-2</v>
      </c>
      <c r="Y36" s="27">
        <f t="shared" si="7"/>
        <v>2.1892271157167538</v>
      </c>
    </row>
    <row r="37" spans="4:25" ht="15" thickBot="1" x14ac:dyDescent="0.4">
      <c r="D37" s="19" t="s">
        <v>104</v>
      </c>
      <c r="E37" s="20">
        <v>2</v>
      </c>
      <c r="F37" s="21">
        <v>1193</v>
      </c>
      <c r="G37" s="22">
        <f t="shared" si="31"/>
        <v>124.9306678577541</v>
      </c>
      <c r="H37" s="21">
        <f t="shared" si="1"/>
        <v>1.2290000000000001</v>
      </c>
      <c r="I37" s="22">
        <f t="shared" si="32"/>
        <v>153.53979079717979</v>
      </c>
      <c r="J37" s="23">
        <f t="shared" si="3"/>
        <v>1.9040000000000001E-3</v>
      </c>
      <c r="K37" s="21">
        <f t="shared" si="4"/>
        <v>0.4</v>
      </c>
      <c r="L37" s="24">
        <f t="shared" si="5"/>
        <v>2.3199999999999998</v>
      </c>
      <c r="M37" s="25">
        <f t="shared" si="33"/>
        <v>6.1877532948466742E-4</v>
      </c>
      <c r="N37" s="26">
        <f t="shared" si="34"/>
        <v>0.48748056419485347</v>
      </c>
      <c r="O37" s="135">
        <f t="shared" si="11"/>
        <v>391646850.44612962</v>
      </c>
      <c r="P37" s="22">
        <f t="shared" si="35"/>
        <v>1115.1117905957276</v>
      </c>
      <c r="Q37" s="21">
        <f t="shared" si="36"/>
        <v>2700</v>
      </c>
      <c r="R37" s="27">
        <f t="shared" si="20"/>
        <v>1.4154485661961771</v>
      </c>
      <c r="S37" s="28">
        <f t="shared" si="37"/>
        <v>1.1083374921</v>
      </c>
      <c r="T37" s="22">
        <f t="shared" si="38"/>
        <v>138.46534309984125</v>
      </c>
      <c r="U37" s="30">
        <v>45</v>
      </c>
      <c r="V37" s="29">
        <v>120.66250789999999</v>
      </c>
      <c r="W37">
        <f t="shared" si="12"/>
        <v>13568950.853746526</v>
      </c>
      <c r="X37">
        <f t="shared" si="13"/>
        <v>3.4645882734126346E-2</v>
      </c>
      <c r="Y37" s="27">
        <f t="shared" si="7"/>
        <v>3.2838406735751309</v>
      </c>
    </row>
    <row r="38" spans="4:25" ht="15" thickBot="1" x14ac:dyDescent="0.4">
      <c r="D38" s="19" t="s">
        <v>104</v>
      </c>
      <c r="E38" s="20">
        <v>2</v>
      </c>
      <c r="F38" s="21">
        <v>1193</v>
      </c>
      <c r="G38" s="22">
        <f t="shared" si="31"/>
        <v>124.9306678577541</v>
      </c>
      <c r="H38" s="21">
        <f t="shared" si="1"/>
        <v>1.2290000000000001</v>
      </c>
      <c r="I38" s="22">
        <f t="shared" si="32"/>
        <v>153.53979079717979</v>
      </c>
      <c r="J38" s="23">
        <f t="shared" si="3"/>
        <v>1.9040000000000001E-3</v>
      </c>
      <c r="K38" s="21">
        <f t="shared" si="4"/>
        <v>0.4</v>
      </c>
      <c r="L38" s="24">
        <f t="shared" si="5"/>
        <v>2.3199999999999998</v>
      </c>
      <c r="M38" s="25">
        <f t="shared" si="33"/>
        <v>6.1877532948466742E-4</v>
      </c>
      <c r="N38" s="26">
        <f t="shared" si="34"/>
        <v>0.48748056419485347</v>
      </c>
      <c r="O38" s="135">
        <f t="shared" si="11"/>
        <v>522195800.59483945</v>
      </c>
      <c r="P38" s="22">
        <f t="shared" si="35"/>
        <v>1486.8157207943034</v>
      </c>
      <c r="Q38" s="21">
        <f t="shared" si="36"/>
        <v>3600</v>
      </c>
      <c r="R38" s="27">
        <f t="shared" si="20"/>
        <v>1.887264754928236</v>
      </c>
      <c r="S38" s="28">
        <f t="shared" si="37"/>
        <v>1.0896854632000001</v>
      </c>
      <c r="T38" s="22">
        <f t="shared" si="38"/>
        <v>136.13513267246216</v>
      </c>
      <c r="U38" s="31">
        <v>60</v>
      </c>
      <c r="V38" s="29">
        <v>139.31453680000001</v>
      </c>
      <c r="W38">
        <f t="shared" si="12"/>
        <v>17488125.918772288</v>
      </c>
      <c r="X38">
        <f t="shared" si="13"/>
        <v>3.348959508837749E-2</v>
      </c>
      <c r="Y38" s="27">
        <f t="shared" si="7"/>
        <v>4.3784542314335075</v>
      </c>
    </row>
    <row r="39" spans="4:25" ht="15" thickBot="1" x14ac:dyDescent="0.4">
      <c r="D39" s="19" t="s">
        <v>104</v>
      </c>
      <c r="E39" s="20">
        <v>2</v>
      </c>
      <c r="F39" s="21">
        <v>1193</v>
      </c>
      <c r="G39" s="22">
        <f t="shared" si="31"/>
        <v>124.9306678577541</v>
      </c>
      <c r="H39" s="21">
        <f t="shared" si="1"/>
        <v>1.2290000000000001</v>
      </c>
      <c r="I39" s="22">
        <f t="shared" si="32"/>
        <v>153.53979079717979</v>
      </c>
      <c r="J39" s="23">
        <f t="shared" si="3"/>
        <v>1.9040000000000001E-3</v>
      </c>
      <c r="K39" s="21">
        <f t="shared" si="4"/>
        <v>0.4</v>
      </c>
      <c r="L39" s="24">
        <f t="shared" si="5"/>
        <v>2.3199999999999998</v>
      </c>
      <c r="M39" s="25">
        <f t="shared" si="33"/>
        <v>6.1877532948466742E-4</v>
      </c>
      <c r="N39" s="26">
        <f t="shared" si="34"/>
        <v>0.48748056419485347</v>
      </c>
      <c r="O39" s="135">
        <f t="shared" si="11"/>
        <v>652744750.74354935</v>
      </c>
      <c r="P39" s="22">
        <f t="shared" si="35"/>
        <v>1858.5196509928794</v>
      </c>
      <c r="Q39" s="21">
        <f t="shared" si="36"/>
        <v>4500</v>
      </c>
      <c r="R39" s="27">
        <f t="shared" si="20"/>
        <v>2.3590809436602953</v>
      </c>
      <c r="S39" s="28">
        <f t="shared" si="37"/>
        <v>1.0217552346000001</v>
      </c>
      <c r="T39" s="22">
        <f t="shared" si="38"/>
        <v>127.64856384573423</v>
      </c>
      <c r="U39" s="31">
        <v>75</v>
      </c>
      <c r="V39" s="29">
        <v>207.24476540000001</v>
      </c>
      <c r="W39">
        <f t="shared" si="12"/>
        <v>19219616.28159871</v>
      </c>
      <c r="X39">
        <f t="shared" si="13"/>
        <v>2.944430615444309E-2</v>
      </c>
      <c r="Y39" s="27">
        <f t="shared" si="7"/>
        <v>5.4730677892918846</v>
      </c>
    </row>
    <row r="40" spans="4:25" ht="15" thickBot="1" x14ac:dyDescent="0.4">
      <c r="D40" s="19" t="s">
        <v>104</v>
      </c>
      <c r="E40" s="20">
        <v>2</v>
      </c>
      <c r="F40" s="21">
        <v>1193</v>
      </c>
      <c r="G40" s="22">
        <f t="shared" si="31"/>
        <v>124.9306678577541</v>
      </c>
      <c r="H40" s="21">
        <f t="shared" si="1"/>
        <v>1.2290000000000001</v>
      </c>
      <c r="I40" s="22">
        <f t="shared" si="32"/>
        <v>153.53979079717979</v>
      </c>
      <c r="J40" s="23">
        <f t="shared" si="3"/>
        <v>1.9040000000000001E-3</v>
      </c>
      <c r="K40" s="21">
        <f t="shared" si="4"/>
        <v>0.4</v>
      </c>
      <c r="L40" s="24">
        <f t="shared" si="5"/>
        <v>2.3199999999999998</v>
      </c>
      <c r="M40" s="25">
        <f t="shared" si="33"/>
        <v>6.1877532948466742E-4</v>
      </c>
      <c r="N40" s="26">
        <f t="shared" si="34"/>
        <v>0.48748056419485347</v>
      </c>
      <c r="O40" s="135">
        <f t="shared" si="11"/>
        <v>913842651.04096913</v>
      </c>
      <c r="P40" s="22">
        <f t="shared" si="35"/>
        <v>2601.9275113900312</v>
      </c>
      <c r="Q40" s="21">
        <f t="shared" si="36"/>
        <v>6300</v>
      </c>
      <c r="R40" s="27">
        <f t="shared" si="20"/>
        <v>3.3027133211244135</v>
      </c>
      <c r="S40" s="28">
        <f t="shared" si="37"/>
        <v>1.0060967412000001</v>
      </c>
      <c r="T40" s="22">
        <f t="shared" si="38"/>
        <v>125.692337807626</v>
      </c>
      <c r="U40" s="33">
        <v>105</v>
      </c>
      <c r="V40" s="29">
        <v>222.9032588</v>
      </c>
      <c r="W40">
        <f t="shared" si="12"/>
        <v>26089063.531276155</v>
      </c>
      <c r="X40">
        <f t="shared" si="13"/>
        <v>2.8548747972703823E-2</v>
      </c>
      <c r="Y40" s="27">
        <f t="shared" si="7"/>
        <v>7.6622949050086389</v>
      </c>
    </row>
    <row r="41" spans="4:25" ht="15" thickBot="1" x14ac:dyDescent="0.4">
      <c r="D41" s="19" t="s">
        <v>104</v>
      </c>
      <c r="E41" s="20">
        <v>2</v>
      </c>
      <c r="F41" s="21">
        <v>1193</v>
      </c>
      <c r="G41" s="22">
        <f t="shared" si="31"/>
        <v>124.9306678577541</v>
      </c>
      <c r="H41" s="21">
        <f t="shared" si="1"/>
        <v>1.2290000000000001</v>
      </c>
      <c r="I41" s="22">
        <f t="shared" si="32"/>
        <v>153.53979079717979</v>
      </c>
      <c r="J41" s="23">
        <f t="shared" si="3"/>
        <v>1.9040000000000001E-3</v>
      </c>
      <c r="K41" s="21">
        <f t="shared" si="4"/>
        <v>0.4</v>
      </c>
      <c r="L41" s="24">
        <f t="shared" si="5"/>
        <v>2.3199999999999998</v>
      </c>
      <c r="M41" s="25">
        <f t="shared" si="33"/>
        <v>6.1877532948466742E-4</v>
      </c>
      <c r="N41" s="26">
        <f t="shared" si="34"/>
        <v>0.48748056419485347</v>
      </c>
      <c r="O41" s="135">
        <f t="shared" si="11"/>
        <v>1044391601.1896789</v>
      </c>
      <c r="P41" s="22">
        <f t="shared" si="35"/>
        <v>2973.6314415886068</v>
      </c>
      <c r="Q41" s="21">
        <f t="shared" si="36"/>
        <v>7200</v>
      </c>
      <c r="R41" s="27">
        <f t="shared" si="20"/>
        <v>3.774529509856472</v>
      </c>
      <c r="S41" s="28">
        <f t="shared" si="37"/>
        <v>0.99389232720000009</v>
      </c>
      <c r="T41" s="22">
        <f t="shared" si="38"/>
        <v>124.16763221579347</v>
      </c>
      <c r="U41" s="32">
        <v>120</v>
      </c>
      <c r="V41" s="29">
        <v>235.10767279999999</v>
      </c>
      <c r="W41">
        <f t="shared" si="12"/>
        <v>29097094.765391678</v>
      </c>
      <c r="X41">
        <f t="shared" si="13"/>
        <v>2.7860330102470021E-2</v>
      </c>
      <c r="Y41" s="27">
        <f t="shared" si="7"/>
        <v>8.7569084628670151</v>
      </c>
    </row>
    <row r="42" spans="4:25" ht="15" thickBot="1" x14ac:dyDescent="0.4">
      <c r="D42" s="19" t="s">
        <v>104</v>
      </c>
      <c r="E42" s="20">
        <v>3</v>
      </c>
      <c r="F42" s="21">
        <v>1193</v>
      </c>
      <c r="G42" s="22">
        <f t="shared" si="31"/>
        <v>124.9306678577541</v>
      </c>
      <c r="H42" s="21">
        <f t="shared" si="1"/>
        <v>1.2290000000000001</v>
      </c>
      <c r="I42" s="22">
        <f t="shared" si="32"/>
        <v>153.53979079717979</v>
      </c>
      <c r="J42" s="23">
        <f t="shared" si="3"/>
        <v>1.9040000000000001E-3</v>
      </c>
      <c r="K42" s="21">
        <f t="shared" si="4"/>
        <v>0.4</v>
      </c>
      <c r="L42" s="24">
        <f t="shared" si="5"/>
        <v>2.3199999999999998</v>
      </c>
      <c r="M42" s="25">
        <f t="shared" si="33"/>
        <v>6.1877532948466742E-4</v>
      </c>
      <c r="N42" s="26">
        <f t="shared" si="34"/>
        <v>0.48748056419485347</v>
      </c>
      <c r="O42" s="135">
        <f t="shared" si="11"/>
        <v>130548950.14870986</v>
      </c>
      <c r="P42" s="22">
        <f t="shared" si="35"/>
        <v>371.70393019857585</v>
      </c>
      <c r="Q42" s="21">
        <f t="shared" si="36"/>
        <v>900</v>
      </c>
      <c r="R42" s="27">
        <f t="shared" si="20"/>
        <v>0.47181618873205899</v>
      </c>
      <c r="S42" s="28">
        <f t="shared" si="37"/>
        <v>1.1972890330400001</v>
      </c>
      <c r="T42" s="22">
        <f t="shared" si="38"/>
        <v>149.57811851645184</v>
      </c>
      <c r="U42" s="33">
        <v>15</v>
      </c>
      <c r="V42" s="29">
        <v>31.71096696</v>
      </c>
      <c r="W42">
        <f t="shared" si="12"/>
        <v>5278116.5340490183</v>
      </c>
      <c r="X42">
        <f t="shared" si="13"/>
        <v>4.0430172192397203E-2</v>
      </c>
      <c r="Y42" s="27">
        <f t="shared" si="7"/>
        <v>1.0946135578583769</v>
      </c>
    </row>
    <row r="43" spans="4:25" ht="15" thickBot="1" x14ac:dyDescent="0.4">
      <c r="D43" s="19" t="s">
        <v>104</v>
      </c>
      <c r="E43" s="20">
        <v>3</v>
      </c>
      <c r="F43" s="21">
        <v>1193</v>
      </c>
      <c r="G43" s="22">
        <f t="shared" si="31"/>
        <v>124.9306678577541</v>
      </c>
      <c r="H43" s="21">
        <f t="shared" si="1"/>
        <v>1.2290000000000001</v>
      </c>
      <c r="I43" s="22">
        <f t="shared" si="32"/>
        <v>153.53979079717979</v>
      </c>
      <c r="J43" s="23">
        <f t="shared" si="3"/>
        <v>1.9040000000000001E-3</v>
      </c>
      <c r="K43" s="21">
        <f t="shared" si="4"/>
        <v>0.4</v>
      </c>
      <c r="L43" s="24">
        <f t="shared" si="5"/>
        <v>2.3199999999999998</v>
      </c>
      <c r="M43" s="25">
        <f t="shared" si="33"/>
        <v>6.1877532948466742E-4</v>
      </c>
      <c r="N43" s="26">
        <f t="shared" si="34"/>
        <v>0.48748056419485347</v>
      </c>
      <c r="O43" s="135">
        <f t="shared" si="11"/>
        <v>261097900.29741973</v>
      </c>
      <c r="P43" s="22">
        <f t="shared" si="35"/>
        <v>743.40786039715169</v>
      </c>
      <c r="Q43" s="21">
        <f t="shared" si="36"/>
        <v>1800</v>
      </c>
      <c r="R43" s="27">
        <f t="shared" si="20"/>
        <v>0.94363237746411799</v>
      </c>
      <c r="S43" s="28">
        <f t="shared" si="37"/>
        <v>1.1724717545600001</v>
      </c>
      <c r="T43" s="22">
        <f t="shared" si="38"/>
        <v>146.47767934153356</v>
      </c>
      <c r="U43" s="33">
        <v>30</v>
      </c>
      <c r="V43" s="29">
        <v>56.528245439999999</v>
      </c>
      <c r="W43">
        <f t="shared" si="12"/>
        <v>10123151.57601279</v>
      </c>
      <c r="X43">
        <f t="shared" si="13"/>
        <v>3.8771478301745772E-2</v>
      </c>
      <c r="Y43" s="27">
        <f t="shared" si="7"/>
        <v>2.1892271157167538</v>
      </c>
    </row>
    <row r="44" spans="4:25" ht="15" thickBot="1" x14ac:dyDescent="0.4">
      <c r="D44" s="19" t="s">
        <v>104</v>
      </c>
      <c r="E44" s="20">
        <v>3</v>
      </c>
      <c r="F44" s="21">
        <v>1193</v>
      </c>
      <c r="G44" s="22">
        <f t="shared" si="31"/>
        <v>124.9306678577541</v>
      </c>
      <c r="H44" s="21">
        <f t="shared" si="1"/>
        <v>1.2290000000000001</v>
      </c>
      <c r="I44" s="22">
        <f t="shared" si="32"/>
        <v>153.53979079717979</v>
      </c>
      <c r="J44" s="23">
        <f t="shared" si="3"/>
        <v>1.9040000000000001E-3</v>
      </c>
      <c r="K44" s="21">
        <f t="shared" si="4"/>
        <v>0.4</v>
      </c>
      <c r="L44" s="24">
        <f t="shared" si="5"/>
        <v>2.3199999999999998</v>
      </c>
      <c r="M44" s="25">
        <f t="shared" si="33"/>
        <v>6.1877532948466742E-4</v>
      </c>
      <c r="N44" s="26">
        <f t="shared" si="34"/>
        <v>0.48748056419485347</v>
      </c>
      <c r="O44" s="135">
        <f t="shared" si="11"/>
        <v>391646850.44612962</v>
      </c>
      <c r="P44" s="22">
        <f t="shared" si="35"/>
        <v>1115.1117905957276</v>
      </c>
      <c r="Q44" s="21">
        <f t="shared" si="36"/>
        <v>2700</v>
      </c>
      <c r="R44" s="27">
        <f t="shared" si="20"/>
        <v>1.4154485661961771</v>
      </c>
      <c r="S44" s="28">
        <f t="shared" si="37"/>
        <v>1.1249053041000001</v>
      </c>
      <c r="T44" s="22">
        <f t="shared" si="38"/>
        <v>140.53517091794299</v>
      </c>
      <c r="U44" s="32">
        <v>45</v>
      </c>
      <c r="V44" s="29">
        <v>104.0946959</v>
      </c>
      <c r="W44">
        <f t="shared" si="12"/>
        <v>13977649.613742437</v>
      </c>
      <c r="X44">
        <f t="shared" si="13"/>
        <v>3.5689421727304403E-2</v>
      </c>
      <c r="Y44" s="27">
        <f t="shared" si="7"/>
        <v>3.2838406735751309</v>
      </c>
    </row>
    <row r="45" spans="4:25" ht="15" thickBot="1" x14ac:dyDescent="0.4">
      <c r="D45" s="19" t="s">
        <v>104</v>
      </c>
      <c r="E45" s="20">
        <v>3</v>
      </c>
      <c r="F45" s="21">
        <v>1193</v>
      </c>
      <c r="G45" s="22">
        <f t="shared" si="31"/>
        <v>124.9306678577541</v>
      </c>
      <c r="H45" s="21">
        <f t="shared" si="1"/>
        <v>1.2290000000000001</v>
      </c>
      <c r="I45" s="22">
        <f t="shared" si="32"/>
        <v>153.53979079717979</v>
      </c>
      <c r="J45" s="23">
        <f t="shared" si="3"/>
        <v>1.9040000000000001E-3</v>
      </c>
      <c r="K45" s="21">
        <f t="shared" si="4"/>
        <v>0.4</v>
      </c>
      <c r="L45" s="24">
        <f t="shared" si="5"/>
        <v>2.3199999999999998</v>
      </c>
      <c r="M45" s="25">
        <f t="shared" si="33"/>
        <v>6.1877532948466742E-4</v>
      </c>
      <c r="N45" s="26">
        <f t="shared" si="34"/>
        <v>0.48748056419485347</v>
      </c>
      <c r="O45" s="135">
        <f t="shared" si="11"/>
        <v>522195800.59483945</v>
      </c>
      <c r="P45" s="22">
        <f t="shared" si="35"/>
        <v>1486.8157207943034</v>
      </c>
      <c r="Q45" s="21">
        <f t="shared" si="36"/>
        <v>3600</v>
      </c>
      <c r="R45" s="27">
        <f t="shared" si="20"/>
        <v>1.887264754928236</v>
      </c>
      <c r="S45" s="28">
        <f t="shared" si="37"/>
        <v>1.0711345341</v>
      </c>
      <c r="T45" s="22">
        <f t="shared" si="38"/>
        <v>133.81755271061729</v>
      </c>
      <c r="U45" s="33">
        <v>60</v>
      </c>
      <c r="V45" s="29">
        <v>157.8654659</v>
      </c>
      <c r="W45">
        <f t="shared" si="12"/>
        <v>16897754.651038818</v>
      </c>
      <c r="X45">
        <f t="shared" si="13"/>
        <v>3.2359039716118712E-2</v>
      </c>
      <c r="Y45" s="27">
        <f t="shared" si="7"/>
        <v>4.3784542314335075</v>
      </c>
    </row>
    <row r="46" spans="4:25" ht="15" thickBot="1" x14ac:dyDescent="0.4">
      <c r="D46" s="19" t="s">
        <v>104</v>
      </c>
      <c r="E46" s="20">
        <v>3</v>
      </c>
      <c r="F46" s="21">
        <v>1193</v>
      </c>
      <c r="G46" s="22">
        <f t="shared" si="31"/>
        <v>124.9306678577541</v>
      </c>
      <c r="H46" s="21">
        <f t="shared" si="1"/>
        <v>1.2290000000000001</v>
      </c>
      <c r="I46" s="22">
        <f t="shared" si="32"/>
        <v>153.53979079717979</v>
      </c>
      <c r="J46" s="23">
        <f t="shared" si="3"/>
        <v>1.9040000000000001E-3</v>
      </c>
      <c r="K46" s="21">
        <f t="shared" si="4"/>
        <v>0.4</v>
      </c>
      <c r="L46" s="24">
        <f t="shared" si="5"/>
        <v>2.3199999999999998</v>
      </c>
      <c r="M46" s="25">
        <f t="shared" si="33"/>
        <v>6.1877532948466742E-4</v>
      </c>
      <c r="N46" s="26">
        <f t="shared" si="34"/>
        <v>0.48748056419485347</v>
      </c>
      <c r="O46" s="135">
        <f t="shared" si="11"/>
        <v>783293700.89225924</v>
      </c>
      <c r="P46" s="22">
        <f t="shared" si="35"/>
        <v>2230.2235811914552</v>
      </c>
      <c r="Q46" s="21">
        <f t="shared" si="36"/>
        <v>5400</v>
      </c>
      <c r="R46" s="27">
        <f t="shared" si="20"/>
        <v>2.8308971323923542</v>
      </c>
      <c r="S46" s="28">
        <f t="shared" si="37"/>
        <v>1.0463172556</v>
      </c>
      <c r="T46" s="22">
        <f t="shared" si="38"/>
        <v>130.7171135332004</v>
      </c>
      <c r="U46" s="33">
        <v>90</v>
      </c>
      <c r="V46" s="29">
        <v>182.68274439999999</v>
      </c>
      <c r="W46">
        <f t="shared" si="12"/>
        <v>24185718.369531747</v>
      </c>
      <c r="X46">
        <f t="shared" si="13"/>
        <v>3.0876947359568325E-2</v>
      </c>
      <c r="Y46" s="27">
        <f t="shared" si="7"/>
        <v>6.5676813471502618</v>
      </c>
    </row>
    <row r="47" spans="4:25" ht="15" thickBot="1" x14ac:dyDescent="0.4">
      <c r="D47" s="19" t="s">
        <v>104</v>
      </c>
      <c r="E47" s="20">
        <v>3</v>
      </c>
      <c r="F47" s="21">
        <v>1193</v>
      </c>
      <c r="G47" s="22">
        <f t="shared" si="31"/>
        <v>124.9306678577541</v>
      </c>
      <c r="H47" s="21">
        <f t="shared" si="1"/>
        <v>1.2290000000000001</v>
      </c>
      <c r="I47" s="22">
        <f t="shared" si="32"/>
        <v>153.53979079717979</v>
      </c>
      <c r="J47" s="23">
        <f t="shared" si="3"/>
        <v>1.9040000000000001E-3</v>
      </c>
      <c r="K47" s="21">
        <f t="shared" si="4"/>
        <v>0.4</v>
      </c>
      <c r="L47" s="24">
        <f t="shared" si="5"/>
        <v>2.3199999999999998</v>
      </c>
      <c r="M47" s="25">
        <f t="shared" si="33"/>
        <v>6.1877532948466742E-4</v>
      </c>
      <c r="N47" s="26">
        <f t="shared" si="34"/>
        <v>0.48748056419485347</v>
      </c>
      <c r="O47" s="135">
        <f t="shared" si="11"/>
        <v>1044391601.1896789</v>
      </c>
      <c r="P47" s="22">
        <f t="shared" si="35"/>
        <v>2973.6314415886068</v>
      </c>
      <c r="Q47" s="21">
        <f t="shared" si="36"/>
        <v>7200</v>
      </c>
      <c r="R47" s="27">
        <f t="shared" si="20"/>
        <v>3.774529509856472</v>
      </c>
      <c r="S47" s="28">
        <f t="shared" si="37"/>
        <v>0.97944847740000007</v>
      </c>
      <c r="T47" s="22">
        <f t="shared" si="38"/>
        <v>122.36315241384239</v>
      </c>
      <c r="U47" s="33">
        <v>120</v>
      </c>
      <c r="V47" s="29">
        <v>249.5515226</v>
      </c>
      <c r="W47">
        <f t="shared" si="12"/>
        <v>28257526.503535755</v>
      </c>
      <c r="X47">
        <f t="shared" si="13"/>
        <v>2.7056447477504866E-2</v>
      </c>
      <c r="Y47" s="27">
        <f t="shared" si="7"/>
        <v>8.7569084628670151</v>
      </c>
    </row>
    <row r="48" spans="4:25" ht="15" thickBot="1" x14ac:dyDescent="0.4">
      <c r="D48" s="19"/>
      <c r="E48" s="20"/>
      <c r="F48" s="21"/>
      <c r="G48" s="22"/>
      <c r="H48" s="21"/>
      <c r="I48" s="22"/>
      <c r="J48" s="23"/>
      <c r="K48" s="21"/>
      <c r="L48" s="24"/>
      <c r="M48" s="25"/>
      <c r="N48" s="26"/>
      <c r="O48" s="26"/>
      <c r="P48" s="22"/>
      <c r="Q48" s="21"/>
      <c r="R48" s="27"/>
      <c r="S48" s="28"/>
      <c r="T48" s="22"/>
      <c r="U48" s="33"/>
      <c r="V48" s="35"/>
    </row>
    <row r="49" spans="4:22" ht="15" thickBot="1" x14ac:dyDescent="0.4">
      <c r="D49" s="19"/>
      <c r="E49" s="20"/>
      <c r="F49" s="21"/>
      <c r="G49" s="22"/>
      <c r="H49" s="21"/>
      <c r="I49" s="22"/>
      <c r="J49" s="23"/>
      <c r="K49" s="21"/>
      <c r="L49" s="24"/>
      <c r="M49" s="25"/>
      <c r="N49" s="26"/>
      <c r="O49" s="26"/>
      <c r="P49" s="22"/>
      <c r="Q49" s="21"/>
      <c r="R49" s="27"/>
      <c r="S49" s="28"/>
      <c r="T49" s="22"/>
      <c r="U49" s="32"/>
      <c r="V49" s="29"/>
    </row>
    <row r="50" spans="4:22" ht="15" thickBot="1" x14ac:dyDescent="0.4">
      <c r="D50" s="19"/>
      <c r="E50" s="20"/>
      <c r="F50" s="21"/>
      <c r="G50" s="22"/>
      <c r="H50" s="21"/>
      <c r="I50" s="22"/>
      <c r="J50" s="23"/>
      <c r="K50" s="21"/>
      <c r="L50" s="24"/>
      <c r="M50" s="25"/>
      <c r="N50" s="26"/>
      <c r="O50" s="26"/>
      <c r="P50" s="22"/>
      <c r="Q50" s="21"/>
      <c r="R50" s="27"/>
      <c r="S50" s="28"/>
      <c r="T50" s="22"/>
      <c r="U50" s="32"/>
      <c r="V50" s="35"/>
    </row>
    <row r="51" spans="4:22" ht="15" thickBot="1" x14ac:dyDescent="0.4">
      <c r="D51" s="19"/>
      <c r="E51" s="20"/>
      <c r="F51" s="21"/>
      <c r="G51" s="22"/>
      <c r="H51" s="21"/>
      <c r="I51" s="22"/>
      <c r="J51" s="23"/>
      <c r="K51" s="21"/>
      <c r="L51" s="24"/>
      <c r="M51" s="25"/>
      <c r="N51" s="26"/>
      <c r="O51" s="26"/>
      <c r="P51" s="22"/>
      <c r="Q51" s="21"/>
      <c r="R51" s="27"/>
      <c r="S51" s="28"/>
      <c r="T51" s="22"/>
      <c r="U51" s="33"/>
      <c r="V51" s="29"/>
    </row>
    <row r="52" spans="4:22" ht="15" thickBot="1" x14ac:dyDescent="0.4">
      <c r="D52" s="19"/>
      <c r="E52" s="20"/>
      <c r="F52" s="21"/>
      <c r="G52" s="22"/>
      <c r="H52" s="21"/>
      <c r="I52" s="22"/>
      <c r="J52" s="23"/>
      <c r="K52" s="21"/>
      <c r="L52" s="24"/>
      <c r="M52" s="25"/>
      <c r="N52" s="26"/>
      <c r="O52" s="26"/>
      <c r="P52" s="22"/>
      <c r="Q52" s="21"/>
      <c r="R52" s="27"/>
      <c r="S52" s="28"/>
      <c r="T52" s="22"/>
      <c r="U52" s="33"/>
      <c r="V52" s="29"/>
    </row>
    <row r="53" spans="4:22" ht="15" thickBot="1" x14ac:dyDescent="0.4">
      <c r="D53" s="19"/>
      <c r="E53" s="20"/>
      <c r="F53" s="21"/>
      <c r="G53" s="22"/>
      <c r="H53" s="21"/>
      <c r="I53" s="22"/>
      <c r="J53" s="23"/>
      <c r="K53" s="21"/>
      <c r="L53" s="24"/>
      <c r="M53" s="25"/>
      <c r="N53" s="26"/>
      <c r="O53" s="26"/>
      <c r="P53" s="22"/>
      <c r="Q53" s="21"/>
      <c r="R53" s="27"/>
      <c r="S53" s="28"/>
      <c r="T53" s="22"/>
      <c r="U53" s="32"/>
      <c r="V53" s="35"/>
    </row>
    <row r="54" spans="4:22" ht="15" thickBot="1" x14ac:dyDescent="0.4">
      <c r="D54" s="19"/>
      <c r="E54" s="20"/>
      <c r="F54" s="21"/>
      <c r="G54" s="22"/>
      <c r="H54" s="21"/>
      <c r="I54" s="22"/>
      <c r="J54" s="23"/>
      <c r="K54" s="21"/>
      <c r="L54" s="24"/>
      <c r="M54" s="25"/>
      <c r="N54" s="26"/>
      <c r="O54" s="26"/>
      <c r="P54" s="22"/>
      <c r="Q54" s="21"/>
      <c r="R54" s="27"/>
      <c r="S54" s="28"/>
      <c r="T54" s="22"/>
      <c r="U54" s="33"/>
      <c r="V54" s="35"/>
    </row>
    <row r="55" spans="4:22" ht="15" thickBot="1" x14ac:dyDescent="0.4">
      <c r="D55" s="19"/>
      <c r="E55" s="20"/>
      <c r="F55" s="21"/>
      <c r="G55" s="22"/>
      <c r="H55" s="21"/>
      <c r="I55" s="22"/>
      <c r="J55" s="23"/>
      <c r="K55" s="21"/>
      <c r="L55" s="24"/>
      <c r="M55" s="25"/>
      <c r="N55" s="26"/>
      <c r="O55" s="26"/>
      <c r="P55" s="22"/>
      <c r="Q55" s="21"/>
      <c r="R55" s="27"/>
      <c r="S55" s="28"/>
      <c r="T55" s="22"/>
      <c r="U55" s="32"/>
      <c r="V55" s="35"/>
    </row>
    <row r="56" spans="4:22" ht="15" thickBot="1" x14ac:dyDescent="0.4">
      <c r="D56" s="19"/>
      <c r="E56" s="20"/>
      <c r="F56" s="21"/>
      <c r="G56" s="22"/>
      <c r="H56" s="21"/>
      <c r="I56" s="22"/>
      <c r="J56" s="23"/>
      <c r="K56" s="21"/>
      <c r="L56" s="24"/>
      <c r="M56" s="25"/>
      <c r="N56" s="26"/>
      <c r="O56" s="26"/>
      <c r="P56" s="22"/>
      <c r="Q56" s="21"/>
      <c r="R56" s="27"/>
      <c r="S56" s="28"/>
      <c r="T56" s="22"/>
      <c r="U56" s="32"/>
      <c r="V56" s="35"/>
    </row>
    <row r="57" spans="4:22" ht="15" thickBot="1" x14ac:dyDescent="0.4">
      <c r="D57" s="19"/>
      <c r="E57" s="20"/>
      <c r="F57" s="21"/>
      <c r="G57" s="22"/>
      <c r="H57" s="21"/>
      <c r="I57" s="22"/>
      <c r="J57" s="23"/>
      <c r="K57" s="21"/>
      <c r="L57" s="24"/>
      <c r="M57" s="25"/>
      <c r="N57" s="26"/>
      <c r="O57" s="26"/>
      <c r="P57" s="22"/>
      <c r="Q57" s="21"/>
      <c r="R57" s="27"/>
      <c r="S57" s="28"/>
      <c r="T57" s="22"/>
      <c r="U57" s="33"/>
      <c r="V57" s="35"/>
    </row>
    <row r="58" spans="4:22" ht="15" thickBot="1" x14ac:dyDescent="0.4">
      <c r="D58" s="19"/>
      <c r="E58" s="20"/>
      <c r="F58" s="21"/>
      <c r="G58" s="22"/>
      <c r="H58" s="21"/>
      <c r="I58" s="22"/>
      <c r="J58" s="23"/>
      <c r="K58" s="21"/>
      <c r="L58" s="24"/>
      <c r="M58" s="25"/>
      <c r="N58" s="26"/>
      <c r="O58" s="26"/>
      <c r="P58" s="22"/>
      <c r="Q58" s="21"/>
      <c r="R58" s="27"/>
      <c r="S58" s="28"/>
      <c r="T58" s="22"/>
      <c r="U58" s="32"/>
      <c r="V58" s="35"/>
    </row>
    <row r="59" spans="4:22" ht="15" thickBot="1" x14ac:dyDescent="0.4">
      <c r="D59" s="19"/>
      <c r="E59" s="20"/>
      <c r="F59" s="21"/>
      <c r="G59" s="22"/>
      <c r="H59" s="21"/>
      <c r="I59" s="22"/>
      <c r="J59" s="23"/>
      <c r="K59" s="21"/>
      <c r="L59" s="24"/>
      <c r="M59" s="25"/>
      <c r="N59" s="26"/>
      <c r="O59" s="26"/>
      <c r="P59" s="22"/>
      <c r="Q59" s="21"/>
      <c r="R59" s="27"/>
      <c r="S59" s="28"/>
      <c r="T59" s="22"/>
      <c r="U59" s="33"/>
      <c r="V59" s="29"/>
    </row>
    <row r="60" spans="4:22" ht="15" thickBot="1" x14ac:dyDescent="0.4">
      <c r="D60" s="19"/>
      <c r="E60" s="20"/>
      <c r="F60" s="21"/>
      <c r="G60" s="22"/>
      <c r="H60" s="21"/>
      <c r="I60" s="22"/>
      <c r="J60" s="23"/>
      <c r="K60" s="21"/>
      <c r="L60" s="24"/>
      <c r="M60" s="25"/>
      <c r="N60" s="26"/>
      <c r="O60" s="26"/>
      <c r="P60" s="22"/>
      <c r="Q60" s="21"/>
      <c r="R60" s="27"/>
      <c r="S60" s="28"/>
      <c r="T60" s="22"/>
      <c r="U60" s="32"/>
      <c r="V60" s="35"/>
    </row>
    <row r="61" spans="4:22" ht="15" thickBot="1" x14ac:dyDescent="0.4">
      <c r="D61" s="19"/>
      <c r="E61" s="20"/>
      <c r="F61" s="21"/>
      <c r="G61" s="22"/>
      <c r="H61" s="21"/>
      <c r="I61" s="22"/>
      <c r="J61" s="23"/>
      <c r="K61" s="21"/>
      <c r="L61" s="24"/>
      <c r="M61" s="25"/>
      <c r="N61" s="26"/>
      <c r="O61" s="26"/>
      <c r="P61" s="22"/>
      <c r="Q61" s="21"/>
      <c r="R61" s="27"/>
      <c r="S61" s="28"/>
      <c r="T61" s="22"/>
      <c r="U61" s="33"/>
      <c r="V61" s="35"/>
    </row>
    <row r="62" spans="4:22" ht="15" thickBot="1" x14ac:dyDescent="0.4">
      <c r="D62" s="19"/>
      <c r="E62" s="20"/>
      <c r="F62" s="21"/>
      <c r="G62" s="22"/>
      <c r="H62" s="21"/>
      <c r="I62" s="22"/>
      <c r="J62" s="23"/>
      <c r="K62" s="21"/>
      <c r="L62" s="24"/>
      <c r="M62" s="25"/>
      <c r="N62" s="26"/>
      <c r="O62" s="26"/>
      <c r="P62" s="22"/>
      <c r="Q62" s="21"/>
      <c r="R62" s="27"/>
      <c r="S62" s="28"/>
      <c r="T62" s="22"/>
      <c r="U62" s="33"/>
      <c r="V62" s="35"/>
    </row>
    <row r="63" spans="4:22" ht="15" thickBot="1" x14ac:dyDescent="0.4">
      <c r="D63" s="19"/>
      <c r="E63" s="20"/>
      <c r="F63" s="21"/>
      <c r="G63" s="22"/>
      <c r="H63" s="21"/>
      <c r="I63" s="22"/>
      <c r="J63" s="23"/>
      <c r="K63" s="21"/>
      <c r="L63" s="24"/>
      <c r="M63" s="25"/>
      <c r="N63" s="26"/>
      <c r="O63" s="26"/>
      <c r="P63" s="22"/>
      <c r="Q63" s="21"/>
      <c r="R63" s="27"/>
      <c r="S63" s="28"/>
      <c r="T63" s="22"/>
      <c r="U63" s="33"/>
      <c r="V63" s="29"/>
    </row>
    <row r="64" spans="4:22" ht="15" thickBot="1" x14ac:dyDescent="0.4">
      <c r="D64" s="19"/>
      <c r="E64" s="20"/>
      <c r="F64" s="21"/>
      <c r="G64" s="22"/>
      <c r="H64" s="21"/>
      <c r="I64" s="22"/>
      <c r="J64" s="23"/>
      <c r="K64" s="21"/>
      <c r="L64" s="24"/>
      <c r="M64" s="25"/>
      <c r="N64" s="26"/>
      <c r="O64" s="26"/>
      <c r="P64" s="22"/>
      <c r="Q64" s="21"/>
      <c r="R64" s="27"/>
      <c r="S64" s="28"/>
      <c r="T64" s="22"/>
      <c r="U64" s="33"/>
      <c r="V64" s="35"/>
    </row>
    <row r="65" spans="4:22" ht="15" thickBot="1" x14ac:dyDescent="0.4">
      <c r="D65" s="19"/>
      <c r="E65" s="20"/>
      <c r="F65" s="21"/>
      <c r="G65" s="22"/>
      <c r="H65" s="21"/>
      <c r="I65" s="22"/>
      <c r="J65" s="23"/>
      <c r="K65" s="21"/>
      <c r="L65" s="24"/>
      <c r="M65" s="25"/>
      <c r="N65" s="26"/>
      <c r="O65" s="26"/>
      <c r="P65" s="22"/>
      <c r="Q65" s="21"/>
      <c r="R65" s="27"/>
      <c r="S65" s="28"/>
      <c r="T65" s="22"/>
      <c r="U65" s="32"/>
      <c r="V65" s="35"/>
    </row>
    <row r="66" spans="4:22" ht="15" thickBot="1" x14ac:dyDescent="0.4">
      <c r="D66" s="19"/>
      <c r="E66" s="20"/>
      <c r="F66" s="21"/>
      <c r="G66" s="22"/>
      <c r="H66" s="21"/>
      <c r="I66" s="22"/>
      <c r="J66" s="23"/>
      <c r="K66" s="21"/>
      <c r="L66" s="24"/>
      <c r="M66" s="25"/>
      <c r="N66" s="26"/>
      <c r="O66" s="26"/>
      <c r="P66" s="22"/>
      <c r="Q66" s="21"/>
      <c r="R66" s="27"/>
      <c r="S66" s="28"/>
      <c r="T66" s="22"/>
      <c r="U66" s="32"/>
      <c r="V66" s="35"/>
    </row>
    <row r="67" spans="4:22" ht="15" thickBot="1" x14ac:dyDescent="0.4">
      <c r="D67" s="19"/>
      <c r="E67" s="20"/>
      <c r="F67" s="21"/>
      <c r="G67" s="22"/>
      <c r="H67" s="21"/>
      <c r="I67" s="22"/>
      <c r="J67" s="23"/>
      <c r="K67" s="21"/>
      <c r="L67" s="24"/>
      <c r="M67" s="25"/>
      <c r="N67" s="26"/>
      <c r="O67" s="26"/>
      <c r="P67" s="22"/>
      <c r="Q67" s="21"/>
      <c r="R67" s="27"/>
      <c r="S67" s="28"/>
      <c r="T67" s="22"/>
      <c r="U67" s="33"/>
      <c r="V67" s="29"/>
    </row>
    <row r="68" spans="4:22" ht="15" thickBot="1" x14ac:dyDescent="0.4">
      <c r="D68" s="19"/>
      <c r="E68" s="20"/>
      <c r="F68" s="21"/>
      <c r="G68" s="22"/>
      <c r="H68" s="21"/>
      <c r="I68" s="22"/>
      <c r="J68" s="23"/>
      <c r="K68" s="21"/>
      <c r="L68" s="24"/>
      <c r="M68" s="25"/>
      <c r="N68" s="26"/>
      <c r="O68" s="26"/>
      <c r="P68" s="22"/>
      <c r="Q68" s="21"/>
      <c r="R68" s="27"/>
      <c r="S68" s="28"/>
      <c r="T68" s="22"/>
      <c r="U68" s="33"/>
      <c r="V68" s="35"/>
    </row>
    <row r="69" spans="4:22" ht="15" thickBot="1" x14ac:dyDescent="0.4">
      <c r="D69" s="19"/>
      <c r="E69" s="20"/>
      <c r="F69" s="21"/>
      <c r="G69" s="22"/>
      <c r="H69" s="21"/>
      <c r="I69" s="22"/>
      <c r="J69" s="23"/>
      <c r="K69" s="21"/>
      <c r="L69" s="24"/>
      <c r="M69" s="25"/>
      <c r="N69" s="26"/>
      <c r="O69" s="26"/>
      <c r="P69" s="22"/>
      <c r="Q69" s="21"/>
      <c r="R69" s="27"/>
      <c r="S69" s="28"/>
      <c r="T69" s="22"/>
      <c r="U69" s="32"/>
      <c r="V69" s="35"/>
    </row>
    <row r="70" spans="4:22" ht="15" thickBot="1" x14ac:dyDescent="0.4">
      <c r="D70" s="19"/>
      <c r="E70" s="20"/>
      <c r="F70" s="21"/>
      <c r="G70" s="22"/>
      <c r="H70" s="21"/>
      <c r="I70" s="22"/>
      <c r="J70" s="23"/>
      <c r="K70" s="21"/>
      <c r="L70" s="24"/>
      <c r="M70" s="25"/>
      <c r="N70" s="26"/>
      <c r="O70" s="26"/>
      <c r="P70" s="22"/>
      <c r="Q70" s="21"/>
      <c r="R70" s="27"/>
      <c r="S70" s="28"/>
      <c r="T70" s="22"/>
      <c r="U70" s="33"/>
      <c r="V70" s="35"/>
    </row>
    <row r="71" spans="4:22" ht="15" thickBot="1" x14ac:dyDescent="0.4">
      <c r="D71" s="19"/>
      <c r="E71" s="20"/>
      <c r="F71" s="21"/>
      <c r="G71" s="22"/>
      <c r="H71" s="21"/>
      <c r="I71" s="22"/>
      <c r="J71" s="23"/>
      <c r="K71" s="21"/>
      <c r="L71" s="24"/>
      <c r="M71" s="25"/>
      <c r="N71" s="26"/>
      <c r="O71" s="26"/>
      <c r="P71" s="22"/>
      <c r="Q71" s="21"/>
      <c r="R71" s="27"/>
      <c r="S71" s="28"/>
      <c r="T71" s="22"/>
      <c r="U71" s="33"/>
      <c r="V71" s="29"/>
    </row>
    <row r="72" spans="4:22" ht="15" thickBot="1" x14ac:dyDescent="0.4">
      <c r="D72" s="19"/>
      <c r="E72" s="20"/>
      <c r="F72" s="21"/>
      <c r="G72" s="22"/>
      <c r="H72" s="21"/>
      <c r="I72" s="22"/>
      <c r="J72" s="23"/>
      <c r="K72" s="21"/>
      <c r="L72" s="24"/>
      <c r="M72" s="25"/>
      <c r="N72" s="26"/>
      <c r="O72" s="26"/>
      <c r="P72" s="22"/>
      <c r="Q72" s="21"/>
      <c r="R72" s="27"/>
      <c r="S72" s="28"/>
      <c r="T72" s="22"/>
      <c r="U72" s="33"/>
      <c r="V72" s="35"/>
    </row>
    <row r="73" spans="4:22" ht="15" thickBot="1" x14ac:dyDescent="0.4">
      <c r="D73" s="19"/>
      <c r="E73" s="20"/>
      <c r="F73" s="21"/>
      <c r="G73" s="22"/>
      <c r="H73" s="21"/>
      <c r="I73" s="22"/>
      <c r="J73" s="23"/>
      <c r="K73" s="21"/>
      <c r="L73" s="24"/>
      <c r="M73" s="25"/>
      <c r="N73" s="26"/>
      <c r="O73" s="26"/>
      <c r="P73" s="22"/>
      <c r="Q73" s="21"/>
      <c r="R73" s="27"/>
      <c r="S73" s="28"/>
      <c r="T73" s="22"/>
      <c r="U73" s="33"/>
      <c r="V73" s="35"/>
    </row>
    <row r="74" spans="4:22" ht="15" thickBot="1" x14ac:dyDescent="0.4">
      <c r="D74" s="19"/>
      <c r="E74" s="20"/>
      <c r="F74" s="21"/>
      <c r="G74" s="22"/>
      <c r="H74" s="21"/>
      <c r="I74" s="22"/>
      <c r="J74" s="23"/>
      <c r="K74" s="21"/>
      <c r="L74" s="24"/>
      <c r="M74" s="25"/>
      <c r="N74" s="26"/>
      <c r="O74" s="26"/>
      <c r="P74" s="22"/>
      <c r="Q74" s="21"/>
      <c r="R74" s="27"/>
      <c r="S74" s="28"/>
      <c r="T74" s="22"/>
      <c r="U74" s="32"/>
      <c r="V74" s="29"/>
    </row>
    <row r="75" spans="4:22" ht="15" thickBot="1" x14ac:dyDescent="0.4">
      <c r="D75" s="19"/>
      <c r="E75" s="20"/>
      <c r="F75" s="21"/>
      <c r="G75" s="22"/>
      <c r="H75" s="21"/>
      <c r="I75" s="22"/>
      <c r="J75" s="23"/>
      <c r="K75" s="21"/>
      <c r="L75" s="24"/>
      <c r="M75" s="25"/>
      <c r="N75" s="26"/>
      <c r="O75" s="26"/>
      <c r="P75" s="22"/>
      <c r="Q75" s="21"/>
      <c r="R75" s="27"/>
      <c r="S75" s="28"/>
      <c r="T75" s="22"/>
      <c r="U75" s="32"/>
      <c r="V75" s="35"/>
    </row>
    <row r="76" spans="4:22" ht="15" thickBot="1" x14ac:dyDescent="0.4">
      <c r="D76" s="19"/>
      <c r="E76" s="20"/>
      <c r="F76" s="21"/>
      <c r="G76" s="22"/>
      <c r="H76" s="21"/>
      <c r="I76" s="22"/>
      <c r="J76" s="23"/>
      <c r="K76" s="21"/>
      <c r="L76" s="24"/>
      <c r="M76" s="25"/>
      <c r="N76" s="26"/>
      <c r="O76" s="26"/>
      <c r="P76" s="22"/>
      <c r="Q76" s="21"/>
      <c r="R76" s="27"/>
      <c r="S76" s="28"/>
      <c r="T76" s="22"/>
      <c r="U76" s="32"/>
      <c r="V76" s="35"/>
    </row>
    <row r="77" spans="4:22" ht="15" thickBot="1" x14ac:dyDescent="0.4">
      <c r="D77" s="19"/>
      <c r="E77" s="20"/>
      <c r="F77" s="21"/>
      <c r="G77" s="22"/>
      <c r="H77" s="21"/>
      <c r="I77" s="22"/>
      <c r="J77" s="23"/>
      <c r="K77" s="21"/>
      <c r="L77" s="24"/>
      <c r="M77" s="25"/>
      <c r="N77" s="26"/>
      <c r="O77" s="26"/>
      <c r="P77" s="22"/>
      <c r="Q77" s="21"/>
      <c r="R77" s="27"/>
      <c r="S77" s="28"/>
      <c r="T77" s="22"/>
      <c r="U77" s="33"/>
      <c r="V77" s="35"/>
    </row>
    <row r="78" spans="4:22" ht="15" thickBot="1" x14ac:dyDescent="0.4">
      <c r="D78" s="19"/>
      <c r="E78" s="20"/>
      <c r="F78" s="21"/>
      <c r="G78" s="22"/>
      <c r="H78" s="21"/>
      <c r="I78" s="22"/>
      <c r="J78" s="23"/>
      <c r="K78" s="21"/>
      <c r="L78" s="24"/>
      <c r="M78" s="25"/>
      <c r="N78" s="26"/>
      <c r="O78" s="26"/>
      <c r="P78" s="22"/>
      <c r="Q78" s="21"/>
      <c r="R78" s="27"/>
      <c r="S78" s="28"/>
      <c r="T78" s="22"/>
      <c r="U78" s="32"/>
      <c r="V78" s="35"/>
    </row>
    <row r="79" spans="4:22" ht="15" thickBot="1" x14ac:dyDescent="0.4">
      <c r="D79" s="19"/>
      <c r="E79" s="20"/>
      <c r="F79" s="21"/>
      <c r="G79" s="22"/>
      <c r="H79" s="21"/>
      <c r="I79" s="22"/>
      <c r="J79" s="23"/>
      <c r="K79" s="21"/>
      <c r="L79" s="24"/>
      <c r="M79" s="25"/>
      <c r="N79" s="26"/>
      <c r="O79" s="26"/>
      <c r="P79" s="22"/>
      <c r="Q79" s="21"/>
      <c r="R79" s="27"/>
      <c r="S79" s="28"/>
      <c r="T79" s="22"/>
      <c r="U79" s="33"/>
      <c r="V79" s="35"/>
    </row>
    <row r="80" spans="4:22" ht="15" thickBot="1" x14ac:dyDescent="0.4">
      <c r="D80" s="19"/>
      <c r="E80" s="20"/>
      <c r="F80" s="21"/>
      <c r="G80" s="22"/>
      <c r="H80" s="21"/>
      <c r="I80" s="22"/>
      <c r="J80" s="23"/>
      <c r="K80" s="21"/>
      <c r="L80" s="24"/>
      <c r="M80" s="25"/>
      <c r="N80" s="26"/>
      <c r="O80" s="26"/>
      <c r="P80" s="22"/>
      <c r="Q80" s="21"/>
      <c r="R80" s="27"/>
      <c r="S80" s="28"/>
      <c r="T80" s="22"/>
      <c r="U80" s="33"/>
      <c r="V80" s="29"/>
    </row>
    <row r="81" spans="4:22" ht="15" thickBot="1" x14ac:dyDescent="0.4">
      <c r="D81" s="19"/>
      <c r="E81" s="20"/>
      <c r="F81" s="21"/>
      <c r="G81" s="22"/>
      <c r="H81" s="21"/>
      <c r="I81" s="22"/>
      <c r="J81" s="23"/>
      <c r="K81" s="21"/>
      <c r="L81" s="24"/>
      <c r="M81" s="25"/>
      <c r="N81" s="26"/>
      <c r="O81" s="26"/>
      <c r="P81" s="22"/>
      <c r="Q81" s="21"/>
      <c r="R81" s="27"/>
      <c r="S81" s="28"/>
      <c r="T81" s="22"/>
      <c r="U81" s="33"/>
      <c r="V81" s="35"/>
    </row>
    <row r="82" spans="4:22" ht="15" thickBot="1" x14ac:dyDescent="0.4">
      <c r="D82" s="19"/>
      <c r="E82" s="20"/>
      <c r="F82" s="21"/>
      <c r="G82" s="22"/>
      <c r="H82" s="21"/>
      <c r="I82" s="22"/>
      <c r="J82" s="23"/>
      <c r="K82" s="21"/>
      <c r="L82" s="24"/>
      <c r="M82" s="25"/>
      <c r="N82" s="26"/>
      <c r="O82" s="26"/>
      <c r="P82" s="22"/>
      <c r="Q82" s="21"/>
      <c r="R82" s="27"/>
      <c r="S82" s="28"/>
      <c r="T82" s="22"/>
      <c r="U82" s="33"/>
      <c r="V82" s="29"/>
    </row>
    <row r="83" spans="4:22" ht="15" thickBot="1" x14ac:dyDescent="0.4">
      <c r="D83" s="19"/>
      <c r="E83" s="20"/>
      <c r="F83" s="21"/>
      <c r="G83" s="22"/>
      <c r="H83" s="21"/>
      <c r="I83" s="22"/>
      <c r="J83" s="23"/>
      <c r="K83" s="21"/>
      <c r="L83" s="24"/>
      <c r="M83" s="25"/>
      <c r="N83" s="26"/>
      <c r="O83" s="26"/>
      <c r="P83" s="22"/>
      <c r="Q83" s="21"/>
      <c r="R83" s="27"/>
      <c r="S83" s="28"/>
      <c r="T83" s="22"/>
      <c r="U83" s="33"/>
      <c r="V83" s="35"/>
    </row>
    <row r="84" spans="4:22" ht="15" thickBot="1" x14ac:dyDescent="0.4">
      <c r="D84" s="19"/>
      <c r="E84" s="20"/>
      <c r="F84" s="21"/>
      <c r="G84" s="22"/>
      <c r="H84" s="21"/>
      <c r="I84" s="22"/>
      <c r="J84" s="23"/>
      <c r="K84" s="21"/>
      <c r="L84" s="24"/>
      <c r="M84" s="25"/>
      <c r="N84" s="26"/>
      <c r="O84" s="26"/>
      <c r="P84" s="22"/>
      <c r="Q84" s="21"/>
      <c r="R84" s="27"/>
      <c r="S84" s="28"/>
      <c r="T84" s="22"/>
      <c r="U84" s="32"/>
      <c r="V84" s="35"/>
    </row>
    <row r="85" spans="4:22" ht="15" thickBot="1" x14ac:dyDescent="0.4">
      <c r="D85" s="19"/>
      <c r="E85" s="20"/>
      <c r="F85" s="21"/>
      <c r="G85" s="22"/>
      <c r="H85" s="21"/>
      <c r="I85" s="22"/>
      <c r="J85" s="23"/>
      <c r="K85" s="21"/>
      <c r="L85" s="24"/>
      <c r="M85" s="25"/>
      <c r="N85" s="26"/>
      <c r="O85" s="26"/>
      <c r="P85" s="22"/>
      <c r="Q85" s="21"/>
      <c r="R85" s="27"/>
      <c r="S85" s="28"/>
      <c r="T85" s="22"/>
      <c r="U85" s="32"/>
      <c r="V85" s="35"/>
    </row>
    <row r="86" spans="4:22" ht="15" thickBot="1" x14ac:dyDescent="0.4">
      <c r="D86" s="19"/>
      <c r="E86" s="20"/>
      <c r="F86" s="21"/>
      <c r="G86" s="22"/>
      <c r="H86" s="21"/>
      <c r="I86" s="22"/>
      <c r="J86" s="23"/>
      <c r="K86" s="21"/>
      <c r="L86" s="24"/>
      <c r="M86" s="25"/>
      <c r="N86" s="26"/>
      <c r="O86" s="26"/>
      <c r="P86" s="22"/>
      <c r="Q86" s="21"/>
      <c r="R86" s="27"/>
      <c r="S86" s="28"/>
      <c r="T86" s="22"/>
      <c r="U86" s="33"/>
      <c r="V86" s="35"/>
    </row>
    <row r="87" spans="4:22" ht="15" thickBot="1" x14ac:dyDescent="0.4">
      <c r="D87" s="19"/>
      <c r="E87" s="20"/>
      <c r="F87" s="21"/>
      <c r="G87" s="22"/>
      <c r="H87" s="21"/>
      <c r="I87" s="22"/>
      <c r="J87" s="23"/>
      <c r="K87" s="21"/>
      <c r="L87" s="24"/>
      <c r="M87" s="25"/>
      <c r="N87" s="26"/>
      <c r="O87" s="26"/>
      <c r="P87" s="22"/>
      <c r="Q87" s="21"/>
      <c r="R87" s="27"/>
      <c r="S87" s="28"/>
      <c r="T87" s="22"/>
      <c r="U87" s="33"/>
      <c r="V87" s="29"/>
    </row>
    <row r="88" spans="4:22" ht="15" thickBot="1" x14ac:dyDescent="0.4">
      <c r="D88" s="19"/>
      <c r="E88" s="20"/>
      <c r="F88" s="21"/>
      <c r="G88" s="22"/>
      <c r="H88" s="21"/>
      <c r="I88" s="22"/>
      <c r="J88" s="23"/>
      <c r="K88" s="21"/>
      <c r="L88" s="24"/>
      <c r="M88" s="25"/>
      <c r="N88" s="26"/>
      <c r="O88" s="26"/>
      <c r="P88" s="22"/>
      <c r="Q88" s="21"/>
      <c r="R88" s="27"/>
      <c r="S88" s="28"/>
      <c r="T88" s="22"/>
      <c r="U88" s="32"/>
      <c r="V88" s="35"/>
    </row>
    <row r="89" spans="4:22" ht="15" thickBot="1" x14ac:dyDescent="0.4">
      <c r="D89" s="19"/>
      <c r="E89" s="20"/>
      <c r="F89" s="21"/>
      <c r="G89" s="22"/>
      <c r="H89" s="21"/>
      <c r="I89" s="22"/>
      <c r="J89" s="23"/>
      <c r="K89" s="21"/>
      <c r="L89" s="24"/>
      <c r="M89" s="25"/>
      <c r="N89" s="26"/>
      <c r="O89" s="26"/>
      <c r="P89" s="22"/>
      <c r="Q89" s="21"/>
      <c r="R89" s="27"/>
      <c r="S89" s="28"/>
      <c r="T89" s="22"/>
      <c r="U89" s="32"/>
      <c r="V89" s="35"/>
    </row>
    <row r="90" spans="4:22" ht="15" thickBot="1" x14ac:dyDescent="0.4">
      <c r="D90" s="19"/>
      <c r="E90" s="20"/>
      <c r="F90" s="21"/>
      <c r="G90" s="22"/>
      <c r="H90" s="21"/>
      <c r="I90" s="22"/>
      <c r="J90" s="23"/>
      <c r="K90" s="21"/>
      <c r="L90" s="24"/>
      <c r="M90" s="25"/>
      <c r="N90" s="26"/>
      <c r="O90" s="26"/>
      <c r="P90" s="22"/>
      <c r="Q90" s="21"/>
      <c r="R90" s="27"/>
      <c r="S90" s="28"/>
      <c r="T90" s="22"/>
      <c r="U90" s="32"/>
      <c r="V90" s="35"/>
    </row>
    <row r="91" spans="4:22" ht="15" thickBot="1" x14ac:dyDescent="0.4">
      <c r="D91" s="19"/>
      <c r="E91" s="20"/>
      <c r="F91" s="21"/>
      <c r="G91" s="22"/>
      <c r="H91" s="21"/>
      <c r="I91" s="22"/>
      <c r="J91" s="23"/>
      <c r="K91" s="21"/>
      <c r="L91" s="24"/>
      <c r="M91" s="25"/>
      <c r="N91" s="26"/>
      <c r="O91" s="26"/>
      <c r="P91" s="22"/>
      <c r="Q91" s="21"/>
      <c r="R91" s="27"/>
      <c r="S91" s="28"/>
      <c r="T91" s="22"/>
      <c r="U91" s="33"/>
      <c r="V91" s="35"/>
    </row>
    <row r="92" spans="4:22" ht="15" thickBot="1" x14ac:dyDescent="0.4">
      <c r="D92" s="19"/>
      <c r="E92" s="20"/>
      <c r="F92" s="21"/>
      <c r="G92" s="22"/>
      <c r="H92" s="21"/>
      <c r="I92" s="22"/>
      <c r="J92" s="23"/>
      <c r="K92" s="21"/>
      <c r="L92" s="24"/>
      <c r="M92" s="25"/>
      <c r="N92" s="26"/>
      <c r="O92" s="26"/>
      <c r="P92" s="22"/>
      <c r="Q92" s="21"/>
      <c r="R92" s="27"/>
      <c r="S92" s="28"/>
      <c r="T92" s="22"/>
      <c r="U92" s="32"/>
      <c r="V92" s="35"/>
    </row>
    <row r="93" spans="4:22" ht="15" thickBot="1" x14ac:dyDescent="0.4">
      <c r="D93" s="19"/>
      <c r="E93" s="20"/>
      <c r="F93" s="21"/>
      <c r="G93" s="22"/>
      <c r="H93" s="21"/>
      <c r="I93" s="22"/>
      <c r="J93" s="23"/>
      <c r="K93" s="21"/>
      <c r="L93" s="24"/>
      <c r="M93" s="25"/>
      <c r="N93" s="26"/>
      <c r="O93" s="26"/>
      <c r="P93" s="22"/>
      <c r="Q93" s="21"/>
      <c r="R93" s="27"/>
      <c r="S93" s="28"/>
      <c r="T93" s="22"/>
      <c r="U93" s="34"/>
      <c r="V93" s="35"/>
    </row>
    <row r="94" spans="4:22" ht="15" thickBot="1" x14ac:dyDescent="0.4">
      <c r="D94" s="19"/>
      <c r="E94" s="20"/>
      <c r="F94" s="21"/>
      <c r="G94" s="22"/>
      <c r="H94" s="21"/>
      <c r="I94" s="22"/>
      <c r="J94" s="23"/>
      <c r="K94" s="21"/>
      <c r="L94" s="24"/>
      <c r="M94" s="25"/>
      <c r="N94" s="26"/>
      <c r="O94" s="26"/>
      <c r="P94" s="22"/>
      <c r="Q94" s="21"/>
      <c r="R94" s="27"/>
      <c r="S94" s="28"/>
      <c r="T94" s="22"/>
      <c r="U94" s="34"/>
      <c r="V94" s="35"/>
    </row>
    <row r="95" spans="4:22" ht="15" thickBot="1" x14ac:dyDescent="0.4">
      <c r="D95" s="19"/>
      <c r="E95" s="20"/>
      <c r="F95" s="21"/>
      <c r="G95" s="22"/>
      <c r="H95" s="21"/>
      <c r="I95" s="22"/>
      <c r="J95" s="23"/>
      <c r="K95" s="21"/>
      <c r="L95" s="24"/>
      <c r="M95" s="25"/>
      <c r="N95" s="26"/>
      <c r="O95" s="26"/>
      <c r="P95" s="22"/>
      <c r="Q95" s="21"/>
      <c r="R95" s="27"/>
      <c r="S95" s="28"/>
      <c r="T95" s="22"/>
      <c r="U95" s="22"/>
      <c r="V95" s="35"/>
    </row>
    <row r="96" spans="4:22" ht="15" thickBot="1" x14ac:dyDescent="0.4">
      <c r="D96" s="19"/>
      <c r="E96" s="20"/>
      <c r="F96" s="21"/>
      <c r="G96" s="22"/>
      <c r="H96" s="21"/>
      <c r="I96" s="22"/>
      <c r="J96" s="23"/>
      <c r="K96" s="21"/>
      <c r="L96" s="24"/>
      <c r="M96" s="25"/>
      <c r="N96" s="26"/>
      <c r="O96" s="26"/>
      <c r="P96" s="22"/>
      <c r="Q96" s="21"/>
      <c r="R96" s="27"/>
      <c r="S96" s="28"/>
      <c r="T96" s="22"/>
      <c r="U96" s="34"/>
      <c r="V96" s="35"/>
    </row>
    <row r="97" spans="4:22" ht="15" thickBot="1" x14ac:dyDescent="0.4">
      <c r="D97" s="19"/>
      <c r="E97" s="20"/>
      <c r="F97" s="21"/>
      <c r="G97" s="22"/>
      <c r="H97" s="21"/>
      <c r="I97" s="22"/>
      <c r="J97" s="23"/>
      <c r="K97" s="21"/>
      <c r="L97" s="24"/>
      <c r="M97" s="25"/>
      <c r="N97" s="26"/>
      <c r="O97" s="26"/>
      <c r="P97" s="22"/>
      <c r="Q97" s="21"/>
      <c r="R97" s="27"/>
      <c r="S97" s="28"/>
      <c r="T97" s="22"/>
      <c r="U97" s="22"/>
      <c r="V97" s="35"/>
    </row>
    <row r="98" spans="4:22" ht="15" thickBot="1" x14ac:dyDescent="0.4">
      <c r="D98" s="19"/>
      <c r="E98" s="20"/>
      <c r="F98" s="21"/>
      <c r="G98" s="22"/>
      <c r="H98" s="21"/>
      <c r="I98" s="22"/>
      <c r="J98" s="23"/>
      <c r="K98" s="21"/>
      <c r="L98" s="24"/>
      <c r="M98" s="25"/>
      <c r="N98" s="26"/>
      <c r="O98" s="26"/>
      <c r="P98" s="22"/>
      <c r="Q98" s="21"/>
      <c r="R98" s="27"/>
      <c r="S98" s="28"/>
      <c r="T98" s="22"/>
      <c r="U98" s="34"/>
      <c r="V98" s="35"/>
    </row>
    <row r="99" spans="4:22" ht="15" thickBot="1" x14ac:dyDescent="0.4">
      <c r="D99" s="19"/>
      <c r="E99" s="20"/>
      <c r="F99" s="21"/>
      <c r="G99" s="22"/>
      <c r="H99" s="21"/>
      <c r="I99" s="22"/>
      <c r="J99" s="23"/>
      <c r="K99" s="21"/>
      <c r="L99" s="24"/>
      <c r="M99" s="25"/>
      <c r="N99" s="26"/>
      <c r="O99" s="26"/>
      <c r="P99" s="22"/>
      <c r="Q99" s="21"/>
      <c r="R99" s="27"/>
      <c r="S99" s="28"/>
      <c r="T99" s="22"/>
      <c r="U99" s="22"/>
      <c r="V99" s="35"/>
    </row>
    <row r="100" spans="4:22" ht="15" thickBot="1" x14ac:dyDescent="0.4">
      <c r="D100" s="19"/>
      <c r="E100" s="20"/>
      <c r="F100" s="21"/>
      <c r="G100" s="22"/>
      <c r="H100" s="21"/>
      <c r="I100" s="22"/>
      <c r="J100" s="23"/>
      <c r="K100" s="21"/>
      <c r="L100" s="24"/>
      <c r="M100" s="25"/>
      <c r="N100" s="26"/>
      <c r="O100" s="26"/>
      <c r="P100" s="22"/>
      <c r="Q100" s="21"/>
      <c r="R100" s="27"/>
      <c r="S100" s="28"/>
      <c r="T100" s="22"/>
      <c r="U100" s="22"/>
      <c r="V100" s="35"/>
    </row>
    <row r="101" spans="4:22" ht="15" thickBot="1" x14ac:dyDescent="0.4">
      <c r="D101" s="19"/>
      <c r="E101" s="20"/>
      <c r="F101" s="21"/>
      <c r="G101" s="22"/>
      <c r="H101" s="21"/>
      <c r="I101" s="22"/>
      <c r="J101" s="23"/>
      <c r="K101" s="21"/>
      <c r="L101" s="24"/>
      <c r="M101" s="25"/>
      <c r="N101" s="26"/>
      <c r="O101" s="26"/>
      <c r="P101" s="22"/>
      <c r="Q101" s="21"/>
      <c r="R101" s="27"/>
      <c r="S101" s="28"/>
      <c r="T101" s="22"/>
      <c r="U101" s="22"/>
      <c r="V101" s="35"/>
    </row>
    <row r="102" spans="4:22" ht="15" thickBot="1" x14ac:dyDescent="0.4">
      <c r="D102" s="19"/>
      <c r="E102" s="20"/>
      <c r="F102" s="21"/>
      <c r="G102" s="22"/>
      <c r="H102" s="21"/>
      <c r="I102" s="22"/>
      <c r="J102" s="23"/>
      <c r="K102" s="21"/>
      <c r="L102" s="24"/>
      <c r="M102" s="25"/>
      <c r="N102" s="26"/>
      <c r="O102" s="26"/>
      <c r="P102" s="22"/>
      <c r="Q102" s="21"/>
      <c r="R102" s="27"/>
      <c r="S102" s="28"/>
      <c r="T102" s="22"/>
      <c r="U102" s="22"/>
      <c r="V102" s="35"/>
    </row>
    <row r="103" spans="4:22" ht="15" thickBot="1" x14ac:dyDescent="0.4">
      <c r="D103" s="19"/>
      <c r="E103" s="20"/>
      <c r="F103" s="21"/>
      <c r="G103" s="22"/>
      <c r="H103" s="21"/>
      <c r="I103" s="22"/>
      <c r="J103" s="23"/>
      <c r="K103" s="21"/>
      <c r="L103" s="24"/>
      <c r="M103" s="25"/>
      <c r="N103" s="26"/>
      <c r="O103" s="26"/>
      <c r="P103" s="22"/>
      <c r="Q103" s="21"/>
      <c r="R103" s="27"/>
      <c r="S103" s="28"/>
      <c r="T103" s="22"/>
      <c r="U103" s="34"/>
      <c r="V103" s="35"/>
    </row>
    <row r="104" spans="4:22" ht="15" thickBot="1" x14ac:dyDescent="0.4">
      <c r="D104" s="19"/>
      <c r="E104" s="20"/>
      <c r="F104" s="21"/>
      <c r="G104" s="22"/>
      <c r="H104" s="21"/>
      <c r="I104" s="22"/>
      <c r="J104" s="23"/>
      <c r="K104" s="21"/>
      <c r="L104" s="24"/>
      <c r="M104" s="25"/>
      <c r="N104" s="26"/>
      <c r="O104" s="26"/>
      <c r="P104" s="22"/>
      <c r="Q104" s="21"/>
      <c r="R104" s="27"/>
      <c r="S104" s="28"/>
      <c r="T104" s="22"/>
      <c r="U104" s="34"/>
      <c r="V104" s="35"/>
    </row>
    <row r="105" spans="4:22" ht="15" thickBot="1" x14ac:dyDescent="0.4">
      <c r="D105" s="19"/>
      <c r="E105" s="20"/>
      <c r="F105" s="21"/>
      <c r="G105" s="22"/>
      <c r="H105" s="21"/>
      <c r="I105" s="22"/>
      <c r="J105" s="23"/>
      <c r="K105" s="21"/>
      <c r="L105" s="24"/>
      <c r="M105" s="25"/>
      <c r="N105" s="26"/>
      <c r="O105" s="26"/>
      <c r="P105" s="22"/>
      <c r="Q105" s="21"/>
      <c r="R105" s="27"/>
      <c r="S105" s="28"/>
      <c r="T105" s="22"/>
      <c r="U105" s="22"/>
      <c r="V105" s="35"/>
    </row>
    <row r="106" spans="4:22" ht="15" thickBot="1" x14ac:dyDescent="0.4">
      <c r="D106" s="19"/>
      <c r="E106" s="20"/>
      <c r="F106" s="21"/>
      <c r="G106" s="22"/>
      <c r="H106" s="21"/>
      <c r="I106" s="22"/>
      <c r="J106" s="23"/>
      <c r="K106" s="21"/>
      <c r="L106" s="24"/>
      <c r="M106" s="25"/>
      <c r="N106" s="26"/>
      <c r="O106" s="26"/>
      <c r="P106" s="22"/>
      <c r="Q106" s="21"/>
      <c r="R106" s="27"/>
      <c r="S106" s="28"/>
      <c r="T106" s="22"/>
      <c r="U106" s="22"/>
      <c r="V106" s="35"/>
    </row>
    <row r="107" spans="4:22" ht="15" thickBot="1" x14ac:dyDescent="0.4">
      <c r="D107" s="19"/>
      <c r="E107" s="20"/>
      <c r="F107" s="21"/>
      <c r="G107" s="22"/>
      <c r="H107" s="21"/>
      <c r="I107" s="22"/>
      <c r="J107" s="23"/>
      <c r="K107" s="21"/>
      <c r="L107" s="24"/>
      <c r="M107" s="25"/>
      <c r="N107" s="26"/>
      <c r="O107" s="26"/>
      <c r="P107" s="22"/>
      <c r="Q107" s="21"/>
      <c r="R107" s="27"/>
      <c r="S107" s="28"/>
      <c r="T107" s="22"/>
      <c r="U107" s="34"/>
      <c r="V107" s="35"/>
    </row>
    <row r="108" spans="4:22" ht="15" thickBot="1" x14ac:dyDescent="0.4">
      <c r="D108" s="19"/>
      <c r="E108" s="20"/>
      <c r="F108" s="21"/>
      <c r="G108" s="22"/>
      <c r="H108" s="21"/>
      <c r="I108" s="22"/>
      <c r="J108" s="23"/>
      <c r="K108" s="21"/>
      <c r="L108" s="24"/>
      <c r="M108" s="25"/>
      <c r="N108" s="26"/>
      <c r="O108" s="26"/>
      <c r="P108" s="22"/>
      <c r="Q108" s="21"/>
      <c r="R108" s="27"/>
      <c r="S108" s="28"/>
      <c r="T108" s="22"/>
      <c r="U108" s="34"/>
      <c r="V108" s="35"/>
    </row>
    <row r="109" spans="4:22" ht="15" thickBot="1" x14ac:dyDescent="0.4">
      <c r="D109" s="19"/>
      <c r="E109" s="20"/>
      <c r="F109" s="21"/>
      <c r="G109" s="22"/>
      <c r="H109" s="21"/>
      <c r="I109" s="22"/>
      <c r="J109" s="23"/>
      <c r="K109" s="21"/>
      <c r="L109" s="24"/>
      <c r="M109" s="25"/>
      <c r="N109" s="26"/>
      <c r="O109" s="26"/>
      <c r="P109" s="22"/>
      <c r="Q109" s="21"/>
      <c r="R109" s="27"/>
      <c r="S109" s="28"/>
      <c r="T109" s="22"/>
      <c r="U109" s="34"/>
      <c r="V109" s="35"/>
    </row>
    <row r="110" spans="4:22" ht="15" thickBot="1" x14ac:dyDescent="0.4">
      <c r="D110" s="19"/>
      <c r="E110" s="20"/>
      <c r="F110" s="21"/>
      <c r="G110" s="22"/>
      <c r="H110" s="21"/>
      <c r="I110" s="22"/>
      <c r="J110" s="23"/>
      <c r="K110" s="21"/>
      <c r="L110" s="24"/>
      <c r="M110" s="25"/>
      <c r="N110" s="26"/>
      <c r="O110" s="26"/>
      <c r="P110" s="22"/>
      <c r="Q110" s="21"/>
      <c r="R110" s="27"/>
      <c r="S110" s="28"/>
      <c r="T110" s="22"/>
      <c r="U110" s="22"/>
      <c r="V110" s="35"/>
    </row>
    <row r="111" spans="4:22" ht="15" thickBot="1" x14ac:dyDescent="0.4">
      <c r="D111" s="19"/>
      <c r="E111" s="20"/>
      <c r="F111" s="21"/>
      <c r="G111" s="22"/>
      <c r="H111" s="21"/>
      <c r="I111" s="22"/>
      <c r="J111" s="23"/>
      <c r="K111" s="21"/>
      <c r="L111" s="24"/>
      <c r="M111" s="25"/>
      <c r="N111" s="26"/>
      <c r="O111" s="26"/>
      <c r="P111" s="22"/>
      <c r="Q111" s="21"/>
      <c r="R111" s="27"/>
      <c r="S111" s="28"/>
      <c r="T111" s="22"/>
      <c r="U111" s="22"/>
      <c r="V111" s="35"/>
    </row>
    <row r="112" spans="4:22" ht="15" thickBot="1" x14ac:dyDescent="0.4">
      <c r="D112" s="19"/>
      <c r="E112" s="20"/>
      <c r="F112" s="21"/>
      <c r="G112" s="22"/>
      <c r="H112" s="21"/>
      <c r="I112" s="22"/>
      <c r="J112" s="23"/>
      <c r="K112" s="21"/>
      <c r="L112" s="24"/>
      <c r="M112" s="25"/>
      <c r="N112" s="26"/>
      <c r="O112" s="26"/>
      <c r="P112" s="22"/>
      <c r="Q112" s="21"/>
      <c r="R112" s="27"/>
      <c r="S112" s="28"/>
      <c r="T112" s="22"/>
      <c r="U112" s="34"/>
      <c r="V112" s="35"/>
    </row>
    <row r="113" spans="4:22" ht="15" thickBot="1" x14ac:dyDescent="0.4">
      <c r="D113" s="19"/>
      <c r="E113" s="20"/>
      <c r="F113" s="21"/>
      <c r="G113" s="22"/>
      <c r="H113" s="21"/>
      <c r="I113" s="22"/>
      <c r="J113" s="23"/>
      <c r="K113" s="21"/>
      <c r="L113" s="24"/>
      <c r="M113" s="25"/>
      <c r="N113" s="26"/>
      <c r="O113" s="26"/>
      <c r="P113" s="22"/>
      <c r="Q113" s="21"/>
      <c r="R113" s="27"/>
      <c r="S113" s="28"/>
      <c r="T113" s="22"/>
      <c r="U113" s="22"/>
      <c r="V113" s="35"/>
    </row>
    <row r="114" spans="4:22" ht="15" thickBot="1" x14ac:dyDescent="0.4">
      <c r="D114" s="19"/>
      <c r="E114" s="20"/>
      <c r="F114" s="21"/>
      <c r="G114" s="22"/>
      <c r="H114" s="21"/>
      <c r="I114" s="22"/>
      <c r="J114" s="23"/>
      <c r="K114" s="21"/>
      <c r="L114" s="24"/>
      <c r="M114" s="25"/>
      <c r="N114" s="26"/>
      <c r="O114" s="26"/>
      <c r="P114" s="22"/>
      <c r="Q114" s="21"/>
      <c r="R114" s="27"/>
      <c r="S114" s="28"/>
      <c r="T114" s="22"/>
      <c r="U114" s="22"/>
      <c r="V114" s="35"/>
    </row>
    <row r="115" spans="4:22" ht="15" thickBot="1" x14ac:dyDescent="0.4">
      <c r="D115" s="19"/>
      <c r="E115" s="20"/>
      <c r="F115" s="21"/>
      <c r="G115" s="22"/>
      <c r="H115" s="21"/>
      <c r="I115" s="22"/>
      <c r="J115" s="23"/>
      <c r="K115" s="21"/>
      <c r="L115" s="24"/>
      <c r="M115" s="25"/>
      <c r="N115" s="26"/>
      <c r="O115" s="26"/>
      <c r="P115" s="22"/>
      <c r="Q115" s="21"/>
      <c r="R115" s="27"/>
      <c r="S115" s="28"/>
      <c r="T115" s="22"/>
      <c r="U115" s="34"/>
      <c r="V115" s="35"/>
    </row>
    <row r="116" spans="4:22" ht="15" thickBot="1" x14ac:dyDescent="0.4">
      <c r="D116" s="19"/>
      <c r="E116" s="20"/>
      <c r="F116" s="21"/>
      <c r="G116" s="22"/>
      <c r="H116" s="21"/>
      <c r="I116" s="22"/>
      <c r="J116" s="23"/>
      <c r="K116" s="21"/>
      <c r="L116" s="24"/>
      <c r="M116" s="25"/>
      <c r="N116" s="26"/>
      <c r="O116" s="26"/>
      <c r="P116" s="22"/>
      <c r="Q116" s="21"/>
      <c r="R116" s="27"/>
      <c r="S116" s="28"/>
      <c r="T116" s="22"/>
      <c r="U116" s="34"/>
      <c r="V116" s="35"/>
    </row>
    <row r="117" spans="4:22" ht="15" thickBot="1" x14ac:dyDescent="0.4">
      <c r="D117" s="19"/>
      <c r="E117" s="20"/>
      <c r="F117" s="21"/>
      <c r="G117" s="22"/>
      <c r="H117" s="21"/>
      <c r="I117" s="22"/>
      <c r="J117" s="23"/>
      <c r="K117" s="21"/>
      <c r="L117" s="24"/>
      <c r="M117" s="25"/>
      <c r="N117" s="26"/>
      <c r="O117" s="26"/>
      <c r="P117" s="22"/>
      <c r="Q117" s="21"/>
      <c r="R117" s="27"/>
      <c r="S117" s="28"/>
      <c r="T117" s="22"/>
      <c r="U117" s="22"/>
      <c r="V117" s="35"/>
    </row>
    <row r="118" spans="4:22" ht="15" thickBot="1" x14ac:dyDescent="0.4">
      <c r="D118" s="19"/>
      <c r="E118" s="20"/>
      <c r="F118" s="21"/>
      <c r="G118" s="22"/>
      <c r="H118" s="21"/>
      <c r="I118" s="22"/>
      <c r="J118" s="23"/>
      <c r="K118" s="21"/>
      <c r="L118" s="24"/>
      <c r="M118" s="25"/>
      <c r="N118" s="26"/>
      <c r="O118" s="26"/>
      <c r="P118" s="22"/>
      <c r="Q118" s="21"/>
      <c r="R118" s="27"/>
      <c r="S118" s="28"/>
      <c r="T118" s="22"/>
      <c r="U118" s="34"/>
      <c r="V118" s="35"/>
    </row>
    <row r="119" spans="4:22" ht="15" thickBot="1" x14ac:dyDescent="0.4">
      <c r="D119" s="19"/>
      <c r="E119" s="20"/>
      <c r="F119" s="21"/>
      <c r="G119" s="22"/>
      <c r="H119" s="21"/>
      <c r="I119" s="22"/>
      <c r="J119" s="23"/>
      <c r="K119" s="21"/>
      <c r="L119" s="24"/>
      <c r="M119" s="25"/>
      <c r="N119" s="26"/>
      <c r="O119" s="26"/>
      <c r="P119" s="22"/>
      <c r="Q119" s="21"/>
      <c r="R119" s="27"/>
      <c r="S119" s="28"/>
      <c r="T119" s="22"/>
      <c r="U119" s="22"/>
      <c r="V119" s="35"/>
    </row>
    <row r="120" spans="4:22" ht="15" thickBot="1" x14ac:dyDescent="0.4">
      <c r="D120" s="19"/>
      <c r="E120" s="20"/>
      <c r="F120" s="21"/>
      <c r="G120" s="22"/>
      <c r="H120" s="21"/>
      <c r="I120" s="22"/>
      <c r="J120" s="23"/>
      <c r="K120" s="21"/>
      <c r="L120" s="24"/>
      <c r="M120" s="25"/>
      <c r="N120" s="26"/>
      <c r="O120" s="26"/>
      <c r="P120" s="22"/>
      <c r="Q120" s="21"/>
      <c r="R120" s="27"/>
      <c r="S120" s="28"/>
      <c r="T120" s="22"/>
      <c r="U120" s="22"/>
      <c r="V120" s="35"/>
    </row>
    <row r="121" spans="4:22" ht="15" thickBot="1" x14ac:dyDescent="0.4">
      <c r="D121" s="19"/>
      <c r="E121" s="20"/>
      <c r="F121" s="21"/>
      <c r="G121" s="22"/>
      <c r="H121" s="21"/>
      <c r="I121" s="22"/>
      <c r="J121" s="23"/>
      <c r="K121" s="21"/>
      <c r="L121" s="24"/>
      <c r="M121" s="25"/>
      <c r="N121" s="26"/>
      <c r="O121" s="26"/>
      <c r="P121" s="22"/>
      <c r="Q121" s="21"/>
      <c r="R121" s="27"/>
      <c r="S121" s="28"/>
      <c r="T121" s="22"/>
      <c r="U121" s="22"/>
      <c r="V121" s="35"/>
    </row>
    <row r="122" spans="4:22" ht="15" thickBot="1" x14ac:dyDescent="0.4">
      <c r="D122" s="19"/>
      <c r="E122" s="20"/>
      <c r="F122" s="21"/>
      <c r="G122" s="22"/>
      <c r="H122" s="21"/>
      <c r="I122" s="22"/>
      <c r="J122" s="23"/>
      <c r="K122" s="21"/>
      <c r="L122" s="24"/>
      <c r="M122" s="25"/>
      <c r="N122" s="26"/>
      <c r="O122" s="26"/>
      <c r="P122" s="22"/>
      <c r="Q122" s="21"/>
      <c r="R122" s="27"/>
      <c r="S122" s="28"/>
      <c r="T122" s="22"/>
      <c r="U122" s="22"/>
      <c r="V122" s="35"/>
    </row>
    <row r="123" spans="4:22" ht="15" thickBot="1" x14ac:dyDescent="0.4">
      <c r="D123" s="19"/>
      <c r="E123" s="20"/>
      <c r="F123" s="21"/>
      <c r="G123" s="22"/>
      <c r="H123" s="21"/>
      <c r="I123" s="22"/>
      <c r="J123" s="23"/>
      <c r="K123" s="21"/>
      <c r="L123" s="24"/>
      <c r="M123" s="25"/>
      <c r="N123" s="26"/>
      <c r="O123" s="26"/>
      <c r="P123" s="22"/>
      <c r="Q123" s="21"/>
      <c r="R123" s="27"/>
      <c r="S123" s="28"/>
      <c r="T123" s="22"/>
      <c r="U123" s="22"/>
      <c r="V123" s="35"/>
    </row>
    <row r="124" spans="4:22" ht="15" thickBot="1" x14ac:dyDescent="0.4">
      <c r="D124" s="19"/>
      <c r="E124" s="20"/>
      <c r="F124" s="21"/>
      <c r="G124" s="22"/>
      <c r="H124" s="21"/>
      <c r="I124" s="22"/>
      <c r="J124" s="23"/>
      <c r="K124" s="21"/>
      <c r="L124" s="24"/>
      <c r="M124" s="25"/>
      <c r="N124" s="26"/>
      <c r="O124" s="26"/>
      <c r="P124" s="22"/>
      <c r="Q124" s="21"/>
      <c r="R124" s="27"/>
      <c r="S124" s="28"/>
      <c r="T124" s="22"/>
      <c r="U124" s="22"/>
      <c r="V124" s="35"/>
    </row>
    <row r="125" spans="4:22" ht="15" thickBot="1" x14ac:dyDescent="0.4">
      <c r="D125" s="19"/>
      <c r="E125" s="20"/>
      <c r="F125" s="21"/>
      <c r="G125" s="22"/>
      <c r="H125" s="21"/>
      <c r="I125" s="22"/>
      <c r="J125" s="23"/>
      <c r="K125" s="21"/>
      <c r="L125" s="24"/>
      <c r="M125" s="25"/>
      <c r="N125" s="26"/>
      <c r="O125" s="26"/>
      <c r="P125" s="22"/>
      <c r="Q125" s="21"/>
      <c r="R125" s="27"/>
      <c r="S125" s="28"/>
      <c r="T125" s="22"/>
      <c r="U125" s="34"/>
      <c r="V125" s="35"/>
    </row>
    <row r="126" spans="4:22" ht="15" thickBot="1" x14ac:dyDescent="0.4">
      <c r="D126" s="19"/>
      <c r="E126" s="20"/>
      <c r="F126" s="21"/>
      <c r="G126" s="22"/>
      <c r="H126" s="21"/>
      <c r="I126" s="22"/>
      <c r="J126" s="23"/>
      <c r="K126" s="21"/>
      <c r="L126" s="24"/>
      <c r="M126" s="25"/>
      <c r="N126" s="26"/>
      <c r="O126" s="26"/>
      <c r="P126" s="22"/>
      <c r="Q126" s="21"/>
      <c r="R126" s="27"/>
      <c r="S126" s="28"/>
      <c r="T126" s="22"/>
      <c r="U126" s="22"/>
      <c r="V126" s="35"/>
    </row>
    <row r="127" spans="4:22" ht="15" thickBot="1" x14ac:dyDescent="0.4">
      <c r="D127" s="19"/>
      <c r="E127" s="20"/>
      <c r="F127" s="21"/>
      <c r="G127" s="22"/>
      <c r="H127" s="21"/>
      <c r="I127" s="22"/>
      <c r="J127" s="23"/>
      <c r="K127" s="21"/>
      <c r="L127" s="24"/>
      <c r="M127" s="25"/>
      <c r="N127" s="26"/>
      <c r="O127" s="26"/>
      <c r="P127" s="22"/>
      <c r="Q127" s="21"/>
      <c r="R127" s="27"/>
      <c r="S127" s="28"/>
      <c r="T127" s="22"/>
      <c r="U127" s="22"/>
      <c r="V127" s="35"/>
    </row>
    <row r="128" spans="4:22" ht="15" thickBot="1" x14ac:dyDescent="0.4">
      <c r="D128" s="19"/>
      <c r="E128" s="20"/>
      <c r="F128" s="21"/>
      <c r="G128" s="22"/>
      <c r="H128" s="21"/>
      <c r="I128" s="22"/>
      <c r="J128" s="23"/>
      <c r="K128" s="21"/>
      <c r="L128" s="24"/>
      <c r="M128" s="25"/>
      <c r="N128" s="26"/>
      <c r="O128" s="26"/>
      <c r="P128" s="22"/>
      <c r="Q128" s="21"/>
      <c r="R128" s="27"/>
      <c r="S128" s="28"/>
      <c r="T128" s="22"/>
      <c r="U128" s="22"/>
      <c r="V128" s="35"/>
    </row>
    <row r="129" spans="4:22" ht="15" thickBot="1" x14ac:dyDescent="0.4">
      <c r="D129" s="19"/>
      <c r="E129" s="20"/>
      <c r="F129" s="21"/>
      <c r="G129" s="22"/>
      <c r="H129" s="21"/>
      <c r="I129" s="22"/>
      <c r="J129" s="23"/>
      <c r="K129" s="21"/>
      <c r="L129" s="24"/>
      <c r="M129" s="25"/>
      <c r="N129" s="26"/>
      <c r="O129" s="26"/>
      <c r="P129" s="22"/>
      <c r="Q129" s="21"/>
      <c r="R129" s="27"/>
      <c r="S129" s="28"/>
      <c r="T129" s="22"/>
      <c r="U129" s="22"/>
      <c r="V129" s="35"/>
    </row>
    <row r="130" spans="4:22" ht="15" thickBot="1" x14ac:dyDescent="0.4">
      <c r="D130" s="19"/>
      <c r="E130" s="20"/>
      <c r="F130" s="21"/>
      <c r="G130" s="22"/>
      <c r="H130" s="21"/>
      <c r="I130" s="22"/>
      <c r="J130" s="23"/>
      <c r="K130" s="21"/>
      <c r="L130" s="24"/>
      <c r="M130" s="25"/>
      <c r="N130" s="26"/>
      <c r="O130" s="26"/>
      <c r="P130" s="22"/>
      <c r="Q130" s="21"/>
      <c r="R130" s="27"/>
      <c r="S130" s="28"/>
      <c r="T130" s="22"/>
      <c r="U130" s="22"/>
      <c r="V130" s="35"/>
    </row>
    <row r="131" spans="4:22" ht="15" thickBot="1" x14ac:dyDescent="0.4">
      <c r="D131" s="19"/>
      <c r="E131" s="20"/>
      <c r="F131" s="21"/>
      <c r="G131" s="22"/>
      <c r="H131" s="21"/>
      <c r="I131" s="22"/>
      <c r="J131" s="23"/>
      <c r="K131" s="21"/>
      <c r="L131" s="24"/>
      <c r="M131" s="25"/>
      <c r="N131" s="26"/>
      <c r="O131" s="26"/>
      <c r="P131" s="22"/>
      <c r="Q131" s="21"/>
      <c r="R131" s="27"/>
      <c r="S131" s="28"/>
      <c r="T131" s="22"/>
      <c r="U131" s="34"/>
      <c r="V131" s="35"/>
    </row>
    <row r="132" spans="4:22" ht="15" thickBot="1" x14ac:dyDescent="0.4">
      <c r="D132" s="19"/>
      <c r="E132" s="20"/>
      <c r="F132" s="21"/>
      <c r="G132" s="22"/>
      <c r="H132" s="21"/>
      <c r="I132" s="22"/>
      <c r="J132" s="23"/>
      <c r="K132" s="21"/>
      <c r="L132" s="24"/>
      <c r="M132" s="25"/>
      <c r="N132" s="26"/>
      <c r="O132" s="26"/>
      <c r="P132" s="22"/>
      <c r="Q132" s="21"/>
      <c r="R132" s="27"/>
      <c r="S132" s="28"/>
      <c r="T132" s="22"/>
      <c r="U132" s="34"/>
      <c r="V132" s="35"/>
    </row>
    <row r="133" spans="4:22" ht="15" thickBot="1" x14ac:dyDescent="0.4">
      <c r="D133" s="19"/>
      <c r="E133" s="20"/>
      <c r="F133" s="21"/>
      <c r="G133" s="22"/>
      <c r="H133" s="21"/>
      <c r="I133" s="22"/>
      <c r="J133" s="23"/>
      <c r="K133" s="21"/>
      <c r="L133" s="24"/>
      <c r="M133" s="25"/>
      <c r="N133" s="26"/>
      <c r="O133" s="26"/>
      <c r="P133" s="22"/>
      <c r="Q133" s="21"/>
      <c r="R133" s="27"/>
      <c r="S133" s="28"/>
      <c r="T133" s="22"/>
      <c r="U133" s="22"/>
      <c r="V133" s="35"/>
    </row>
    <row r="134" spans="4:22" ht="15" thickBot="1" x14ac:dyDescent="0.4">
      <c r="D134" s="19"/>
      <c r="E134" s="20"/>
      <c r="F134" s="21"/>
      <c r="G134" s="22"/>
      <c r="H134" s="21"/>
      <c r="I134" s="22"/>
      <c r="J134" s="23"/>
      <c r="K134" s="21"/>
      <c r="L134" s="24"/>
      <c r="M134" s="25"/>
      <c r="N134" s="26"/>
      <c r="O134" s="26"/>
      <c r="P134" s="22"/>
      <c r="Q134" s="21"/>
      <c r="R134" s="27"/>
      <c r="S134" s="28"/>
      <c r="T134" s="22"/>
      <c r="U134" s="22"/>
      <c r="V134" s="35"/>
    </row>
    <row r="135" spans="4:22" ht="15" thickBot="1" x14ac:dyDescent="0.4">
      <c r="D135" s="19"/>
      <c r="E135" s="20"/>
      <c r="F135" s="21"/>
      <c r="G135" s="22"/>
      <c r="H135" s="21"/>
      <c r="I135" s="22"/>
      <c r="J135" s="23"/>
      <c r="K135" s="21"/>
      <c r="L135" s="24"/>
      <c r="M135" s="25"/>
      <c r="N135" s="26"/>
      <c r="O135" s="26"/>
      <c r="P135" s="22"/>
      <c r="Q135" s="21"/>
      <c r="R135" s="27"/>
      <c r="S135" s="28"/>
      <c r="T135" s="22"/>
      <c r="U135" s="34"/>
      <c r="V135" s="35"/>
    </row>
    <row r="136" spans="4:22" ht="15" thickBot="1" x14ac:dyDescent="0.4">
      <c r="D136" s="19"/>
      <c r="E136" s="20"/>
      <c r="F136" s="21"/>
      <c r="G136" s="22"/>
      <c r="H136" s="21"/>
      <c r="I136" s="22"/>
      <c r="J136" s="23"/>
      <c r="K136" s="21"/>
      <c r="L136" s="24"/>
      <c r="M136" s="25"/>
      <c r="N136" s="26"/>
      <c r="O136" s="26"/>
      <c r="P136" s="22"/>
      <c r="Q136" s="21"/>
      <c r="R136" s="27"/>
      <c r="S136" s="28"/>
      <c r="T136" s="22"/>
      <c r="U136" s="34"/>
      <c r="V136" s="35"/>
    </row>
    <row r="137" spans="4:22" ht="15" thickBot="1" x14ac:dyDescent="0.4">
      <c r="D137" s="19"/>
      <c r="E137" s="20"/>
      <c r="F137" s="21"/>
      <c r="G137" s="22"/>
      <c r="H137" s="21"/>
      <c r="I137" s="22"/>
      <c r="J137" s="23"/>
      <c r="K137" s="21"/>
      <c r="L137" s="24"/>
      <c r="M137" s="25"/>
      <c r="N137" s="26"/>
      <c r="O137" s="26"/>
      <c r="P137" s="22"/>
      <c r="Q137" s="21"/>
      <c r="R137" s="27"/>
      <c r="S137" s="28"/>
      <c r="T137" s="22"/>
      <c r="U137" s="22"/>
      <c r="V137" s="35"/>
    </row>
    <row r="138" spans="4:22" ht="15" thickBot="1" x14ac:dyDescent="0.4">
      <c r="D138" s="19"/>
      <c r="E138" s="20"/>
      <c r="F138" s="21"/>
      <c r="G138" s="22"/>
      <c r="H138" s="21"/>
      <c r="I138" s="22"/>
      <c r="J138" s="23"/>
      <c r="K138" s="21"/>
      <c r="L138" s="24"/>
      <c r="M138" s="25"/>
      <c r="N138" s="26"/>
      <c r="O138" s="26"/>
      <c r="P138" s="22"/>
      <c r="Q138" s="21"/>
      <c r="R138" s="27"/>
      <c r="S138" s="28"/>
      <c r="T138" s="22"/>
      <c r="U138" s="22"/>
      <c r="V138" s="35"/>
    </row>
    <row r="139" spans="4:22" ht="15" thickBot="1" x14ac:dyDescent="0.4">
      <c r="D139" s="19"/>
      <c r="E139" s="20"/>
      <c r="F139" s="21"/>
      <c r="G139" s="22"/>
      <c r="H139" s="21"/>
      <c r="I139" s="22"/>
      <c r="J139" s="23"/>
      <c r="K139" s="21"/>
      <c r="L139" s="24"/>
      <c r="M139" s="25"/>
      <c r="N139" s="26"/>
      <c r="O139" s="26"/>
      <c r="P139" s="22"/>
      <c r="Q139" s="21"/>
      <c r="R139" s="27"/>
      <c r="S139" s="28"/>
      <c r="T139" s="22"/>
      <c r="U139" s="22"/>
      <c r="V139" s="35"/>
    </row>
    <row r="140" spans="4:22" ht="15" thickBot="1" x14ac:dyDescent="0.4">
      <c r="D140" s="19"/>
      <c r="E140" s="20"/>
      <c r="F140" s="21"/>
      <c r="G140" s="22"/>
      <c r="H140" s="21"/>
      <c r="I140" s="22"/>
      <c r="J140" s="23"/>
      <c r="K140" s="21"/>
      <c r="L140" s="24"/>
      <c r="M140" s="25"/>
      <c r="N140" s="26"/>
      <c r="O140" s="26"/>
      <c r="P140" s="22"/>
      <c r="Q140" s="21"/>
      <c r="R140" s="27"/>
      <c r="S140" s="28"/>
      <c r="T140" s="22"/>
      <c r="U140" s="22"/>
      <c r="V140" s="35"/>
    </row>
    <row r="141" spans="4:22" ht="15" thickBot="1" x14ac:dyDescent="0.4">
      <c r="D141" s="19"/>
      <c r="E141" s="20"/>
      <c r="F141" s="21"/>
      <c r="G141" s="22"/>
      <c r="H141" s="21"/>
      <c r="I141" s="22"/>
      <c r="J141" s="23"/>
      <c r="K141" s="21"/>
      <c r="L141" s="24"/>
      <c r="M141" s="25"/>
      <c r="N141" s="26"/>
      <c r="O141" s="26"/>
      <c r="P141" s="22"/>
      <c r="Q141" s="21"/>
      <c r="R141" s="27"/>
      <c r="S141" s="28"/>
      <c r="T141" s="22"/>
      <c r="U141" s="22"/>
      <c r="V141" s="35"/>
    </row>
    <row r="142" spans="4:22" ht="15" thickBot="1" x14ac:dyDescent="0.4">
      <c r="D142" s="19"/>
      <c r="E142" s="20"/>
      <c r="F142" s="21"/>
      <c r="G142" s="22"/>
      <c r="H142" s="21"/>
      <c r="I142" s="22"/>
      <c r="J142" s="23"/>
      <c r="K142" s="21"/>
      <c r="L142" s="24"/>
      <c r="M142" s="25"/>
      <c r="N142" s="26"/>
      <c r="O142" s="26"/>
      <c r="P142" s="22"/>
      <c r="Q142" s="21"/>
      <c r="R142" s="27"/>
      <c r="S142" s="28"/>
      <c r="T142" s="22"/>
      <c r="U142" s="34"/>
      <c r="V142" s="35"/>
    </row>
    <row r="143" spans="4:22" ht="15" thickBot="1" x14ac:dyDescent="0.4">
      <c r="D143" s="19"/>
      <c r="E143" s="20"/>
      <c r="F143" s="21"/>
      <c r="G143" s="22"/>
      <c r="H143" s="21"/>
      <c r="I143" s="22"/>
      <c r="J143" s="23"/>
      <c r="K143" s="21"/>
      <c r="L143" s="24"/>
      <c r="M143" s="25"/>
      <c r="N143" s="26"/>
      <c r="O143" s="26"/>
      <c r="P143" s="22"/>
      <c r="Q143" s="21"/>
      <c r="R143" s="27"/>
      <c r="S143" s="28"/>
      <c r="T143" s="22"/>
      <c r="U143" s="34"/>
      <c r="V143" s="35"/>
    </row>
    <row r="144" spans="4:22" ht="15" thickBot="1" x14ac:dyDescent="0.4">
      <c r="D144" s="19"/>
      <c r="E144" s="20"/>
      <c r="F144" s="21"/>
      <c r="G144" s="22"/>
      <c r="H144" s="21"/>
      <c r="I144" s="22"/>
      <c r="J144" s="23"/>
      <c r="K144" s="21"/>
      <c r="L144" s="24"/>
      <c r="M144" s="25"/>
      <c r="N144" s="26"/>
      <c r="O144" s="26"/>
      <c r="P144" s="22"/>
      <c r="Q144" s="21"/>
      <c r="R144" s="27"/>
      <c r="S144" s="28"/>
      <c r="T144" s="22"/>
      <c r="U144" s="34"/>
      <c r="V144" s="35"/>
    </row>
    <row r="145" spans="4:22" ht="15" thickBot="1" x14ac:dyDescent="0.4">
      <c r="D145" s="19"/>
      <c r="E145" s="20"/>
      <c r="F145" s="21"/>
      <c r="G145" s="22"/>
      <c r="H145" s="21"/>
      <c r="I145" s="22"/>
      <c r="J145" s="23"/>
      <c r="K145" s="21"/>
      <c r="L145" s="24"/>
      <c r="M145" s="25"/>
      <c r="N145" s="26"/>
      <c r="O145" s="26"/>
      <c r="P145" s="22"/>
      <c r="Q145" s="21"/>
      <c r="R145" s="27"/>
      <c r="S145" s="28"/>
      <c r="T145" s="22"/>
      <c r="U145" s="22"/>
      <c r="V145" s="35"/>
    </row>
    <row r="146" spans="4:22" ht="15" thickBot="1" x14ac:dyDescent="0.4">
      <c r="D146" s="19"/>
      <c r="E146" s="20"/>
      <c r="F146" s="21"/>
      <c r="G146" s="22"/>
      <c r="H146" s="21"/>
      <c r="I146" s="22"/>
      <c r="J146" s="23"/>
      <c r="K146" s="21"/>
      <c r="L146" s="24"/>
      <c r="M146" s="25"/>
      <c r="N146" s="26"/>
      <c r="O146" s="26"/>
      <c r="P146" s="22"/>
      <c r="Q146" s="21"/>
      <c r="R146" s="27"/>
      <c r="S146" s="28"/>
      <c r="T146" s="22"/>
      <c r="U146" s="22"/>
      <c r="V146" s="35"/>
    </row>
    <row r="147" spans="4:22" ht="15" thickBot="1" x14ac:dyDescent="0.4">
      <c r="D147" s="19"/>
      <c r="E147" s="20"/>
      <c r="F147" s="21"/>
      <c r="G147" s="22"/>
      <c r="H147" s="21"/>
      <c r="I147" s="22"/>
      <c r="J147" s="23"/>
      <c r="K147" s="21"/>
      <c r="L147" s="24"/>
      <c r="M147" s="25"/>
      <c r="N147" s="26"/>
      <c r="O147" s="26"/>
      <c r="P147" s="22"/>
      <c r="Q147" s="21"/>
      <c r="R147" s="27"/>
      <c r="S147" s="28"/>
      <c r="T147" s="22"/>
      <c r="U147" s="34"/>
      <c r="V147" s="35"/>
    </row>
    <row r="148" spans="4:22" ht="15" thickBot="1" x14ac:dyDescent="0.4">
      <c r="D148" s="19"/>
      <c r="E148" s="20"/>
      <c r="F148" s="21"/>
      <c r="G148" s="22"/>
      <c r="H148" s="21"/>
      <c r="I148" s="22"/>
      <c r="J148" s="23"/>
      <c r="K148" s="21"/>
      <c r="L148" s="24"/>
      <c r="M148" s="25"/>
      <c r="N148" s="26"/>
      <c r="O148" s="26"/>
      <c r="P148" s="22"/>
      <c r="Q148" s="21"/>
      <c r="R148" s="27"/>
      <c r="S148" s="28"/>
      <c r="T148" s="22"/>
      <c r="U148" s="34"/>
      <c r="V148" s="35"/>
    </row>
    <row r="149" spans="4:22" ht="15" thickBot="1" x14ac:dyDescent="0.4">
      <c r="D149" s="19"/>
      <c r="E149" s="20"/>
      <c r="F149" s="21"/>
      <c r="G149" s="22"/>
      <c r="H149" s="21"/>
      <c r="I149" s="22"/>
      <c r="J149" s="23"/>
      <c r="K149" s="21"/>
      <c r="L149" s="24"/>
      <c r="M149" s="25"/>
      <c r="N149" s="26"/>
      <c r="O149" s="26"/>
      <c r="P149" s="22"/>
      <c r="Q149" s="21"/>
      <c r="R149" s="27"/>
      <c r="S149" s="28"/>
      <c r="T149" s="22"/>
      <c r="U149" s="22"/>
      <c r="V149" s="35"/>
    </row>
    <row r="150" spans="4:22" ht="15" thickBot="1" x14ac:dyDescent="0.4">
      <c r="D150" s="19"/>
      <c r="E150" s="20"/>
      <c r="F150" s="21"/>
      <c r="G150" s="22"/>
      <c r="H150" s="21"/>
      <c r="I150" s="22"/>
      <c r="J150" s="23"/>
      <c r="K150" s="21"/>
      <c r="L150" s="24"/>
      <c r="M150" s="25"/>
      <c r="N150" s="26"/>
      <c r="O150" s="26"/>
      <c r="P150" s="22"/>
      <c r="Q150" s="21"/>
      <c r="R150" s="27"/>
      <c r="S150" s="28"/>
      <c r="T150" s="22"/>
      <c r="U150" s="22"/>
      <c r="V150" s="35"/>
    </row>
    <row r="151" spans="4:22" ht="15" thickBot="1" x14ac:dyDescent="0.4">
      <c r="D151" s="19"/>
      <c r="E151" s="20"/>
      <c r="F151" s="21"/>
      <c r="G151" s="22"/>
      <c r="H151" s="21"/>
      <c r="I151" s="22"/>
      <c r="J151" s="23"/>
      <c r="K151" s="21"/>
      <c r="L151" s="24"/>
      <c r="M151" s="25"/>
      <c r="N151" s="26"/>
      <c r="O151" s="26"/>
      <c r="P151" s="22"/>
      <c r="Q151" s="21"/>
      <c r="R151" s="27"/>
      <c r="S151" s="28"/>
      <c r="T151" s="22"/>
      <c r="U151" s="34"/>
      <c r="V151" s="35"/>
    </row>
    <row r="152" spans="4:22" ht="15" thickBot="1" x14ac:dyDescent="0.4">
      <c r="D152" s="19"/>
      <c r="E152" s="20"/>
      <c r="F152" s="21"/>
      <c r="G152" s="22"/>
      <c r="H152" s="21"/>
      <c r="I152" s="22"/>
      <c r="J152" s="23"/>
      <c r="K152" s="21"/>
      <c r="L152" s="24"/>
      <c r="M152" s="25"/>
      <c r="N152" s="26"/>
      <c r="O152" s="26"/>
      <c r="P152" s="22"/>
      <c r="Q152" s="21"/>
      <c r="R152" s="27"/>
      <c r="S152" s="28"/>
      <c r="T152" s="22"/>
      <c r="U152" s="22"/>
      <c r="V152" s="35"/>
    </row>
    <row r="153" spans="4:22" ht="15" thickBot="1" x14ac:dyDescent="0.4">
      <c r="D153" s="19"/>
      <c r="E153" s="20"/>
      <c r="F153" s="21"/>
      <c r="G153" s="22"/>
      <c r="H153" s="21"/>
      <c r="I153" s="22"/>
      <c r="J153" s="23"/>
      <c r="K153" s="21"/>
      <c r="L153" s="24"/>
      <c r="M153" s="25"/>
      <c r="N153" s="26"/>
      <c r="O153" s="26"/>
      <c r="P153" s="22"/>
      <c r="Q153" s="21"/>
      <c r="R153" s="27"/>
      <c r="S153" s="28"/>
      <c r="T153" s="22"/>
      <c r="U153" s="33"/>
      <c r="V153" s="35"/>
    </row>
    <row r="154" spans="4:22" ht="15" thickBot="1" x14ac:dyDescent="0.4">
      <c r="D154" s="19"/>
      <c r="E154" s="20"/>
      <c r="F154" s="21"/>
      <c r="G154" s="22"/>
      <c r="H154" s="21"/>
      <c r="I154" s="22"/>
      <c r="J154" s="23"/>
      <c r="K154" s="21"/>
      <c r="L154" s="24"/>
      <c r="M154" s="25"/>
      <c r="N154" s="26"/>
      <c r="O154" s="26"/>
      <c r="P154" s="22"/>
      <c r="Q154" s="21"/>
      <c r="R154" s="27"/>
      <c r="S154" s="28"/>
      <c r="T154" s="22"/>
      <c r="U154" s="32"/>
      <c r="V154" s="35"/>
    </row>
    <row r="155" spans="4:22" ht="15" thickBot="1" x14ac:dyDescent="0.4">
      <c r="D155" s="19"/>
      <c r="E155" s="20"/>
      <c r="F155" s="21"/>
      <c r="G155" s="22"/>
      <c r="H155" s="21"/>
      <c r="I155" s="22"/>
      <c r="J155" s="23"/>
      <c r="K155" s="21"/>
      <c r="L155" s="24"/>
      <c r="M155" s="25"/>
      <c r="N155" s="26"/>
      <c r="O155" s="26"/>
      <c r="P155" s="22"/>
      <c r="Q155" s="21"/>
      <c r="R155" s="27"/>
      <c r="S155" s="28"/>
      <c r="T155" s="22"/>
      <c r="U155" s="33"/>
      <c r="V155" s="35"/>
    </row>
    <row r="156" spans="4:22" ht="15" thickBot="1" x14ac:dyDescent="0.4">
      <c r="D156" s="19"/>
      <c r="E156" s="20"/>
      <c r="F156" s="21"/>
      <c r="G156" s="22"/>
      <c r="H156" s="21"/>
      <c r="I156" s="22"/>
      <c r="J156" s="23"/>
      <c r="K156" s="21"/>
      <c r="L156" s="24"/>
      <c r="M156" s="25"/>
      <c r="N156" s="26"/>
      <c r="O156" s="26"/>
      <c r="P156" s="22"/>
      <c r="Q156" s="21"/>
      <c r="R156" s="27"/>
      <c r="S156" s="28"/>
      <c r="T156" s="22"/>
      <c r="U156" s="33"/>
      <c r="V156" s="35"/>
    </row>
    <row r="157" spans="4:22" ht="15" thickBot="1" x14ac:dyDescent="0.4">
      <c r="D157" s="19"/>
      <c r="E157" s="20"/>
      <c r="F157" s="21"/>
      <c r="G157" s="22"/>
      <c r="H157" s="21"/>
      <c r="I157" s="22"/>
      <c r="J157" s="23"/>
      <c r="K157" s="21"/>
      <c r="L157" s="24"/>
      <c r="M157" s="25"/>
      <c r="N157" s="26"/>
      <c r="O157" s="26"/>
      <c r="P157" s="22"/>
      <c r="Q157" s="21"/>
      <c r="R157" s="27"/>
      <c r="S157" s="28"/>
      <c r="T157" s="22"/>
      <c r="U157" s="33"/>
      <c r="V157" s="35"/>
    </row>
    <row r="158" spans="4:22" ht="15" thickBot="1" x14ac:dyDescent="0.4">
      <c r="D158" s="19"/>
      <c r="E158" s="20"/>
      <c r="F158" s="21"/>
      <c r="G158" s="22"/>
      <c r="H158" s="21"/>
      <c r="I158" s="22"/>
      <c r="J158" s="23"/>
      <c r="K158" s="21"/>
      <c r="L158" s="24"/>
      <c r="M158" s="25"/>
      <c r="N158" s="26"/>
      <c r="O158" s="26"/>
      <c r="P158" s="22"/>
      <c r="Q158" s="21"/>
      <c r="R158" s="27"/>
      <c r="S158" s="28"/>
      <c r="T158" s="22"/>
      <c r="U158" s="32"/>
      <c r="V158" s="35"/>
    </row>
    <row r="159" spans="4:22" ht="15" thickBot="1" x14ac:dyDescent="0.4">
      <c r="D159" s="19"/>
      <c r="E159" s="36"/>
      <c r="F159" s="21"/>
      <c r="G159" s="22"/>
      <c r="H159" s="21"/>
      <c r="I159" s="22"/>
      <c r="J159" s="23"/>
      <c r="K159" s="21"/>
      <c r="L159" s="24"/>
      <c r="M159" s="25"/>
      <c r="N159" s="26"/>
      <c r="O159" s="26"/>
      <c r="P159" s="22"/>
      <c r="Q159" s="21"/>
      <c r="R159" s="27"/>
      <c r="S159" s="28"/>
      <c r="T159" s="22"/>
      <c r="U159" s="32"/>
      <c r="V159" s="35"/>
    </row>
    <row r="160" spans="4:22" ht="15" thickBot="1" x14ac:dyDescent="0.4">
      <c r="D160" s="19"/>
      <c r="E160" s="36"/>
      <c r="F160" s="21"/>
      <c r="G160" s="22"/>
      <c r="H160" s="21"/>
      <c r="I160" s="22"/>
      <c r="J160" s="23"/>
      <c r="K160" s="21"/>
      <c r="L160" s="24"/>
      <c r="M160" s="25"/>
      <c r="N160" s="26"/>
      <c r="O160" s="26"/>
      <c r="P160" s="22"/>
      <c r="Q160" s="21"/>
      <c r="R160" s="27"/>
      <c r="S160" s="28"/>
      <c r="T160" s="22"/>
      <c r="U160" s="33"/>
      <c r="V160" s="35"/>
    </row>
    <row r="161" spans="4:22" ht="15" thickBot="1" x14ac:dyDescent="0.4">
      <c r="D161" s="19"/>
      <c r="E161" s="36"/>
      <c r="F161" s="21"/>
      <c r="G161" s="22"/>
      <c r="H161" s="21"/>
      <c r="I161" s="22"/>
      <c r="J161" s="23"/>
      <c r="K161" s="21"/>
      <c r="L161" s="24"/>
      <c r="M161" s="25"/>
      <c r="N161" s="26"/>
      <c r="O161" s="26"/>
      <c r="P161" s="22"/>
      <c r="Q161" s="21"/>
      <c r="R161" s="27"/>
      <c r="S161" s="28"/>
      <c r="T161" s="22"/>
      <c r="U161" s="32"/>
      <c r="V161" s="35"/>
    </row>
    <row r="162" spans="4:22" ht="15" thickBot="1" x14ac:dyDescent="0.4">
      <c r="D162" s="19"/>
      <c r="E162" s="36"/>
      <c r="F162" s="21"/>
      <c r="G162" s="22"/>
      <c r="H162" s="21"/>
      <c r="I162" s="22"/>
      <c r="J162" s="23"/>
      <c r="K162" s="21"/>
      <c r="L162" s="24"/>
      <c r="M162" s="25"/>
      <c r="N162" s="26"/>
      <c r="O162" s="26"/>
      <c r="P162" s="22"/>
      <c r="Q162" s="21"/>
      <c r="R162" s="27"/>
      <c r="S162" s="28"/>
      <c r="T162" s="22"/>
      <c r="U162" s="32"/>
      <c r="V162" s="35"/>
    </row>
    <row r="163" spans="4:22" ht="15" thickBot="1" x14ac:dyDescent="0.4">
      <c r="D163" s="19"/>
      <c r="E163" s="36"/>
      <c r="F163" s="21"/>
      <c r="G163" s="22"/>
      <c r="H163" s="21"/>
      <c r="I163" s="22"/>
      <c r="J163" s="23"/>
      <c r="K163" s="21"/>
      <c r="L163" s="24"/>
      <c r="M163" s="25"/>
      <c r="N163" s="26"/>
      <c r="O163" s="26"/>
      <c r="P163" s="22"/>
      <c r="Q163" s="21"/>
      <c r="R163" s="27"/>
      <c r="S163" s="28"/>
      <c r="T163" s="22"/>
      <c r="U163" s="33"/>
      <c r="V163" s="35"/>
    </row>
    <row r="164" spans="4:22" ht="15" thickBot="1" x14ac:dyDescent="0.4">
      <c r="D164" s="19"/>
      <c r="E164" s="36"/>
      <c r="F164" s="21"/>
      <c r="G164" s="22"/>
      <c r="H164" s="21"/>
      <c r="I164" s="22"/>
      <c r="J164" s="23"/>
      <c r="K164" s="21"/>
      <c r="L164" s="24"/>
      <c r="M164" s="25"/>
      <c r="N164" s="26"/>
      <c r="O164" s="26"/>
      <c r="P164" s="22"/>
      <c r="Q164" s="21"/>
      <c r="R164" s="27"/>
      <c r="S164" s="28"/>
      <c r="T164" s="22"/>
      <c r="U164" s="32"/>
      <c r="V164" s="35"/>
    </row>
    <row r="165" spans="4:22" ht="15" thickBot="1" x14ac:dyDescent="0.4">
      <c r="D165" s="19"/>
      <c r="E165" s="36"/>
      <c r="F165" s="21"/>
      <c r="G165" s="22"/>
      <c r="H165" s="21"/>
      <c r="I165" s="22"/>
      <c r="J165" s="23"/>
      <c r="K165" s="21"/>
      <c r="L165" s="24"/>
      <c r="M165" s="25"/>
      <c r="N165" s="26"/>
      <c r="O165" s="26"/>
      <c r="P165" s="22"/>
      <c r="Q165" s="21"/>
      <c r="R165" s="27"/>
      <c r="S165" s="28"/>
      <c r="T165" s="22"/>
      <c r="U165" s="32"/>
      <c r="V165" s="35"/>
    </row>
    <row r="166" spans="4:22" ht="15" thickBot="1" x14ac:dyDescent="0.4">
      <c r="D166" s="19"/>
      <c r="E166" s="36"/>
      <c r="F166" s="21"/>
      <c r="G166" s="22"/>
      <c r="H166" s="21"/>
      <c r="I166" s="22"/>
      <c r="J166" s="23"/>
      <c r="K166" s="21"/>
      <c r="L166" s="24"/>
      <c r="M166" s="25"/>
      <c r="N166" s="26"/>
      <c r="O166" s="26"/>
      <c r="P166" s="22"/>
      <c r="Q166" s="21"/>
      <c r="R166" s="27"/>
      <c r="S166" s="28"/>
      <c r="T166" s="22"/>
      <c r="U166" s="32"/>
      <c r="V166" s="35"/>
    </row>
    <row r="167" spans="4:22" ht="15" thickBot="1" x14ac:dyDescent="0.4">
      <c r="D167" s="19"/>
      <c r="E167" s="36"/>
      <c r="F167" s="21"/>
      <c r="G167" s="22"/>
      <c r="H167" s="21"/>
      <c r="I167" s="22"/>
      <c r="J167" s="23"/>
      <c r="K167" s="21"/>
      <c r="L167" s="24"/>
      <c r="M167" s="25"/>
      <c r="N167" s="26"/>
      <c r="O167" s="26"/>
      <c r="P167" s="22"/>
      <c r="Q167" s="21"/>
      <c r="R167" s="27"/>
      <c r="S167" s="28"/>
      <c r="T167" s="22"/>
      <c r="U167" s="33"/>
      <c r="V167" s="35"/>
    </row>
    <row r="168" spans="4:22" ht="15" thickBot="1" x14ac:dyDescent="0.4">
      <c r="D168" s="19"/>
      <c r="E168" s="36"/>
      <c r="F168" s="21"/>
      <c r="G168" s="22"/>
      <c r="H168" s="21"/>
      <c r="I168" s="22"/>
      <c r="J168" s="23"/>
      <c r="K168" s="21"/>
      <c r="L168" s="24"/>
      <c r="M168" s="25"/>
      <c r="N168" s="26"/>
      <c r="O168" s="26"/>
      <c r="P168" s="22"/>
      <c r="Q168" s="21"/>
      <c r="R168" s="27"/>
      <c r="S168" s="28"/>
      <c r="T168" s="22"/>
      <c r="U168" s="32"/>
      <c r="V168" s="35"/>
    </row>
    <row r="169" spans="4:22" ht="15" thickBot="1" x14ac:dyDescent="0.4">
      <c r="D169" s="19"/>
      <c r="E169" s="36"/>
      <c r="F169" s="21"/>
      <c r="G169" s="22"/>
      <c r="H169" s="21"/>
      <c r="I169" s="22"/>
      <c r="J169" s="23"/>
      <c r="K169" s="21"/>
      <c r="L169" s="24"/>
      <c r="M169" s="25"/>
      <c r="N169" s="26"/>
      <c r="O169" s="26"/>
      <c r="P169" s="22"/>
      <c r="Q169" s="21"/>
      <c r="R169" s="27"/>
      <c r="S169" s="28"/>
      <c r="T169" s="22"/>
      <c r="U169" s="33"/>
      <c r="V169" s="35"/>
    </row>
    <row r="170" spans="4:22" ht="15" thickBot="1" x14ac:dyDescent="0.4">
      <c r="D170" s="19"/>
      <c r="E170" s="36"/>
      <c r="F170" s="21"/>
      <c r="G170" s="22"/>
      <c r="H170" s="21"/>
      <c r="I170" s="22"/>
      <c r="J170" s="23"/>
      <c r="K170" s="21"/>
      <c r="L170" s="24"/>
      <c r="M170" s="25"/>
      <c r="N170" s="26"/>
      <c r="O170" s="26"/>
      <c r="P170" s="22"/>
      <c r="Q170" s="21"/>
      <c r="R170" s="27"/>
      <c r="S170" s="28"/>
      <c r="T170" s="22"/>
      <c r="U170" s="33"/>
      <c r="V170" s="35"/>
    </row>
    <row r="171" spans="4:22" ht="15" thickBot="1" x14ac:dyDescent="0.4">
      <c r="D171" s="19"/>
      <c r="E171" s="36"/>
      <c r="F171" s="21"/>
      <c r="G171" s="22"/>
      <c r="H171" s="21"/>
      <c r="I171" s="22"/>
      <c r="J171" s="23"/>
      <c r="K171" s="21"/>
      <c r="L171" s="24"/>
      <c r="M171" s="25"/>
      <c r="N171" s="26"/>
      <c r="O171" s="26"/>
      <c r="P171" s="22"/>
      <c r="Q171" s="21"/>
      <c r="R171" s="27"/>
      <c r="S171" s="28"/>
      <c r="T171" s="22"/>
      <c r="U171" s="32"/>
      <c r="V171" s="35"/>
    </row>
    <row r="172" spans="4:22" ht="15" thickBot="1" x14ac:dyDescent="0.4">
      <c r="D172" s="19"/>
      <c r="E172" s="36"/>
      <c r="F172" s="21"/>
      <c r="G172" s="22"/>
      <c r="H172" s="21"/>
      <c r="I172" s="22"/>
      <c r="J172" s="23"/>
      <c r="K172" s="21"/>
      <c r="L172" s="24"/>
      <c r="M172" s="25"/>
      <c r="N172" s="26"/>
      <c r="O172" s="26"/>
      <c r="P172" s="22"/>
      <c r="Q172" s="21"/>
      <c r="R172" s="27"/>
      <c r="S172" s="28"/>
      <c r="T172" s="22"/>
      <c r="U172" s="33"/>
      <c r="V172" s="35"/>
    </row>
    <row r="173" spans="4:22" ht="15" thickBot="1" x14ac:dyDescent="0.4">
      <c r="D173" s="19"/>
      <c r="E173" s="36"/>
      <c r="F173" s="21"/>
      <c r="G173" s="22"/>
      <c r="H173" s="21"/>
      <c r="I173" s="22"/>
      <c r="J173" s="23"/>
      <c r="K173" s="21"/>
      <c r="L173" s="24"/>
      <c r="M173" s="25"/>
      <c r="N173" s="26"/>
      <c r="O173" s="26"/>
      <c r="P173" s="22"/>
      <c r="Q173" s="21"/>
      <c r="R173" s="27"/>
      <c r="S173" s="28"/>
      <c r="T173" s="22"/>
      <c r="U173" s="33"/>
      <c r="V173" s="35"/>
    </row>
    <row r="174" spans="4:22" ht="15" thickBot="1" x14ac:dyDescent="0.4">
      <c r="D174" s="19"/>
      <c r="E174" s="36"/>
      <c r="F174" s="21"/>
      <c r="G174" s="22"/>
      <c r="H174" s="21"/>
      <c r="I174" s="22"/>
      <c r="J174" s="23"/>
      <c r="K174" s="21"/>
      <c r="L174" s="24"/>
      <c r="M174" s="25"/>
      <c r="N174" s="26"/>
      <c r="O174" s="26"/>
      <c r="P174" s="22"/>
      <c r="Q174" s="21"/>
      <c r="R174" s="27"/>
      <c r="S174" s="28"/>
      <c r="T174" s="22"/>
      <c r="U174" s="32"/>
      <c r="V174" s="35"/>
    </row>
    <row r="175" spans="4:22" ht="15" thickBot="1" x14ac:dyDescent="0.4">
      <c r="D175" s="19"/>
      <c r="E175" s="36"/>
      <c r="F175" s="21"/>
      <c r="G175" s="22"/>
      <c r="H175" s="21"/>
      <c r="I175" s="22"/>
      <c r="J175" s="23"/>
      <c r="K175" s="21"/>
      <c r="L175" s="24"/>
      <c r="M175" s="25"/>
      <c r="N175" s="26"/>
      <c r="O175" s="26"/>
      <c r="P175" s="22"/>
      <c r="Q175" s="21"/>
      <c r="R175" s="27"/>
      <c r="S175" s="28"/>
      <c r="T175" s="22"/>
      <c r="U175" s="33"/>
      <c r="V175" s="35"/>
    </row>
    <row r="176" spans="4:22" ht="15" thickBot="1" x14ac:dyDescent="0.4">
      <c r="D176" s="19"/>
      <c r="E176" s="36"/>
      <c r="F176" s="21"/>
      <c r="G176" s="22"/>
      <c r="H176" s="21"/>
      <c r="I176" s="22"/>
      <c r="J176" s="23"/>
      <c r="K176" s="21"/>
      <c r="L176" s="24"/>
      <c r="M176" s="25"/>
      <c r="N176" s="26"/>
      <c r="O176" s="26"/>
      <c r="P176" s="22"/>
      <c r="Q176" s="21"/>
      <c r="R176" s="27"/>
      <c r="S176" s="28"/>
      <c r="T176" s="22"/>
      <c r="U176" s="32"/>
      <c r="V176" s="35"/>
    </row>
    <row r="177" spans="4:22" ht="15" thickBot="1" x14ac:dyDescent="0.4">
      <c r="D177" s="19"/>
      <c r="E177" s="36"/>
      <c r="F177" s="21"/>
      <c r="G177" s="22"/>
      <c r="H177" s="21"/>
      <c r="I177" s="22"/>
      <c r="J177" s="23"/>
      <c r="K177" s="21"/>
      <c r="L177" s="24"/>
      <c r="M177" s="25"/>
      <c r="N177" s="26"/>
      <c r="O177" s="26"/>
      <c r="P177" s="22"/>
      <c r="Q177" s="21"/>
      <c r="R177" s="27"/>
      <c r="S177" s="28"/>
      <c r="T177" s="22"/>
      <c r="U177" s="33"/>
      <c r="V177" s="35"/>
    </row>
    <row r="178" spans="4:22" ht="15" thickBot="1" x14ac:dyDescent="0.4">
      <c r="D178" s="19"/>
      <c r="F178" s="21"/>
      <c r="G178" s="22"/>
      <c r="H178" s="21"/>
      <c r="I178" s="22"/>
      <c r="J178" s="23"/>
      <c r="K178" s="21"/>
      <c r="L178" s="24"/>
      <c r="M178" s="25"/>
      <c r="N178" s="26"/>
      <c r="O178" s="26"/>
      <c r="P178" s="22"/>
      <c r="Q178" s="21"/>
      <c r="R178" s="27"/>
      <c r="S178" s="28"/>
      <c r="T178" s="22"/>
      <c r="U178" s="33"/>
      <c r="V178" s="35"/>
    </row>
    <row r="179" spans="4:22" ht="15" thickBot="1" x14ac:dyDescent="0.4">
      <c r="D179" s="19"/>
      <c r="E179" s="36"/>
      <c r="F179" s="21"/>
      <c r="G179" s="22"/>
      <c r="H179" s="21"/>
      <c r="I179" s="22"/>
      <c r="J179" s="23"/>
      <c r="K179" s="21"/>
      <c r="L179" s="24"/>
      <c r="M179" s="25"/>
      <c r="N179" s="26"/>
      <c r="O179" s="26"/>
      <c r="P179" s="22"/>
      <c r="Q179" s="21"/>
      <c r="R179" s="27"/>
      <c r="S179" s="28"/>
      <c r="T179" s="22"/>
      <c r="U179" s="33"/>
      <c r="V179" s="35"/>
    </row>
    <row r="180" spans="4:22" ht="15" thickBot="1" x14ac:dyDescent="0.4">
      <c r="D180" s="19"/>
      <c r="F180" s="21"/>
      <c r="G180" s="22"/>
      <c r="H180" s="21"/>
      <c r="I180" s="22"/>
      <c r="J180" s="23"/>
      <c r="K180" s="21"/>
      <c r="L180" s="24"/>
      <c r="M180" s="25"/>
      <c r="N180" s="26"/>
      <c r="O180" s="26"/>
      <c r="P180" s="22"/>
      <c r="Q180" s="21"/>
      <c r="R180" s="27"/>
      <c r="S180" s="28"/>
      <c r="T180" s="22"/>
      <c r="U180" s="33"/>
      <c r="V180" s="35"/>
    </row>
    <row r="181" spans="4:22" ht="15" thickBot="1" x14ac:dyDescent="0.4">
      <c r="D181" s="19"/>
      <c r="E181" s="36"/>
      <c r="F181" s="21"/>
      <c r="G181" s="22"/>
      <c r="H181" s="21"/>
      <c r="I181" s="22"/>
      <c r="J181" s="23"/>
      <c r="K181" s="21"/>
      <c r="L181" s="24"/>
      <c r="M181" s="25"/>
      <c r="N181" s="26"/>
      <c r="O181" s="26"/>
      <c r="P181" s="22"/>
      <c r="Q181" s="21"/>
      <c r="R181" s="27"/>
      <c r="S181" s="28"/>
      <c r="T181" s="22"/>
      <c r="U181" s="33"/>
      <c r="V181" s="35"/>
    </row>
    <row r="182" spans="4:22" ht="15" thickBot="1" x14ac:dyDescent="0.4">
      <c r="D182" s="19"/>
      <c r="E182" s="36"/>
      <c r="F182" s="21"/>
      <c r="G182" s="22"/>
      <c r="H182" s="21"/>
      <c r="I182" s="22"/>
      <c r="J182" s="23"/>
      <c r="K182" s="21"/>
      <c r="L182" s="24"/>
      <c r="M182" s="25"/>
      <c r="N182" s="26"/>
      <c r="O182" s="26"/>
      <c r="P182" s="22"/>
      <c r="Q182" s="21"/>
      <c r="R182" s="27"/>
      <c r="S182" s="28"/>
      <c r="T182" s="22"/>
      <c r="U182" s="32"/>
      <c r="V182" s="35"/>
    </row>
    <row r="183" spans="4:22" ht="15" thickBot="1" x14ac:dyDescent="0.4">
      <c r="D183" s="19"/>
      <c r="E183" s="36"/>
      <c r="F183" s="21"/>
      <c r="G183" s="22"/>
      <c r="H183" s="21"/>
      <c r="I183" s="22"/>
      <c r="J183" s="23"/>
      <c r="K183" s="21"/>
      <c r="L183" s="24"/>
      <c r="M183" s="25"/>
      <c r="N183" s="26"/>
      <c r="O183" s="26"/>
      <c r="P183" s="22"/>
      <c r="Q183" s="21"/>
      <c r="R183" s="27"/>
      <c r="S183" s="28"/>
      <c r="T183" s="22"/>
      <c r="U183" s="33"/>
      <c r="V183" s="35"/>
    </row>
    <row r="184" spans="4:22" ht="15" thickBot="1" x14ac:dyDescent="0.4">
      <c r="D184" s="19"/>
      <c r="E184" s="36"/>
      <c r="F184" s="21"/>
      <c r="G184" s="22"/>
      <c r="H184" s="21"/>
      <c r="I184" s="22"/>
      <c r="J184" s="23"/>
      <c r="K184" s="21"/>
      <c r="L184" s="24"/>
      <c r="M184" s="25"/>
      <c r="N184" s="26"/>
      <c r="O184" s="26"/>
      <c r="P184" s="22"/>
      <c r="Q184" s="21"/>
      <c r="R184" s="27"/>
      <c r="S184" s="28"/>
      <c r="T184" s="22"/>
      <c r="U184" s="32"/>
      <c r="V184" s="35"/>
    </row>
    <row r="185" spans="4:22" ht="15" thickBot="1" x14ac:dyDescent="0.4">
      <c r="D185" s="19"/>
      <c r="E185" s="36"/>
      <c r="F185" s="21"/>
      <c r="G185" s="22"/>
      <c r="H185" s="21"/>
      <c r="I185" s="22"/>
      <c r="J185" s="23"/>
      <c r="K185" s="21"/>
      <c r="L185" s="24"/>
      <c r="M185" s="25"/>
      <c r="N185" s="26"/>
      <c r="O185" s="26"/>
      <c r="P185" s="22"/>
      <c r="Q185" s="21"/>
      <c r="R185" s="27"/>
      <c r="S185" s="28"/>
      <c r="T185" s="22"/>
      <c r="U185" s="33"/>
      <c r="V185" s="35"/>
    </row>
    <row r="186" spans="4:22" ht="15" thickBot="1" x14ac:dyDescent="0.4">
      <c r="D186" s="19"/>
      <c r="E186" s="36"/>
      <c r="F186" s="21"/>
      <c r="G186" s="22"/>
      <c r="H186" s="21"/>
      <c r="I186" s="22"/>
      <c r="J186" s="23"/>
      <c r="K186" s="21"/>
      <c r="L186" s="24"/>
      <c r="M186" s="25"/>
      <c r="N186" s="26"/>
      <c r="O186" s="26"/>
      <c r="P186" s="22"/>
      <c r="Q186" s="21"/>
      <c r="R186" s="27"/>
      <c r="S186" s="28"/>
      <c r="T186" s="22"/>
      <c r="U186" s="33"/>
      <c r="V186" s="35"/>
    </row>
    <row r="187" spans="4:22" ht="15" thickBot="1" x14ac:dyDescent="0.4">
      <c r="D187" s="19"/>
      <c r="E187" s="36"/>
      <c r="F187" s="21"/>
      <c r="G187" s="22"/>
      <c r="H187" s="21"/>
      <c r="I187" s="22"/>
      <c r="J187" s="23"/>
      <c r="K187" s="21"/>
      <c r="L187" s="24"/>
      <c r="M187" s="25"/>
      <c r="N187" s="26"/>
      <c r="O187" s="26"/>
      <c r="P187" s="22"/>
      <c r="Q187" s="21"/>
      <c r="R187" s="27"/>
      <c r="S187" s="28"/>
      <c r="T187" s="22"/>
      <c r="U187" s="33"/>
      <c r="V187" s="35"/>
    </row>
    <row r="188" spans="4:22" ht="15" thickBot="1" x14ac:dyDescent="0.4">
      <c r="D188" s="19"/>
      <c r="E188" s="36"/>
      <c r="F188" s="21"/>
      <c r="G188" s="22"/>
      <c r="H188" s="21"/>
      <c r="I188" s="22"/>
      <c r="J188" s="23"/>
      <c r="K188" s="21"/>
      <c r="L188" s="24"/>
      <c r="M188" s="25"/>
      <c r="N188" s="26"/>
      <c r="O188" s="26"/>
      <c r="P188" s="22"/>
      <c r="Q188" s="21"/>
      <c r="R188" s="27"/>
      <c r="S188" s="28"/>
      <c r="T188" s="22"/>
      <c r="U188" s="32"/>
      <c r="V188" s="35"/>
    </row>
    <row r="189" spans="4:22" ht="15" thickBot="1" x14ac:dyDescent="0.4">
      <c r="D189" s="19"/>
      <c r="E189" s="36"/>
      <c r="F189" s="21"/>
      <c r="G189" s="22"/>
      <c r="H189" s="21"/>
      <c r="I189" s="22"/>
      <c r="J189" s="23"/>
      <c r="K189" s="21"/>
      <c r="L189" s="24"/>
      <c r="M189" s="25"/>
      <c r="N189" s="26"/>
      <c r="O189" s="26"/>
      <c r="P189" s="22"/>
      <c r="Q189" s="21"/>
      <c r="R189" s="27"/>
      <c r="S189" s="28"/>
      <c r="T189" s="22"/>
      <c r="U189" s="33"/>
      <c r="V189" s="35"/>
    </row>
    <row r="190" spans="4:22" ht="15" thickBot="1" x14ac:dyDescent="0.4">
      <c r="D190" s="19"/>
      <c r="E190" s="36"/>
      <c r="F190" s="21"/>
      <c r="G190" s="22"/>
      <c r="H190" s="21"/>
      <c r="I190" s="22"/>
      <c r="J190" s="23"/>
      <c r="K190" s="21"/>
      <c r="L190" s="24"/>
      <c r="M190" s="25"/>
      <c r="N190" s="26"/>
      <c r="O190" s="26"/>
      <c r="P190" s="22"/>
      <c r="Q190" s="21"/>
      <c r="R190" s="27"/>
      <c r="S190" s="28"/>
      <c r="T190" s="22"/>
      <c r="U190" s="32"/>
      <c r="V190" s="35"/>
    </row>
    <row r="191" spans="4:22" ht="15" thickBot="1" x14ac:dyDescent="0.4">
      <c r="D191" s="19"/>
      <c r="F191" s="21"/>
      <c r="G191" s="22"/>
      <c r="H191" s="21"/>
      <c r="I191" s="22"/>
      <c r="J191" s="23"/>
      <c r="K191" s="21"/>
      <c r="L191" s="24"/>
      <c r="M191" s="25"/>
      <c r="N191" s="26"/>
      <c r="O191" s="26"/>
      <c r="P191" s="22"/>
      <c r="Q191" s="21"/>
      <c r="R191" s="27"/>
      <c r="S191" s="28"/>
      <c r="T191" s="22"/>
      <c r="U191" s="22"/>
      <c r="V191" s="35"/>
    </row>
    <row r="192" spans="4:22" ht="15" thickBot="1" x14ac:dyDescent="0.4">
      <c r="D192" s="19"/>
      <c r="E192" s="36"/>
      <c r="F192" s="21"/>
      <c r="G192" s="22"/>
      <c r="H192" s="21"/>
      <c r="I192" s="22"/>
      <c r="J192" s="23"/>
      <c r="K192" s="21"/>
      <c r="L192" s="24"/>
      <c r="M192" s="25"/>
      <c r="N192" s="26"/>
      <c r="O192" s="26"/>
      <c r="P192" s="22"/>
      <c r="Q192" s="21"/>
      <c r="R192" s="27"/>
      <c r="S192" s="28"/>
      <c r="T192" s="22"/>
      <c r="U192" s="22"/>
      <c r="V192" s="35"/>
    </row>
    <row r="193" spans="4:22" ht="15" thickBot="1" x14ac:dyDescent="0.4">
      <c r="D193" s="19"/>
      <c r="E193" s="36"/>
      <c r="F193" s="21"/>
      <c r="G193" s="22"/>
      <c r="H193" s="21"/>
      <c r="I193" s="22"/>
      <c r="J193" s="23"/>
      <c r="K193" s="21"/>
      <c r="L193" s="24"/>
      <c r="M193" s="25"/>
      <c r="N193" s="26"/>
      <c r="O193" s="26"/>
      <c r="P193" s="22"/>
      <c r="Q193" s="21"/>
      <c r="R193" s="27"/>
      <c r="S193" s="28"/>
      <c r="T193" s="22"/>
      <c r="U193" s="22"/>
      <c r="V193" s="35"/>
    </row>
    <row r="194" spans="4:22" ht="15" thickBot="1" x14ac:dyDescent="0.4">
      <c r="D194" s="19"/>
      <c r="E194" s="36"/>
      <c r="F194" s="21"/>
      <c r="G194" s="22"/>
      <c r="H194" s="21"/>
      <c r="I194" s="22"/>
      <c r="J194" s="23"/>
      <c r="K194" s="21"/>
      <c r="L194" s="24"/>
      <c r="M194" s="25"/>
      <c r="N194" s="26"/>
      <c r="O194" s="26"/>
      <c r="P194" s="22"/>
      <c r="Q194" s="21"/>
      <c r="R194" s="27"/>
      <c r="S194" s="28"/>
      <c r="T194" s="22"/>
      <c r="U194" s="34"/>
      <c r="V194" s="35"/>
    </row>
    <row r="195" spans="4:22" ht="15" thickBot="1" x14ac:dyDescent="0.4">
      <c r="D195" s="19"/>
      <c r="E195" s="20"/>
      <c r="F195" s="21"/>
      <c r="G195" s="22"/>
      <c r="H195" s="21"/>
      <c r="I195" s="22"/>
      <c r="J195" s="23"/>
      <c r="K195" s="21"/>
      <c r="L195" s="24"/>
      <c r="M195" s="25"/>
      <c r="N195" s="26"/>
      <c r="O195" s="26"/>
      <c r="P195" s="22"/>
      <c r="Q195" s="21"/>
      <c r="R195" s="27"/>
      <c r="S195" s="28"/>
      <c r="T195" s="22"/>
      <c r="U195" s="34"/>
      <c r="V195" s="35"/>
    </row>
    <row r="196" spans="4:22" ht="15" thickBot="1" x14ac:dyDescent="0.4">
      <c r="D196" s="19"/>
      <c r="E196" s="20"/>
      <c r="F196" s="21"/>
      <c r="G196" s="22"/>
      <c r="H196" s="21"/>
      <c r="I196" s="22"/>
      <c r="J196" s="23"/>
      <c r="K196" s="21"/>
      <c r="L196" s="24"/>
      <c r="M196" s="25"/>
      <c r="N196" s="26"/>
      <c r="O196" s="26"/>
      <c r="P196" s="22"/>
      <c r="Q196" s="21"/>
      <c r="R196" s="27"/>
      <c r="S196" s="28"/>
      <c r="T196" s="22"/>
      <c r="U196" s="34"/>
      <c r="V196" s="35"/>
    </row>
    <row r="197" spans="4:22" ht="15" thickBot="1" x14ac:dyDescent="0.4">
      <c r="D197" s="19"/>
      <c r="E197" s="20"/>
      <c r="F197" s="21"/>
      <c r="G197" s="22"/>
      <c r="H197" s="21"/>
      <c r="I197" s="22"/>
      <c r="J197" s="23"/>
      <c r="K197" s="21"/>
      <c r="L197" s="24"/>
      <c r="M197" s="25"/>
      <c r="N197" s="26"/>
      <c r="O197" s="26"/>
      <c r="P197" s="22"/>
      <c r="Q197" s="21"/>
      <c r="R197" s="27"/>
      <c r="S197" s="28"/>
      <c r="T197" s="22"/>
      <c r="U197" s="22"/>
      <c r="V197" s="35"/>
    </row>
    <row r="198" spans="4:22" ht="15" thickBot="1" x14ac:dyDescent="0.4">
      <c r="D198" s="19"/>
      <c r="E198" s="20"/>
      <c r="F198" s="21"/>
      <c r="G198" s="22"/>
      <c r="H198" s="21"/>
      <c r="I198" s="22"/>
      <c r="J198" s="23"/>
      <c r="K198" s="21"/>
      <c r="L198" s="24"/>
      <c r="M198" s="25"/>
      <c r="N198" s="26"/>
      <c r="O198" s="26"/>
      <c r="P198" s="22"/>
      <c r="Q198" s="21"/>
      <c r="R198" s="27"/>
      <c r="S198" s="28"/>
      <c r="T198" s="22"/>
      <c r="U198" s="22"/>
      <c r="V198" s="35"/>
    </row>
    <row r="199" spans="4:22" ht="15" thickBot="1" x14ac:dyDescent="0.4">
      <c r="D199" s="19"/>
      <c r="E199" s="20"/>
      <c r="F199" s="21"/>
      <c r="G199" s="22"/>
      <c r="H199" s="21"/>
      <c r="I199" s="22"/>
      <c r="J199" s="23"/>
      <c r="K199" s="21"/>
      <c r="L199" s="24"/>
      <c r="M199" s="25"/>
      <c r="N199" s="26"/>
      <c r="O199" s="26"/>
      <c r="P199" s="22"/>
      <c r="Q199" s="21"/>
      <c r="R199" s="27"/>
      <c r="S199" s="28"/>
      <c r="T199" s="22"/>
      <c r="U199" s="22"/>
      <c r="V199" s="35"/>
    </row>
    <row r="200" spans="4:22" ht="15" thickBot="1" x14ac:dyDescent="0.4">
      <c r="D200" s="19"/>
      <c r="E200" s="20"/>
      <c r="F200" s="21"/>
      <c r="G200" s="22"/>
      <c r="H200" s="21"/>
      <c r="I200" s="22"/>
      <c r="J200" s="23"/>
      <c r="K200" s="21"/>
      <c r="L200" s="24"/>
      <c r="M200" s="25"/>
      <c r="N200" s="26"/>
      <c r="O200" s="26"/>
      <c r="P200" s="22"/>
      <c r="Q200" s="21"/>
      <c r="R200" s="27"/>
      <c r="S200" s="28"/>
      <c r="T200" s="22"/>
      <c r="U200" s="22"/>
      <c r="V200" s="35"/>
    </row>
    <row r="201" spans="4:22" ht="15" thickBot="1" x14ac:dyDescent="0.4">
      <c r="D201" s="19"/>
      <c r="E201" s="20"/>
      <c r="F201" s="21"/>
      <c r="G201" s="22"/>
      <c r="H201" s="21"/>
      <c r="I201" s="22"/>
      <c r="J201" s="23"/>
      <c r="K201" s="21"/>
      <c r="L201" s="24"/>
      <c r="M201" s="25"/>
      <c r="N201" s="26"/>
      <c r="O201" s="26"/>
      <c r="P201" s="22"/>
      <c r="Q201" s="21"/>
      <c r="R201" s="27"/>
      <c r="S201" s="28"/>
      <c r="T201" s="22"/>
      <c r="U201" s="34"/>
      <c r="V201" s="35"/>
    </row>
    <row r="202" spans="4:22" ht="15" thickBot="1" x14ac:dyDescent="0.4">
      <c r="D202" s="19"/>
      <c r="E202" s="20"/>
      <c r="F202" s="21"/>
      <c r="G202" s="22"/>
      <c r="H202" s="21"/>
      <c r="I202" s="22"/>
      <c r="J202" s="23"/>
      <c r="K202" s="21"/>
      <c r="L202" s="24"/>
      <c r="M202" s="25"/>
      <c r="N202" s="26"/>
      <c r="O202" s="26"/>
      <c r="P202" s="22"/>
      <c r="Q202" s="21"/>
      <c r="R202" s="27"/>
      <c r="S202" s="28"/>
      <c r="T202" s="22"/>
      <c r="U202" s="22"/>
      <c r="V202" s="35"/>
    </row>
    <row r="203" spans="4:22" ht="15" thickBot="1" x14ac:dyDescent="0.4">
      <c r="D203" s="19"/>
      <c r="E203" s="20"/>
      <c r="F203" s="21"/>
      <c r="G203" s="22"/>
      <c r="H203" s="21"/>
      <c r="I203" s="22"/>
      <c r="J203" s="23"/>
      <c r="K203" s="21"/>
      <c r="L203" s="24"/>
      <c r="M203" s="25"/>
      <c r="N203" s="26"/>
      <c r="O203" s="26"/>
      <c r="P203" s="22"/>
      <c r="Q203" s="21"/>
      <c r="R203" s="27"/>
      <c r="S203" s="28"/>
      <c r="T203" s="22"/>
      <c r="U203" s="22"/>
      <c r="V203" s="35"/>
    </row>
    <row r="204" spans="4:22" ht="15" thickBot="1" x14ac:dyDescent="0.4">
      <c r="D204" s="19"/>
      <c r="E204" s="20"/>
      <c r="F204" s="21"/>
      <c r="G204" s="22"/>
      <c r="H204" s="21"/>
      <c r="I204" s="22"/>
      <c r="J204" s="23"/>
      <c r="K204" s="21"/>
      <c r="L204" s="24"/>
      <c r="M204" s="25"/>
      <c r="N204" s="26"/>
      <c r="O204" s="26"/>
      <c r="P204" s="22"/>
      <c r="Q204" s="21"/>
      <c r="R204" s="27"/>
      <c r="S204" s="28"/>
      <c r="T204" s="22"/>
      <c r="U204" s="22"/>
      <c r="V204" s="35"/>
    </row>
    <row r="205" spans="4:22" ht="15" thickBot="1" x14ac:dyDescent="0.4">
      <c r="D205" s="19"/>
      <c r="E205" s="20"/>
      <c r="F205" s="21"/>
      <c r="G205" s="22"/>
      <c r="H205" s="21"/>
      <c r="I205" s="22"/>
      <c r="J205" s="23"/>
      <c r="K205" s="21"/>
      <c r="L205" s="24"/>
      <c r="M205" s="25"/>
      <c r="N205" s="26"/>
      <c r="O205" s="26"/>
      <c r="P205" s="22"/>
      <c r="Q205" s="21"/>
      <c r="R205" s="27"/>
      <c r="S205" s="28"/>
      <c r="T205" s="22"/>
      <c r="U205" s="34"/>
      <c r="V205" s="35"/>
    </row>
    <row r="206" spans="4:22" ht="15" thickBot="1" x14ac:dyDescent="0.4">
      <c r="D206" s="19"/>
      <c r="E206" s="20"/>
      <c r="F206" s="21"/>
      <c r="G206" s="22"/>
      <c r="H206" s="21"/>
      <c r="I206" s="22"/>
      <c r="J206" s="23"/>
      <c r="K206" s="21"/>
      <c r="L206" s="24"/>
      <c r="M206" s="25"/>
      <c r="N206" s="26"/>
      <c r="O206" s="26"/>
      <c r="P206" s="22"/>
      <c r="Q206" s="21"/>
      <c r="R206" s="27"/>
      <c r="S206" s="28"/>
      <c r="T206" s="22"/>
      <c r="U206" s="22"/>
      <c r="V206" s="35"/>
    </row>
    <row r="207" spans="4:22" ht="15" thickBot="1" x14ac:dyDescent="0.4">
      <c r="D207" s="19"/>
      <c r="E207" s="20"/>
      <c r="F207" s="21"/>
      <c r="G207" s="22"/>
      <c r="H207" s="21"/>
      <c r="I207" s="22"/>
      <c r="J207" s="23"/>
      <c r="K207" s="21"/>
      <c r="L207" s="24"/>
      <c r="M207" s="25"/>
      <c r="N207" s="26"/>
      <c r="O207" s="26"/>
      <c r="P207" s="22"/>
      <c r="Q207" s="21"/>
      <c r="R207" s="27"/>
      <c r="S207" s="28"/>
      <c r="T207" s="22"/>
      <c r="U207" s="22"/>
      <c r="V207" s="35"/>
    </row>
    <row r="208" spans="4:22" ht="15" thickBot="1" x14ac:dyDescent="0.4">
      <c r="D208" s="19"/>
      <c r="E208" s="20"/>
      <c r="F208" s="21"/>
      <c r="G208" s="22"/>
      <c r="H208" s="21"/>
      <c r="I208" s="22"/>
      <c r="J208" s="23"/>
      <c r="K208" s="21"/>
      <c r="L208" s="24"/>
      <c r="M208" s="25"/>
      <c r="N208" s="26"/>
      <c r="O208" s="26"/>
      <c r="P208" s="22"/>
      <c r="Q208" s="21"/>
      <c r="R208" s="27"/>
      <c r="S208" s="28"/>
      <c r="T208" s="22"/>
      <c r="U208" s="22"/>
      <c r="V208" s="35"/>
    </row>
    <row r="209" spans="4:22" ht="15" thickBot="1" x14ac:dyDescent="0.4">
      <c r="D209" s="19"/>
      <c r="E209" s="20"/>
      <c r="F209" s="21"/>
      <c r="G209" s="22"/>
      <c r="H209" s="21"/>
      <c r="I209" s="22"/>
      <c r="J209" s="23"/>
      <c r="K209" s="21"/>
      <c r="L209" s="24"/>
      <c r="M209" s="25"/>
      <c r="N209" s="26"/>
      <c r="O209" s="26"/>
      <c r="P209" s="22"/>
      <c r="Q209" s="21"/>
      <c r="R209" s="27"/>
      <c r="S209" s="28"/>
      <c r="T209" s="22"/>
      <c r="U209" s="34"/>
      <c r="V209" s="35"/>
    </row>
    <row r="210" spans="4:22" ht="15" thickBot="1" x14ac:dyDescent="0.4">
      <c r="D210" s="19"/>
      <c r="E210" s="20"/>
      <c r="F210" s="21"/>
      <c r="G210" s="22"/>
      <c r="H210" s="21"/>
      <c r="I210" s="22"/>
      <c r="J210" s="23"/>
      <c r="K210" s="21"/>
      <c r="L210" s="24"/>
      <c r="M210" s="25"/>
      <c r="N210" s="26"/>
      <c r="O210" s="26"/>
      <c r="P210" s="22"/>
      <c r="Q210" s="21"/>
      <c r="R210" s="27"/>
      <c r="S210" s="28"/>
      <c r="T210" s="22"/>
      <c r="U210" s="22"/>
      <c r="V210" s="35"/>
    </row>
    <row r="211" spans="4:22" ht="15" thickBot="1" x14ac:dyDescent="0.4">
      <c r="D211" s="19"/>
      <c r="E211" s="20"/>
      <c r="F211" s="21"/>
      <c r="G211" s="22"/>
      <c r="H211" s="21"/>
      <c r="I211" s="22"/>
      <c r="J211" s="23"/>
      <c r="K211" s="21"/>
      <c r="L211" s="24"/>
      <c r="M211" s="25"/>
      <c r="N211" s="26"/>
      <c r="O211" s="26"/>
      <c r="P211" s="22"/>
      <c r="Q211" s="21"/>
      <c r="R211" s="27"/>
      <c r="S211" s="28"/>
      <c r="T211" s="22"/>
      <c r="U211" s="34"/>
      <c r="V211" s="35"/>
    </row>
    <row r="212" spans="4:22" ht="15" thickBot="1" x14ac:dyDescent="0.4">
      <c r="D212" s="19"/>
      <c r="E212" s="20"/>
      <c r="F212" s="21"/>
      <c r="G212" s="22"/>
      <c r="H212" s="21"/>
      <c r="I212" s="22"/>
      <c r="J212" s="23"/>
      <c r="K212" s="21"/>
      <c r="L212" s="24"/>
      <c r="M212" s="25"/>
      <c r="N212" s="26"/>
      <c r="O212" s="26"/>
      <c r="P212" s="22"/>
      <c r="Q212" s="21"/>
      <c r="R212" s="27"/>
      <c r="S212" s="28"/>
      <c r="T212" s="22"/>
      <c r="U212" s="34"/>
      <c r="V212" s="35"/>
    </row>
    <row r="213" spans="4:22" ht="15" thickBot="1" x14ac:dyDescent="0.4">
      <c r="D213" s="19"/>
      <c r="E213" s="20"/>
      <c r="F213" s="21"/>
      <c r="G213" s="22"/>
      <c r="H213" s="21"/>
      <c r="I213" s="22"/>
      <c r="J213" s="23"/>
      <c r="K213" s="21"/>
      <c r="L213" s="24"/>
      <c r="M213" s="25"/>
      <c r="N213" s="26"/>
      <c r="O213" s="26"/>
      <c r="P213" s="22"/>
      <c r="Q213" s="21"/>
      <c r="R213" s="27"/>
      <c r="S213" s="28"/>
      <c r="T213" s="22"/>
      <c r="U213" s="22"/>
      <c r="V213" s="35"/>
    </row>
    <row r="214" spans="4:22" ht="15" thickBot="1" x14ac:dyDescent="0.4">
      <c r="D214" s="19"/>
      <c r="E214" s="20"/>
      <c r="F214" s="21"/>
      <c r="G214" s="22"/>
      <c r="H214" s="21"/>
      <c r="I214" s="22"/>
      <c r="J214" s="23"/>
      <c r="K214" s="21"/>
      <c r="L214" s="24"/>
      <c r="M214" s="25"/>
      <c r="N214" s="26"/>
      <c r="O214" s="26"/>
      <c r="P214" s="22"/>
      <c r="Q214" s="21"/>
      <c r="R214" s="27"/>
      <c r="S214" s="28"/>
      <c r="T214" s="22"/>
      <c r="U214" s="31"/>
      <c r="V214" s="35"/>
    </row>
    <row r="215" spans="4:22" ht="15" thickBot="1" x14ac:dyDescent="0.4">
      <c r="D215" s="19"/>
      <c r="E215" s="20"/>
      <c r="F215" s="21"/>
      <c r="G215" s="22"/>
      <c r="H215" s="21"/>
      <c r="I215" s="22"/>
      <c r="J215" s="23"/>
      <c r="K215" s="21"/>
      <c r="L215" s="24"/>
      <c r="M215" s="25"/>
      <c r="N215" s="26"/>
      <c r="O215" s="26"/>
      <c r="P215" s="22"/>
      <c r="Q215" s="21"/>
      <c r="R215" s="27"/>
      <c r="S215" s="28"/>
      <c r="T215" s="22"/>
      <c r="U215" s="18"/>
      <c r="V215" s="35"/>
    </row>
    <row r="216" spans="4:22" ht="15" thickBot="1" x14ac:dyDescent="0.4">
      <c r="D216" s="19"/>
      <c r="E216" s="20"/>
      <c r="F216" s="21"/>
      <c r="G216" s="22"/>
      <c r="H216" s="21"/>
      <c r="I216" s="22"/>
      <c r="J216" s="23"/>
      <c r="K216" s="21"/>
      <c r="L216" s="24"/>
      <c r="M216" s="25"/>
      <c r="N216" s="26"/>
      <c r="O216" s="26"/>
      <c r="P216" s="22"/>
      <c r="Q216" s="21"/>
      <c r="R216" s="27"/>
      <c r="S216" s="28"/>
      <c r="T216" s="22"/>
      <c r="U216" s="37"/>
      <c r="V216" s="35"/>
    </row>
    <row r="217" spans="4:22" ht="15" thickBot="1" x14ac:dyDescent="0.4">
      <c r="D217" s="19"/>
      <c r="E217" s="20"/>
      <c r="F217" s="21"/>
      <c r="G217" s="22"/>
      <c r="H217" s="21"/>
      <c r="I217" s="22"/>
      <c r="J217" s="23"/>
      <c r="K217" s="21"/>
      <c r="L217" s="24"/>
      <c r="M217" s="25"/>
      <c r="N217" s="26"/>
      <c r="O217" s="26"/>
      <c r="P217" s="22"/>
      <c r="Q217" s="21"/>
      <c r="R217" s="27"/>
      <c r="S217" s="28"/>
      <c r="T217" s="22"/>
      <c r="U217" s="30"/>
      <c r="V217" s="35"/>
    </row>
    <row r="218" spans="4:22" ht="15" thickBot="1" x14ac:dyDescent="0.4">
      <c r="D218" s="19"/>
      <c r="E218" s="20"/>
      <c r="F218" s="21"/>
      <c r="G218" s="22"/>
      <c r="H218" s="21"/>
      <c r="I218" s="22"/>
      <c r="J218" s="23"/>
      <c r="K218" s="21"/>
      <c r="L218" s="24"/>
      <c r="M218" s="25"/>
      <c r="N218" s="26"/>
      <c r="O218" s="26"/>
      <c r="P218" s="22"/>
      <c r="Q218" s="21"/>
      <c r="R218" s="27"/>
      <c r="S218" s="28"/>
      <c r="T218" s="22"/>
      <c r="U218" s="30"/>
      <c r="V218" s="35"/>
    </row>
    <row r="219" spans="4:22" ht="15" thickBot="1" x14ac:dyDescent="0.4">
      <c r="D219" s="19"/>
      <c r="E219" s="20"/>
      <c r="F219" s="21"/>
      <c r="G219" s="22"/>
      <c r="H219" s="21"/>
      <c r="I219" s="22"/>
      <c r="J219" s="23"/>
      <c r="K219" s="21"/>
      <c r="L219" s="24"/>
      <c r="M219" s="25"/>
      <c r="N219" s="26"/>
      <c r="O219" s="26"/>
      <c r="P219" s="22"/>
      <c r="Q219" s="21"/>
      <c r="R219" s="27"/>
      <c r="S219" s="28"/>
      <c r="T219" s="22"/>
      <c r="U219" s="30"/>
      <c r="V219" s="35"/>
    </row>
    <row r="220" spans="4:22" ht="15" thickBot="1" x14ac:dyDescent="0.4">
      <c r="D220" s="19"/>
      <c r="E220" s="20"/>
      <c r="F220" s="21"/>
      <c r="G220" s="22"/>
      <c r="H220" s="21"/>
      <c r="I220" s="22"/>
      <c r="J220" s="23"/>
      <c r="K220" s="21"/>
      <c r="L220" s="24"/>
      <c r="M220" s="25"/>
      <c r="N220" s="26"/>
      <c r="O220" s="26"/>
      <c r="P220" s="22"/>
      <c r="Q220" s="21"/>
      <c r="R220" s="27"/>
      <c r="S220" s="28"/>
      <c r="T220" s="22"/>
      <c r="U220" s="31"/>
      <c r="V220" s="35"/>
    </row>
    <row r="221" spans="4:22" ht="15" thickBot="1" x14ac:dyDescent="0.4">
      <c r="D221" s="19"/>
      <c r="E221" s="20"/>
      <c r="F221" s="21"/>
      <c r="G221" s="22"/>
      <c r="H221" s="21"/>
      <c r="I221" s="22"/>
      <c r="J221" s="23"/>
      <c r="K221" s="21"/>
      <c r="L221" s="24"/>
      <c r="M221" s="25"/>
      <c r="N221" s="26"/>
      <c r="O221" s="26"/>
      <c r="P221" s="22"/>
      <c r="Q221" s="21"/>
      <c r="R221" s="27"/>
      <c r="S221" s="28"/>
      <c r="T221" s="22"/>
      <c r="U221" s="30"/>
      <c r="V221" s="35"/>
    </row>
    <row r="222" spans="4:22" ht="15" thickBot="1" x14ac:dyDescent="0.4">
      <c r="D222" s="19"/>
      <c r="E222" s="20"/>
      <c r="F222" s="21"/>
      <c r="G222" s="22"/>
      <c r="H222" s="21"/>
      <c r="I222" s="22"/>
      <c r="J222" s="23"/>
      <c r="K222" s="21"/>
      <c r="L222" s="24"/>
      <c r="M222" s="25"/>
      <c r="N222" s="26"/>
      <c r="O222" s="26"/>
      <c r="P222" s="22"/>
      <c r="Q222" s="21"/>
      <c r="R222" s="27"/>
      <c r="S222" s="28"/>
      <c r="T222" s="22"/>
      <c r="U222" s="30"/>
      <c r="V222" s="35"/>
    </row>
    <row r="223" spans="4:22" ht="15" thickBot="1" x14ac:dyDescent="0.4">
      <c r="D223" s="19"/>
      <c r="E223" s="20"/>
      <c r="F223" s="21"/>
      <c r="G223" s="22"/>
      <c r="H223" s="21"/>
      <c r="I223" s="22"/>
      <c r="J223" s="23"/>
      <c r="K223" s="21"/>
      <c r="L223" s="24"/>
      <c r="M223" s="25"/>
      <c r="N223" s="26"/>
      <c r="O223" s="26"/>
      <c r="P223" s="22"/>
      <c r="Q223" s="21"/>
      <c r="R223" s="27"/>
      <c r="S223" s="28"/>
      <c r="T223" s="22"/>
      <c r="U223" s="31"/>
      <c r="V223" s="35"/>
    </row>
    <row r="224" spans="4:22" ht="15" thickBot="1" x14ac:dyDescent="0.4">
      <c r="D224" s="19"/>
      <c r="E224" s="20"/>
      <c r="F224" s="21"/>
      <c r="G224" s="22"/>
      <c r="H224" s="21"/>
      <c r="I224" s="22"/>
      <c r="J224" s="23"/>
      <c r="K224" s="21"/>
      <c r="L224" s="24"/>
      <c r="M224" s="25"/>
      <c r="N224" s="26"/>
      <c r="O224" s="26"/>
      <c r="P224" s="22"/>
      <c r="Q224" s="21"/>
      <c r="R224" s="27"/>
      <c r="S224" s="28"/>
      <c r="T224" s="22"/>
      <c r="U224" s="30"/>
      <c r="V224" s="35"/>
    </row>
    <row r="225" spans="4:22" ht="15" thickBot="1" x14ac:dyDescent="0.4">
      <c r="D225" s="19"/>
      <c r="E225" s="20"/>
      <c r="F225" s="21"/>
      <c r="G225" s="22"/>
      <c r="H225" s="21"/>
      <c r="I225" s="22"/>
      <c r="J225" s="23"/>
      <c r="K225" s="21"/>
      <c r="L225" s="24"/>
      <c r="M225" s="25"/>
      <c r="N225" s="26"/>
      <c r="O225" s="26"/>
      <c r="P225" s="22"/>
      <c r="Q225" s="21"/>
      <c r="R225" s="27"/>
      <c r="S225" s="28"/>
      <c r="T225" s="22"/>
      <c r="U225" s="30"/>
      <c r="V225" s="35"/>
    </row>
    <row r="226" spans="4:22" ht="15" thickBot="1" x14ac:dyDescent="0.4">
      <c r="D226" s="19"/>
      <c r="E226" s="20"/>
      <c r="F226" s="21"/>
      <c r="G226" s="22"/>
      <c r="H226" s="21"/>
      <c r="I226" s="22"/>
      <c r="J226" s="23"/>
      <c r="K226" s="21"/>
      <c r="L226" s="24"/>
      <c r="M226" s="25"/>
      <c r="N226" s="26"/>
      <c r="O226" s="26"/>
      <c r="P226" s="22"/>
      <c r="Q226" s="21"/>
      <c r="R226" s="27"/>
      <c r="S226" s="28"/>
      <c r="T226" s="22"/>
      <c r="U226" s="30"/>
      <c r="V226" s="35"/>
    </row>
    <row r="227" spans="4:22" ht="15" thickBot="1" x14ac:dyDescent="0.4">
      <c r="D227" s="19"/>
      <c r="E227" s="20"/>
      <c r="F227" s="21"/>
      <c r="G227" s="22"/>
      <c r="H227" s="21"/>
      <c r="I227" s="22"/>
      <c r="J227" s="23"/>
      <c r="K227" s="21"/>
      <c r="L227" s="24"/>
      <c r="M227" s="25"/>
      <c r="N227" s="26"/>
      <c r="O227" s="26"/>
      <c r="P227" s="22"/>
      <c r="Q227" s="21"/>
      <c r="R227" s="27"/>
      <c r="S227" s="28"/>
      <c r="T227" s="22"/>
      <c r="U227" s="30"/>
      <c r="V227" s="35"/>
    </row>
    <row r="228" spans="4:22" ht="15" thickBot="1" x14ac:dyDescent="0.4">
      <c r="D228" s="19"/>
      <c r="E228" s="20"/>
      <c r="F228" s="21"/>
      <c r="G228" s="22"/>
      <c r="H228" s="21"/>
      <c r="I228" s="22"/>
      <c r="J228" s="23"/>
      <c r="K228" s="21"/>
      <c r="L228" s="24"/>
      <c r="M228" s="25"/>
      <c r="N228" s="26"/>
      <c r="O228" s="26"/>
      <c r="P228" s="22"/>
      <c r="Q228" s="21"/>
      <c r="R228" s="27"/>
      <c r="S228" s="28"/>
      <c r="T228" s="22"/>
      <c r="U228" s="30"/>
      <c r="V228" s="35"/>
    </row>
    <row r="229" spans="4:22" ht="15" thickBot="1" x14ac:dyDescent="0.4">
      <c r="D229" s="19"/>
      <c r="E229" s="20"/>
      <c r="F229" s="21"/>
      <c r="G229" s="22"/>
      <c r="H229" s="21"/>
      <c r="I229" s="22"/>
      <c r="J229" s="23"/>
      <c r="K229" s="21"/>
      <c r="L229" s="24"/>
      <c r="M229" s="25"/>
      <c r="N229" s="26"/>
      <c r="O229" s="26"/>
      <c r="P229" s="22"/>
      <c r="Q229" s="21"/>
      <c r="R229" s="27"/>
      <c r="S229" s="28"/>
      <c r="T229" s="22"/>
      <c r="U229" s="31"/>
      <c r="V229" s="35"/>
    </row>
    <row r="230" spans="4:22" ht="15" thickBot="1" x14ac:dyDescent="0.4">
      <c r="D230" s="19"/>
      <c r="E230" s="20"/>
      <c r="F230" s="21"/>
      <c r="G230" s="22"/>
      <c r="H230" s="21"/>
      <c r="I230" s="22"/>
      <c r="J230" s="23"/>
      <c r="K230" s="21"/>
      <c r="L230" s="24"/>
      <c r="M230" s="25"/>
      <c r="N230" s="26"/>
      <c r="O230" s="26"/>
      <c r="P230" s="22"/>
      <c r="Q230" s="21"/>
      <c r="R230" s="27"/>
      <c r="S230" s="28"/>
      <c r="T230" s="22"/>
      <c r="U230" s="30"/>
      <c r="V230" s="35"/>
    </row>
    <row r="231" spans="4:22" ht="15" thickBot="1" x14ac:dyDescent="0.4">
      <c r="D231" s="19"/>
      <c r="E231" s="20"/>
      <c r="F231" s="21"/>
      <c r="G231" s="22"/>
      <c r="H231" s="21"/>
      <c r="I231" s="22"/>
      <c r="J231" s="23"/>
      <c r="K231" s="21"/>
      <c r="L231" s="24"/>
      <c r="M231" s="25"/>
      <c r="N231" s="26"/>
      <c r="O231" s="26"/>
      <c r="P231" s="22"/>
      <c r="Q231" s="21"/>
      <c r="R231" s="27"/>
      <c r="S231" s="28"/>
      <c r="T231" s="22"/>
      <c r="U231" s="30"/>
      <c r="V231" s="35"/>
    </row>
    <row r="232" spans="4:22" ht="15" thickBot="1" x14ac:dyDescent="0.4">
      <c r="D232" s="19"/>
      <c r="E232" s="20"/>
      <c r="F232" s="21"/>
      <c r="G232" s="22"/>
      <c r="H232" s="21"/>
      <c r="I232" s="22"/>
      <c r="J232" s="23"/>
      <c r="K232" s="21"/>
      <c r="L232" s="24"/>
      <c r="M232" s="25"/>
      <c r="N232" s="26"/>
      <c r="O232" s="26"/>
      <c r="P232" s="22"/>
      <c r="Q232" s="21"/>
      <c r="R232" s="27"/>
      <c r="S232" s="28"/>
      <c r="T232" s="22"/>
      <c r="U232" s="31"/>
      <c r="V232" s="35"/>
    </row>
    <row r="233" spans="4:22" ht="15" thickBot="1" x14ac:dyDescent="0.4">
      <c r="D233" s="19"/>
      <c r="E233" s="20"/>
      <c r="F233" s="21"/>
      <c r="G233" s="22"/>
      <c r="H233" s="21"/>
      <c r="I233" s="22"/>
      <c r="J233" s="23"/>
      <c r="K233" s="21"/>
      <c r="L233" s="24"/>
      <c r="M233" s="25"/>
      <c r="N233" s="26"/>
      <c r="O233" s="26"/>
      <c r="P233" s="22"/>
      <c r="Q233" s="21"/>
      <c r="R233" s="27"/>
      <c r="S233" s="28"/>
      <c r="T233" s="22"/>
      <c r="U233" s="30"/>
      <c r="V233" s="35"/>
    </row>
    <row r="234" spans="4:22" ht="15" thickBot="1" x14ac:dyDescent="0.4">
      <c r="D234" s="19"/>
      <c r="E234" s="20"/>
      <c r="F234" s="21"/>
      <c r="G234" s="22"/>
      <c r="H234" s="21"/>
      <c r="I234" s="22"/>
      <c r="J234" s="23"/>
      <c r="K234" s="21"/>
      <c r="L234" s="24"/>
      <c r="M234" s="25"/>
      <c r="N234" s="26"/>
      <c r="O234" s="26"/>
      <c r="P234" s="22"/>
      <c r="Q234" s="21"/>
      <c r="R234" s="27"/>
      <c r="S234" s="28"/>
      <c r="T234" s="22"/>
      <c r="U234" s="30"/>
      <c r="V234" s="35"/>
    </row>
    <row r="235" spans="4:22" ht="15" thickBot="1" x14ac:dyDescent="0.4">
      <c r="D235" s="19"/>
      <c r="E235" s="20"/>
      <c r="F235" s="21"/>
      <c r="G235" s="22"/>
      <c r="H235" s="21"/>
      <c r="I235" s="22"/>
      <c r="J235" s="23"/>
      <c r="K235" s="21"/>
      <c r="L235" s="24"/>
      <c r="M235" s="25"/>
      <c r="N235" s="26"/>
      <c r="O235" s="26"/>
      <c r="P235" s="22"/>
      <c r="Q235" s="21"/>
      <c r="R235" s="27"/>
      <c r="S235" s="28"/>
      <c r="T235" s="22"/>
      <c r="U235" s="30"/>
      <c r="V235" s="35"/>
    </row>
    <row r="236" spans="4:22" ht="15" thickBot="1" x14ac:dyDescent="0.4">
      <c r="D236" s="19"/>
      <c r="E236" s="20"/>
      <c r="F236" s="21"/>
      <c r="G236" s="22"/>
      <c r="H236" s="21"/>
      <c r="I236" s="22"/>
      <c r="J236" s="23"/>
      <c r="K236" s="21"/>
      <c r="L236" s="24"/>
      <c r="M236" s="25"/>
      <c r="N236" s="26"/>
      <c r="O236" s="26"/>
      <c r="P236" s="22"/>
      <c r="Q236" s="21"/>
      <c r="R236" s="27"/>
      <c r="S236" s="28"/>
      <c r="T236" s="22"/>
      <c r="U236" s="30"/>
      <c r="V236" s="35"/>
    </row>
    <row r="237" spans="4:22" ht="15" thickBot="1" x14ac:dyDescent="0.4">
      <c r="D237" s="19"/>
      <c r="E237" s="20"/>
      <c r="F237" s="21"/>
      <c r="G237" s="22"/>
      <c r="H237" s="21"/>
      <c r="I237" s="22"/>
      <c r="J237" s="23"/>
      <c r="K237" s="21"/>
      <c r="L237" s="24"/>
      <c r="M237" s="25"/>
      <c r="N237" s="26"/>
      <c r="O237" s="26"/>
      <c r="P237" s="22"/>
      <c r="Q237" s="21"/>
      <c r="R237" s="27"/>
      <c r="S237" s="28"/>
      <c r="T237" s="22"/>
      <c r="U237" s="31"/>
      <c r="V237" s="35"/>
    </row>
    <row r="238" spans="4:22" ht="15" thickBot="1" x14ac:dyDescent="0.4">
      <c r="D238" s="19"/>
      <c r="E238" s="20"/>
      <c r="F238" s="21"/>
      <c r="G238" s="22"/>
      <c r="H238" s="21"/>
      <c r="I238" s="22"/>
      <c r="J238" s="23"/>
      <c r="K238" s="21"/>
      <c r="L238" s="24"/>
      <c r="M238" s="25"/>
      <c r="N238" s="26"/>
      <c r="O238" s="26"/>
      <c r="P238" s="22"/>
      <c r="Q238" s="21"/>
      <c r="R238" s="27"/>
      <c r="S238" s="28"/>
      <c r="T238" s="22"/>
      <c r="U238" s="30"/>
      <c r="V238" s="35"/>
    </row>
    <row r="239" spans="4:22" ht="15" thickBot="1" x14ac:dyDescent="0.4">
      <c r="D239" s="19"/>
      <c r="E239" s="20"/>
      <c r="F239" s="21"/>
      <c r="G239" s="22"/>
      <c r="H239" s="21"/>
      <c r="I239" s="22"/>
      <c r="J239" s="23"/>
      <c r="K239" s="21"/>
      <c r="L239" s="24"/>
      <c r="M239" s="25"/>
      <c r="N239" s="26"/>
      <c r="O239" s="26"/>
      <c r="P239" s="22"/>
      <c r="Q239" s="21"/>
      <c r="R239" s="27"/>
      <c r="S239" s="28"/>
      <c r="T239" s="22"/>
      <c r="U239" s="22"/>
      <c r="V239" s="35"/>
    </row>
    <row r="240" spans="4:22" ht="15" thickBot="1" x14ac:dyDescent="0.4">
      <c r="D240" s="19"/>
      <c r="E240" s="20"/>
      <c r="F240" s="21"/>
      <c r="G240" s="22"/>
      <c r="H240" s="21"/>
      <c r="I240" s="22"/>
      <c r="J240" s="23"/>
      <c r="K240" s="21"/>
      <c r="L240" s="24"/>
      <c r="M240" s="25"/>
      <c r="N240" s="26"/>
      <c r="O240" s="26"/>
      <c r="P240" s="22"/>
      <c r="Q240" s="21"/>
      <c r="R240" s="27"/>
      <c r="S240" s="28"/>
      <c r="T240" s="22"/>
      <c r="U240" s="34"/>
      <c r="V240" s="35"/>
    </row>
    <row r="241" spans="4:24" ht="15" thickBot="1" x14ac:dyDescent="0.4">
      <c r="D241" s="19"/>
      <c r="E241" s="20"/>
      <c r="F241" s="21"/>
      <c r="G241" s="22"/>
      <c r="H241" s="21"/>
      <c r="I241" s="22"/>
      <c r="J241" s="23"/>
      <c r="K241" s="21"/>
      <c r="L241" s="24"/>
      <c r="M241" s="25"/>
      <c r="N241" s="26"/>
      <c r="O241" s="26"/>
      <c r="P241" s="22"/>
      <c r="Q241" s="21"/>
      <c r="R241" s="27"/>
      <c r="S241" s="28"/>
      <c r="T241" s="22"/>
      <c r="U241" s="22"/>
      <c r="V241" s="35"/>
    </row>
    <row r="242" spans="4:24" ht="15" thickBot="1" x14ac:dyDescent="0.4">
      <c r="D242" s="19"/>
      <c r="E242" s="20"/>
      <c r="F242" s="21"/>
      <c r="G242" s="22"/>
      <c r="H242" s="21"/>
      <c r="I242" s="22"/>
      <c r="J242" s="23"/>
      <c r="K242" s="21"/>
      <c r="L242" s="24"/>
      <c r="M242" s="25"/>
      <c r="N242" s="26"/>
      <c r="O242" s="26"/>
      <c r="P242" s="22"/>
      <c r="Q242" s="21"/>
      <c r="R242" s="27"/>
      <c r="S242" s="28"/>
      <c r="T242" s="22"/>
    </row>
    <row r="243" spans="4:24" ht="15" thickBot="1" x14ac:dyDescent="0.4">
      <c r="D243" s="19"/>
      <c r="E243" s="20"/>
      <c r="F243" s="21"/>
      <c r="G243" s="22"/>
      <c r="H243" s="21"/>
      <c r="I243" s="22"/>
      <c r="J243" s="23"/>
      <c r="K243" s="21"/>
      <c r="L243" s="24"/>
      <c r="M243" s="25"/>
      <c r="N243" s="26"/>
      <c r="O243" s="26"/>
      <c r="P243" s="22"/>
      <c r="Q243" s="21"/>
      <c r="R243" s="27"/>
      <c r="S243" s="28"/>
      <c r="T243" s="22"/>
    </row>
    <row r="244" spans="4:24" ht="15" thickBot="1" x14ac:dyDescent="0.4">
      <c r="D244" s="19"/>
      <c r="E244" s="20"/>
      <c r="F244" s="21"/>
      <c r="G244" s="22"/>
      <c r="H244" s="21"/>
      <c r="I244" s="22"/>
      <c r="J244" s="23"/>
      <c r="K244" s="21"/>
      <c r="L244" s="24"/>
      <c r="M244" s="25"/>
      <c r="N244" s="26"/>
      <c r="O244" s="26"/>
      <c r="P244" s="22"/>
      <c r="Q244" s="21"/>
      <c r="R244" s="27"/>
      <c r="S244" s="28"/>
      <c r="T244" s="22"/>
    </row>
    <row r="245" spans="4:24" ht="15" thickBot="1" x14ac:dyDescent="0.4">
      <c r="D245" s="19"/>
      <c r="E245" s="20"/>
      <c r="F245" s="21"/>
      <c r="G245" s="22"/>
      <c r="H245" s="21"/>
      <c r="I245" s="22"/>
      <c r="J245" s="23"/>
      <c r="K245" s="21"/>
      <c r="L245" s="24"/>
      <c r="M245" s="25"/>
      <c r="N245" s="26"/>
      <c r="O245" s="26"/>
      <c r="P245" s="22"/>
      <c r="Q245" s="21"/>
      <c r="R245" s="27"/>
      <c r="S245" s="28"/>
      <c r="T245" s="22"/>
    </row>
    <row r="246" spans="4:24" ht="15" thickBot="1" x14ac:dyDescent="0.4">
      <c r="D246" s="19"/>
      <c r="E246" s="20"/>
      <c r="F246" s="21"/>
      <c r="G246" s="22"/>
      <c r="H246" s="21"/>
      <c r="I246" s="22"/>
      <c r="J246" s="23"/>
      <c r="K246" s="21"/>
      <c r="L246" s="24"/>
      <c r="M246" s="25"/>
      <c r="N246" s="26"/>
      <c r="O246" s="26"/>
      <c r="P246" s="22"/>
      <c r="Q246" s="21"/>
      <c r="R246" s="27"/>
      <c r="S246" s="28"/>
      <c r="T246" s="22"/>
    </row>
    <row r="247" spans="4:24" ht="15" thickBot="1" x14ac:dyDescent="0.4">
      <c r="D247" s="19"/>
      <c r="E247" s="20"/>
      <c r="F247" s="21"/>
      <c r="G247" s="22"/>
      <c r="H247" s="21"/>
      <c r="I247" s="22"/>
      <c r="J247" s="23"/>
      <c r="K247" s="21"/>
      <c r="L247" s="24"/>
      <c r="M247" s="25"/>
      <c r="N247" s="26"/>
      <c r="O247" s="26"/>
      <c r="P247" s="22"/>
      <c r="Q247" s="21"/>
      <c r="R247" s="27"/>
      <c r="S247" s="28"/>
      <c r="T247" s="22"/>
    </row>
    <row r="248" spans="4:24" ht="15" thickBot="1" x14ac:dyDescent="0.4">
      <c r="D248" s="19"/>
      <c r="E248" s="20"/>
      <c r="F248" s="21"/>
      <c r="G248" s="22"/>
      <c r="H248" s="21"/>
      <c r="I248" s="22"/>
      <c r="J248" s="23"/>
      <c r="K248" s="21"/>
      <c r="L248" s="24"/>
      <c r="M248" s="25"/>
      <c r="N248" s="26"/>
      <c r="O248" s="26"/>
      <c r="P248" s="22"/>
      <c r="Q248" s="21"/>
      <c r="R248" s="27"/>
      <c r="S248" s="28"/>
      <c r="T248" s="22"/>
    </row>
    <row r="249" spans="4:24" ht="15" thickBot="1" x14ac:dyDescent="0.4">
      <c r="D249" s="19"/>
      <c r="E249" s="20"/>
      <c r="F249" s="21"/>
      <c r="G249" s="22"/>
      <c r="H249" s="21"/>
      <c r="I249" s="22"/>
      <c r="J249" s="23"/>
      <c r="K249" s="21"/>
      <c r="L249" s="24"/>
      <c r="M249" s="25"/>
      <c r="N249" s="26"/>
      <c r="O249" s="26"/>
      <c r="P249" s="22"/>
      <c r="Q249" s="21"/>
      <c r="R249" s="27"/>
      <c r="S249" s="28"/>
      <c r="T249" s="22"/>
    </row>
    <row r="250" spans="4:24" ht="15" thickBot="1" x14ac:dyDescent="0.4">
      <c r="D250" s="19"/>
      <c r="E250" s="20"/>
      <c r="F250" s="21"/>
      <c r="G250" s="22"/>
      <c r="H250" s="21"/>
      <c r="I250" s="22"/>
      <c r="J250" s="23"/>
      <c r="K250" s="21"/>
      <c r="L250" s="24"/>
      <c r="M250" s="25"/>
      <c r="N250" s="26"/>
      <c r="O250" s="26"/>
      <c r="P250" s="22"/>
      <c r="Q250" s="21"/>
      <c r="R250" s="27"/>
      <c r="S250" s="28"/>
      <c r="T250" s="22"/>
    </row>
    <row r="251" spans="4:24" ht="15" thickBot="1" x14ac:dyDescent="0.4">
      <c r="D251" s="19"/>
      <c r="E251" s="20"/>
      <c r="F251" s="21"/>
      <c r="G251" s="22"/>
      <c r="H251" s="21"/>
      <c r="I251" s="22"/>
      <c r="J251" s="23"/>
      <c r="K251" s="21"/>
      <c r="L251" s="24"/>
      <c r="M251" s="25"/>
      <c r="N251" s="26"/>
      <c r="O251" s="26"/>
      <c r="P251" s="22"/>
      <c r="Q251" s="21"/>
      <c r="R251" s="27"/>
      <c r="S251" s="28"/>
      <c r="T251" s="22"/>
    </row>
    <row r="252" spans="4:24" ht="15" thickBot="1" x14ac:dyDescent="0.4">
      <c r="D252" s="19"/>
      <c r="E252" s="20"/>
      <c r="F252" s="21"/>
      <c r="G252" s="22"/>
      <c r="H252" s="21"/>
      <c r="I252" s="22"/>
      <c r="J252" s="23"/>
      <c r="K252" s="21"/>
      <c r="L252" s="24"/>
      <c r="M252" s="25"/>
      <c r="N252" s="26"/>
      <c r="O252" s="26"/>
      <c r="P252" s="22"/>
      <c r="Q252" s="21"/>
      <c r="R252" s="27"/>
      <c r="S252" s="28"/>
      <c r="T252" s="22"/>
      <c r="X252" s="22" t="e">
        <f>Y252*#REF!</f>
        <v>#REF!</v>
      </c>
    </row>
    <row r="253" spans="4:24" ht="15" thickBot="1" x14ac:dyDescent="0.4">
      <c r="D253" s="19"/>
      <c r="E253" s="20"/>
      <c r="F253" s="21"/>
      <c r="G253" s="22"/>
      <c r="H253" s="21"/>
      <c r="I253" s="22"/>
      <c r="J253" s="23"/>
      <c r="K253" s="21"/>
      <c r="L253" s="24"/>
      <c r="M253" s="25"/>
      <c r="N253" s="26"/>
      <c r="O253" s="26"/>
      <c r="P253" s="22"/>
      <c r="Q253" s="21"/>
      <c r="R253" s="27"/>
      <c r="S253" s="28"/>
      <c r="T253" s="22"/>
    </row>
    <row r="254" spans="4:24" ht="15" thickBot="1" x14ac:dyDescent="0.4">
      <c r="D254" s="19"/>
      <c r="E254" s="20"/>
      <c r="F254" s="21"/>
      <c r="G254" s="22"/>
      <c r="H254" s="21"/>
      <c r="I254" s="22"/>
      <c r="J254" s="23"/>
      <c r="K254" s="21"/>
      <c r="L254" s="24"/>
      <c r="M254" s="25"/>
      <c r="N254" s="26"/>
      <c r="O254" s="26"/>
      <c r="P254" s="22"/>
      <c r="Q254" s="21"/>
      <c r="R254" s="27"/>
      <c r="S254" s="28"/>
      <c r="T254" s="22"/>
    </row>
    <row r="255" spans="4:24" ht="15" thickBot="1" x14ac:dyDescent="0.4">
      <c r="D255" s="19"/>
      <c r="E255" s="20"/>
      <c r="F255" s="21"/>
      <c r="G255" s="22"/>
      <c r="H255" s="21"/>
      <c r="I255" s="22"/>
      <c r="J255" s="23"/>
      <c r="K255" s="21"/>
      <c r="L255" s="24"/>
      <c r="M255" s="25"/>
      <c r="N255" s="26"/>
      <c r="O255" s="26"/>
      <c r="P255" s="22"/>
      <c r="Q255" s="21"/>
      <c r="R255" s="27"/>
      <c r="S255" s="28"/>
      <c r="T255" s="22"/>
    </row>
    <row r="256" spans="4:24" ht="15" thickBot="1" x14ac:dyDescent="0.4">
      <c r="D256" s="19"/>
      <c r="E256" s="20"/>
      <c r="F256" s="21"/>
      <c r="G256" s="22"/>
      <c r="H256" s="21"/>
      <c r="I256" s="22"/>
      <c r="J256" s="23"/>
      <c r="K256" s="21"/>
      <c r="L256" s="24"/>
      <c r="M256" s="25"/>
      <c r="N256" s="26"/>
      <c r="O256" s="26"/>
      <c r="P256" s="22"/>
      <c r="Q256" s="21"/>
      <c r="R256" s="27"/>
      <c r="S256" s="28"/>
      <c r="T256" s="22"/>
    </row>
    <row r="257" spans="4:20" ht="15" thickBot="1" x14ac:dyDescent="0.4">
      <c r="D257" s="19"/>
      <c r="E257" s="20"/>
      <c r="F257" s="21"/>
      <c r="G257" s="22"/>
      <c r="H257" s="21"/>
      <c r="I257" s="22"/>
      <c r="J257" s="23"/>
      <c r="K257" s="21"/>
      <c r="L257" s="24"/>
      <c r="M257" s="25"/>
      <c r="N257" s="26"/>
      <c r="O257" s="26"/>
      <c r="P257" s="22"/>
      <c r="Q257" s="21"/>
      <c r="R257" s="27"/>
      <c r="S257" s="28"/>
      <c r="T257" s="22"/>
    </row>
    <row r="258" spans="4:20" ht="15" thickBot="1" x14ac:dyDescent="0.4">
      <c r="D258" s="19"/>
      <c r="E258" s="20"/>
      <c r="F258" s="21"/>
      <c r="G258" s="22"/>
      <c r="H258" s="21"/>
      <c r="I258" s="22"/>
      <c r="J258" s="23"/>
      <c r="K258" s="21"/>
      <c r="L258" s="24"/>
      <c r="M258" s="25"/>
      <c r="N258" s="26"/>
      <c r="O258" s="26"/>
      <c r="P258" s="22"/>
      <c r="Q258" s="21"/>
      <c r="R258" s="27"/>
      <c r="S258" s="28"/>
      <c r="T258" s="22"/>
    </row>
    <row r="259" spans="4:20" ht="15" thickBot="1" x14ac:dyDescent="0.4">
      <c r="D259" s="19"/>
      <c r="E259" s="20"/>
      <c r="F259" s="21"/>
      <c r="G259" s="22"/>
      <c r="H259" s="21"/>
      <c r="I259" s="22"/>
      <c r="J259" s="23"/>
      <c r="K259" s="21"/>
      <c r="L259" s="24"/>
      <c r="M259" s="25"/>
      <c r="N259" s="26"/>
      <c r="O259" s="26"/>
      <c r="P259" s="22"/>
      <c r="Q259" s="21"/>
      <c r="R259" s="27"/>
      <c r="S259" s="28"/>
      <c r="T259" s="22"/>
    </row>
    <row r="260" spans="4:20" ht="15" thickBot="1" x14ac:dyDescent="0.4">
      <c r="D260" s="19"/>
      <c r="E260" s="20"/>
      <c r="F260" s="21"/>
      <c r="G260" s="22"/>
      <c r="H260" s="21"/>
      <c r="I260" s="22"/>
      <c r="J260" s="23"/>
      <c r="K260" s="21"/>
      <c r="L260" s="24"/>
      <c r="M260" s="25"/>
      <c r="N260" s="26"/>
      <c r="O260" s="26"/>
      <c r="P260" s="22"/>
      <c r="Q260" s="21"/>
      <c r="R260" s="27"/>
      <c r="S260" s="28"/>
      <c r="T260" s="22"/>
    </row>
    <row r="261" spans="4:20" ht="15" thickBot="1" x14ac:dyDescent="0.4">
      <c r="D261" s="19"/>
      <c r="E261" s="20"/>
      <c r="F261" s="21"/>
      <c r="G261" s="22"/>
      <c r="H261" s="21"/>
      <c r="I261" s="22"/>
      <c r="J261" s="23"/>
      <c r="K261" s="21"/>
      <c r="L261" s="24"/>
      <c r="M261" s="25"/>
      <c r="N261" s="26"/>
      <c r="O261" s="26"/>
      <c r="P261" s="22"/>
      <c r="Q261" s="21"/>
      <c r="R261" s="27"/>
      <c r="S261" s="28"/>
      <c r="T261" s="22"/>
    </row>
    <row r="262" spans="4:20" ht="15" thickBot="1" x14ac:dyDescent="0.4">
      <c r="D262" s="19"/>
      <c r="E262" s="20"/>
      <c r="F262" s="21"/>
      <c r="G262" s="22"/>
      <c r="H262" s="21"/>
      <c r="I262" s="22"/>
      <c r="J262" s="23"/>
      <c r="K262" s="21"/>
      <c r="L262" s="24"/>
      <c r="M262" s="25"/>
      <c r="N262" s="26"/>
      <c r="O262" s="26"/>
      <c r="P262" s="22"/>
      <c r="Q262" s="21"/>
      <c r="R262" s="27"/>
      <c r="S262" s="28"/>
      <c r="T262" s="22"/>
    </row>
    <row r="263" spans="4:20" ht="15" thickBot="1" x14ac:dyDescent="0.4">
      <c r="D263" s="19"/>
      <c r="E263" s="20"/>
      <c r="F263" s="21"/>
      <c r="G263" s="22"/>
      <c r="H263" s="21"/>
      <c r="I263" s="22"/>
      <c r="J263" s="23"/>
      <c r="K263" s="21"/>
      <c r="L263" s="24"/>
      <c r="M263" s="25"/>
      <c r="N263" s="26"/>
      <c r="O263" s="26"/>
      <c r="P263" s="22"/>
      <c r="Q263" s="21"/>
      <c r="R263" s="27"/>
      <c r="S263" s="28"/>
      <c r="T263" s="22"/>
    </row>
    <row r="264" spans="4:20" ht="15" thickBot="1" x14ac:dyDescent="0.4">
      <c r="D264" s="19"/>
      <c r="E264" s="20"/>
      <c r="F264" s="21"/>
      <c r="G264" s="22"/>
      <c r="H264" s="21"/>
      <c r="I264" s="22"/>
      <c r="J264" s="23"/>
      <c r="K264" s="21"/>
      <c r="L264" s="24"/>
      <c r="M264" s="25"/>
      <c r="N264" s="26"/>
      <c r="O264" s="26"/>
      <c r="P264" s="22"/>
      <c r="Q264" s="21"/>
      <c r="R264" s="27"/>
      <c r="S264" s="28"/>
      <c r="T264" s="22"/>
    </row>
    <row r="265" spans="4:20" ht="15" thickBot="1" x14ac:dyDescent="0.4">
      <c r="D265" s="19"/>
      <c r="E265" s="20"/>
      <c r="F265" s="21"/>
      <c r="G265" s="22"/>
      <c r="H265" s="21"/>
      <c r="I265" s="22"/>
      <c r="J265" s="23"/>
      <c r="K265" s="21"/>
      <c r="L265" s="24"/>
      <c r="M265" s="25"/>
      <c r="N265" s="26"/>
      <c r="O265" s="26"/>
      <c r="P265" s="22"/>
      <c r="Q265" s="21"/>
      <c r="R265" s="27"/>
      <c r="S265" s="28"/>
      <c r="T265" s="22"/>
    </row>
    <row r="266" spans="4:20" ht="15" thickBot="1" x14ac:dyDescent="0.4">
      <c r="D266" s="19"/>
      <c r="E266" s="20"/>
      <c r="F266" s="21"/>
      <c r="G266" s="22"/>
      <c r="H266" s="21"/>
      <c r="I266" s="22"/>
      <c r="J266" s="23"/>
      <c r="K266" s="21"/>
      <c r="L266" s="24"/>
      <c r="M266" s="25"/>
      <c r="N266" s="26"/>
      <c r="O266" s="26"/>
      <c r="P266" s="22"/>
      <c r="Q266" s="21"/>
      <c r="R266" s="27"/>
      <c r="S266" s="28"/>
      <c r="T266" s="22"/>
    </row>
    <row r="267" spans="4:20" ht="15" thickBot="1" x14ac:dyDescent="0.4">
      <c r="D267" s="19"/>
      <c r="E267" s="20"/>
      <c r="F267" s="21"/>
      <c r="G267" s="22"/>
      <c r="H267" s="21"/>
      <c r="I267" s="22"/>
      <c r="J267" s="23"/>
      <c r="K267" s="21"/>
      <c r="L267" s="24"/>
      <c r="M267" s="25"/>
      <c r="N267" s="26"/>
      <c r="O267" s="26"/>
      <c r="P267" s="22"/>
      <c r="Q267" s="21"/>
      <c r="R267" s="27"/>
      <c r="S267" s="28"/>
      <c r="T267" s="22"/>
    </row>
    <row r="268" spans="4:20" ht="15" thickBot="1" x14ac:dyDescent="0.4">
      <c r="D268" s="19"/>
      <c r="E268" s="20"/>
      <c r="F268" s="21"/>
      <c r="G268" s="22"/>
      <c r="H268" s="21"/>
      <c r="I268" s="22"/>
      <c r="J268" s="23"/>
      <c r="K268" s="21"/>
      <c r="L268" s="24"/>
      <c r="M268" s="25"/>
      <c r="N268" s="26"/>
      <c r="O268" s="26"/>
      <c r="P268" s="22"/>
      <c r="Q268" s="21"/>
      <c r="R268" s="27"/>
      <c r="S268" s="28"/>
      <c r="T268" s="22"/>
    </row>
    <row r="269" spans="4:20" ht="15" thickBot="1" x14ac:dyDescent="0.4">
      <c r="D269" s="19"/>
      <c r="E269" s="20"/>
      <c r="F269" s="21"/>
      <c r="G269" s="22"/>
      <c r="H269" s="21"/>
      <c r="I269" s="22"/>
      <c r="J269" s="23"/>
      <c r="K269" s="21"/>
      <c r="L269" s="24"/>
      <c r="M269" s="25"/>
      <c r="N269" s="26"/>
      <c r="O269" s="26"/>
      <c r="P269" s="22"/>
      <c r="Q269" s="21"/>
      <c r="R269" s="27"/>
      <c r="S269" s="28"/>
      <c r="T269" s="22"/>
    </row>
    <row r="270" spans="4:20" ht="15" thickBot="1" x14ac:dyDescent="0.4">
      <c r="D270" s="19"/>
      <c r="E270" s="20"/>
      <c r="F270" s="21"/>
      <c r="G270" s="22"/>
      <c r="H270" s="21"/>
      <c r="I270" s="22"/>
      <c r="J270" s="23"/>
      <c r="K270" s="21"/>
      <c r="L270" s="24"/>
      <c r="M270" s="25"/>
      <c r="N270" s="26"/>
      <c r="O270" s="26"/>
      <c r="P270" s="22"/>
      <c r="Q270" s="21"/>
      <c r="R270" s="27"/>
      <c r="S270" s="28"/>
      <c r="T270" s="22"/>
    </row>
    <row r="271" spans="4:20" ht="15" thickBot="1" x14ac:dyDescent="0.4">
      <c r="D271" s="19"/>
      <c r="E271" s="20"/>
      <c r="F271" s="21"/>
      <c r="G271" s="22"/>
      <c r="H271" s="21"/>
      <c r="I271" s="22"/>
      <c r="J271" s="23"/>
      <c r="K271" s="21"/>
      <c r="L271" s="24"/>
      <c r="M271" s="25"/>
      <c r="N271" s="26"/>
      <c r="O271" s="26"/>
      <c r="P271" s="22"/>
      <c r="Q271" s="21"/>
      <c r="R271" s="27"/>
      <c r="S271" s="28"/>
      <c r="T271" s="22"/>
    </row>
    <row r="272" spans="4:20" ht="15" thickBot="1" x14ac:dyDescent="0.4">
      <c r="D272" s="19"/>
      <c r="E272" s="20"/>
      <c r="F272" s="21"/>
      <c r="G272" s="22"/>
      <c r="H272" s="21"/>
      <c r="I272" s="22"/>
      <c r="J272" s="23"/>
      <c r="K272" s="21"/>
      <c r="L272" s="24"/>
      <c r="M272" s="25"/>
      <c r="N272" s="26"/>
      <c r="O272" s="26"/>
      <c r="P272" s="22"/>
      <c r="Q272" s="21"/>
      <c r="R272" s="27"/>
      <c r="S272" s="28"/>
      <c r="T272" s="22"/>
    </row>
    <row r="273" spans="4:20" ht="15" thickBot="1" x14ac:dyDescent="0.4">
      <c r="D273" s="19"/>
      <c r="E273" s="20"/>
      <c r="F273" s="21"/>
      <c r="G273" s="22"/>
      <c r="H273" s="21"/>
      <c r="I273" s="22"/>
      <c r="J273" s="23"/>
      <c r="K273" s="21"/>
      <c r="L273" s="24"/>
      <c r="M273" s="25"/>
      <c r="N273" s="26"/>
      <c r="O273" s="26"/>
      <c r="P273" s="22"/>
      <c r="Q273" s="21"/>
      <c r="R273" s="27"/>
      <c r="S273" s="28"/>
      <c r="T273" s="22"/>
    </row>
    <row r="274" spans="4:20" ht="15" thickBot="1" x14ac:dyDescent="0.4">
      <c r="D274" s="19"/>
      <c r="E274" s="20"/>
      <c r="F274" s="21"/>
      <c r="G274" s="22"/>
      <c r="H274" s="21"/>
      <c r="I274" s="22"/>
      <c r="J274" s="23"/>
      <c r="K274" s="21"/>
      <c r="L274" s="24"/>
      <c r="M274" s="25"/>
      <c r="N274" s="26"/>
      <c r="O274" s="26"/>
      <c r="P274" s="22"/>
      <c r="Q274" s="21"/>
      <c r="R274" s="27"/>
      <c r="S274" s="28"/>
      <c r="T274" s="22"/>
    </row>
    <row r="275" spans="4:20" ht="15" thickBot="1" x14ac:dyDescent="0.4">
      <c r="D275" s="19"/>
      <c r="E275" s="20"/>
      <c r="F275" s="21"/>
      <c r="G275" s="22"/>
      <c r="H275" s="21"/>
      <c r="I275" s="22"/>
      <c r="J275" s="23"/>
      <c r="K275" s="21"/>
      <c r="L275" s="24"/>
      <c r="M275" s="25"/>
      <c r="N275" s="26"/>
      <c r="O275" s="26"/>
      <c r="P275" s="22"/>
      <c r="Q275" s="21"/>
      <c r="R275" s="27"/>
      <c r="S275" s="28"/>
      <c r="T275" s="22"/>
    </row>
    <row r="276" spans="4:20" ht="15" thickBot="1" x14ac:dyDescent="0.4">
      <c r="D276" s="19"/>
      <c r="E276" s="20"/>
      <c r="F276" s="21"/>
      <c r="G276" s="22"/>
      <c r="H276" s="21"/>
      <c r="I276" s="22"/>
      <c r="J276" s="23"/>
      <c r="K276" s="21"/>
      <c r="L276" s="24"/>
      <c r="M276" s="25"/>
      <c r="N276" s="26"/>
      <c r="O276" s="26"/>
      <c r="P276" s="22"/>
      <c r="Q276" s="21"/>
      <c r="R276" s="27"/>
      <c r="S276" s="28"/>
      <c r="T276" s="22"/>
    </row>
    <row r="277" spans="4:20" ht="15" thickBot="1" x14ac:dyDescent="0.4">
      <c r="D277" s="19"/>
      <c r="E277" s="20"/>
      <c r="F277" s="21"/>
      <c r="G277" s="22"/>
      <c r="H277" s="21"/>
      <c r="I277" s="22"/>
      <c r="J277" s="23"/>
      <c r="K277" s="21"/>
      <c r="L277" s="24"/>
      <c r="M277" s="25"/>
      <c r="N277" s="26"/>
      <c r="O277" s="26"/>
      <c r="P277" s="22"/>
      <c r="Q277" s="21"/>
      <c r="R277" s="27"/>
      <c r="S277" s="28"/>
      <c r="T277" s="22"/>
    </row>
    <row r="278" spans="4:20" ht="15" thickBot="1" x14ac:dyDescent="0.4">
      <c r="D278" s="19"/>
      <c r="E278" s="20"/>
      <c r="F278" s="21"/>
      <c r="G278" s="22"/>
      <c r="H278" s="21"/>
      <c r="I278" s="22"/>
      <c r="J278" s="23"/>
      <c r="K278" s="21"/>
      <c r="L278" s="24"/>
      <c r="M278" s="25"/>
      <c r="N278" s="26"/>
      <c r="O278" s="26"/>
      <c r="P278" s="22"/>
      <c r="Q278" s="21"/>
      <c r="R278" s="27"/>
      <c r="S278" s="28"/>
      <c r="T278" s="22"/>
    </row>
    <row r="279" spans="4:20" ht="15" thickBot="1" x14ac:dyDescent="0.4">
      <c r="D279" s="19"/>
      <c r="E279" s="20"/>
      <c r="F279" s="21"/>
      <c r="G279" s="22"/>
      <c r="H279" s="21"/>
      <c r="I279" s="22"/>
      <c r="J279" s="23"/>
      <c r="K279" s="21"/>
      <c r="L279" s="24"/>
      <c r="M279" s="25"/>
      <c r="N279" s="26"/>
      <c r="O279" s="26"/>
      <c r="P279" s="22"/>
      <c r="Q279" s="21"/>
      <c r="R279" s="27"/>
      <c r="S279" s="28"/>
      <c r="T279" s="22"/>
    </row>
    <row r="280" spans="4:20" ht="15" thickBot="1" x14ac:dyDescent="0.4">
      <c r="D280" s="19"/>
      <c r="E280" s="20"/>
      <c r="F280" s="21"/>
      <c r="G280" s="22"/>
      <c r="H280" s="21"/>
      <c r="I280" s="22"/>
      <c r="J280" s="23"/>
      <c r="K280" s="21"/>
      <c r="L280" s="24"/>
      <c r="M280" s="25"/>
      <c r="N280" s="26"/>
      <c r="O280" s="26"/>
      <c r="P280" s="22"/>
      <c r="Q280" s="21"/>
      <c r="R280" s="27"/>
      <c r="S280" s="28"/>
      <c r="T280" s="22"/>
    </row>
    <row r="281" spans="4:20" ht="15" thickBot="1" x14ac:dyDescent="0.4">
      <c r="D281" s="19"/>
      <c r="E281" s="20"/>
      <c r="F281" s="21"/>
      <c r="G281" s="22"/>
      <c r="H281" s="21"/>
      <c r="I281" s="22"/>
      <c r="J281" s="23"/>
      <c r="K281" s="21"/>
      <c r="L281" s="24"/>
      <c r="M281" s="25"/>
      <c r="N281" s="26"/>
      <c r="O281" s="26"/>
      <c r="P281" s="22"/>
      <c r="Q281" s="21"/>
      <c r="R281" s="27"/>
      <c r="S281" s="28"/>
      <c r="T281" s="22"/>
    </row>
    <row r="282" spans="4:20" ht="15" thickBot="1" x14ac:dyDescent="0.4">
      <c r="D282" s="19"/>
      <c r="E282" s="20"/>
      <c r="F282" s="21"/>
      <c r="G282" s="22"/>
      <c r="H282" s="21"/>
      <c r="I282" s="22"/>
      <c r="J282" s="23"/>
      <c r="K282" s="21"/>
      <c r="L282" s="24"/>
      <c r="M282" s="25"/>
      <c r="N282" s="26"/>
      <c r="O282" s="26"/>
      <c r="P282" s="22"/>
      <c r="Q282" s="21"/>
      <c r="R282" s="27"/>
      <c r="S282" s="28"/>
      <c r="T282" s="22"/>
    </row>
    <row r="283" spans="4:20" ht="15" thickBot="1" x14ac:dyDescent="0.4">
      <c r="D283" s="19"/>
      <c r="E283" s="20"/>
      <c r="F283" s="21"/>
      <c r="G283" s="22"/>
      <c r="H283" s="21"/>
      <c r="I283" s="22"/>
      <c r="J283" s="23"/>
      <c r="K283" s="21"/>
      <c r="L283" s="24"/>
      <c r="M283" s="25"/>
      <c r="N283" s="26"/>
      <c r="O283" s="26"/>
      <c r="P283" s="22"/>
      <c r="Q283" s="21"/>
      <c r="R283" s="27"/>
      <c r="S283" s="28"/>
      <c r="T283" s="22"/>
    </row>
    <row r="284" spans="4:20" ht="15" thickBot="1" x14ac:dyDescent="0.4">
      <c r="D284" s="19"/>
      <c r="E284" s="20"/>
      <c r="F284" s="21"/>
      <c r="G284" s="22"/>
      <c r="H284" s="21"/>
      <c r="I284" s="22"/>
      <c r="J284" s="23"/>
      <c r="K284" s="21"/>
      <c r="L284" s="24"/>
      <c r="M284" s="25"/>
      <c r="N284" s="26"/>
      <c r="O284" s="26"/>
      <c r="P284" s="22"/>
      <c r="Q284" s="21"/>
      <c r="R284" s="27"/>
      <c r="S284" s="28"/>
      <c r="T284" s="22"/>
    </row>
    <row r="285" spans="4:20" ht="15" thickBot="1" x14ac:dyDescent="0.4">
      <c r="D285" s="19"/>
      <c r="E285" s="20"/>
      <c r="F285" s="21"/>
      <c r="G285" s="22"/>
      <c r="H285" s="21"/>
      <c r="I285" s="22"/>
      <c r="J285" s="23"/>
      <c r="K285" s="21"/>
      <c r="L285" s="24"/>
      <c r="M285" s="25"/>
      <c r="N285" s="26"/>
      <c r="O285" s="26"/>
      <c r="P285" s="22"/>
      <c r="Q285" s="21"/>
      <c r="R285" s="27"/>
      <c r="S285" s="28"/>
      <c r="T285" s="22"/>
    </row>
    <row r="286" spans="4:20" ht="15" thickBot="1" x14ac:dyDescent="0.4">
      <c r="D286" s="19"/>
      <c r="E286" s="20"/>
      <c r="F286" s="21"/>
      <c r="G286" s="22"/>
      <c r="H286" s="21"/>
      <c r="I286" s="22"/>
      <c r="J286" s="23"/>
      <c r="K286" s="21"/>
      <c r="L286" s="24"/>
      <c r="M286" s="25"/>
      <c r="N286" s="26"/>
      <c r="O286" s="26"/>
      <c r="P286" s="22"/>
      <c r="Q286" s="21"/>
      <c r="R286" s="27"/>
      <c r="S286" s="28"/>
      <c r="T286" s="22"/>
    </row>
    <row r="287" spans="4:20" ht="15" thickBot="1" x14ac:dyDescent="0.4">
      <c r="D287" s="19"/>
      <c r="E287" s="20"/>
      <c r="F287" s="21"/>
      <c r="G287" s="22"/>
      <c r="H287" s="21"/>
      <c r="I287" s="22"/>
      <c r="J287" s="23"/>
      <c r="K287" s="21"/>
      <c r="L287" s="24"/>
      <c r="M287" s="25"/>
      <c r="N287" s="26"/>
      <c r="O287" s="26"/>
      <c r="P287" s="22"/>
      <c r="Q287" s="21"/>
      <c r="R287" s="27"/>
      <c r="S287" s="28"/>
      <c r="T287" s="22"/>
    </row>
    <row r="288" spans="4:20" ht="15" thickBot="1" x14ac:dyDescent="0.4">
      <c r="D288" s="19"/>
      <c r="E288" s="20"/>
      <c r="F288" s="21"/>
      <c r="G288" s="22"/>
      <c r="H288" s="21"/>
      <c r="I288" s="22"/>
      <c r="J288" s="23"/>
      <c r="K288" s="21"/>
      <c r="L288" s="24"/>
      <c r="M288" s="25"/>
      <c r="N288" s="26"/>
      <c r="O288" s="26"/>
      <c r="P288" s="22"/>
      <c r="Q288" s="21"/>
      <c r="R288" s="27"/>
      <c r="S288" s="28"/>
      <c r="T288" s="22"/>
    </row>
    <row r="289" spans="4:20" ht="15" thickBot="1" x14ac:dyDescent="0.4">
      <c r="D289" s="19"/>
      <c r="E289" s="20"/>
      <c r="F289" s="21"/>
      <c r="G289" s="22"/>
      <c r="H289" s="21"/>
      <c r="I289" s="22"/>
      <c r="J289" s="23"/>
      <c r="K289" s="21"/>
      <c r="L289" s="24"/>
      <c r="M289" s="25"/>
      <c r="N289" s="26"/>
      <c r="O289" s="26"/>
      <c r="P289" s="22"/>
      <c r="Q289" s="21"/>
      <c r="R289" s="27"/>
      <c r="S289" s="28"/>
      <c r="T289" s="22"/>
    </row>
    <row r="290" spans="4:20" ht="15" thickBot="1" x14ac:dyDescent="0.4">
      <c r="D290" s="19"/>
      <c r="E290" s="20"/>
      <c r="F290" s="21"/>
      <c r="G290" s="22"/>
      <c r="H290" s="21"/>
      <c r="I290" s="22"/>
      <c r="J290" s="23"/>
      <c r="K290" s="21"/>
      <c r="L290" s="24"/>
      <c r="M290" s="25"/>
      <c r="N290" s="26"/>
      <c r="O290" s="26"/>
      <c r="P290" s="22"/>
      <c r="Q290" s="21"/>
      <c r="R290" s="27"/>
      <c r="S290" s="28"/>
      <c r="T290" s="22"/>
    </row>
    <row r="291" spans="4:20" ht="15" thickBot="1" x14ac:dyDescent="0.4">
      <c r="D291" s="19"/>
      <c r="E291" s="20"/>
      <c r="F291" s="21"/>
      <c r="G291" s="22"/>
      <c r="H291" s="21"/>
      <c r="I291" s="22"/>
      <c r="J291" s="23"/>
      <c r="K291" s="21"/>
      <c r="L291" s="24"/>
      <c r="M291" s="25"/>
      <c r="N291" s="26"/>
      <c r="O291" s="26"/>
      <c r="P291" s="22"/>
      <c r="Q291" s="21"/>
      <c r="R291" s="27"/>
      <c r="S291" s="28"/>
      <c r="T291" s="22"/>
    </row>
    <row r="292" spans="4:20" ht="15" thickBot="1" x14ac:dyDescent="0.4">
      <c r="D292" s="19"/>
      <c r="E292" s="20"/>
      <c r="F292" s="21"/>
      <c r="G292" s="22"/>
      <c r="H292" s="21"/>
      <c r="I292" s="22"/>
      <c r="J292" s="23"/>
      <c r="K292" s="21"/>
      <c r="L292" s="24"/>
      <c r="M292" s="25"/>
      <c r="N292" s="26"/>
      <c r="O292" s="26"/>
      <c r="P292" s="22"/>
      <c r="Q292" s="21"/>
      <c r="R292" s="27"/>
      <c r="S292" s="28"/>
      <c r="T292" s="22"/>
    </row>
    <row r="293" spans="4:20" ht="15" thickBot="1" x14ac:dyDescent="0.4">
      <c r="D293" s="19"/>
      <c r="E293" s="20"/>
      <c r="F293" s="21"/>
      <c r="G293" s="22"/>
      <c r="H293" s="21"/>
      <c r="I293" s="22"/>
      <c r="J293" s="23"/>
      <c r="K293" s="21"/>
      <c r="L293" s="24"/>
      <c r="M293" s="25"/>
      <c r="N293" s="26"/>
      <c r="O293" s="26"/>
      <c r="P293" s="22"/>
      <c r="Q293" s="21"/>
      <c r="R293" s="27"/>
      <c r="S293" s="28"/>
      <c r="T293" s="22"/>
    </row>
    <row r="294" spans="4:20" ht="15" thickBot="1" x14ac:dyDescent="0.4">
      <c r="D294" s="19"/>
      <c r="E294" s="20"/>
      <c r="F294" s="21"/>
      <c r="G294" s="22"/>
      <c r="H294" s="21"/>
      <c r="I294" s="22"/>
      <c r="J294" s="23"/>
      <c r="K294" s="21"/>
      <c r="L294" s="24"/>
      <c r="M294" s="25"/>
      <c r="N294" s="26"/>
      <c r="O294" s="26"/>
      <c r="P294" s="22"/>
      <c r="Q294" s="21"/>
      <c r="R294" s="27"/>
      <c r="S294" s="28"/>
      <c r="T294" s="22"/>
    </row>
    <row r="295" spans="4:20" ht="15" thickBot="1" x14ac:dyDescent="0.4">
      <c r="D295" s="19"/>
      <c r="E295" s="20"/>
      <c r="F295" s="21"/>
      <c r="G295" s="22"/>
      <c r="H295" s="21"/>
      <c r="I295" s="22"/>
      <c r="J295" s="23"/>
      <c r="K295" s="21"/>
      <c r="L295" s="24"/>
      <c r="M295" s="25"/>
      <c r="N295" s="26"/>
      <c r="O295" s="26"/>
      <c r="P295" s="22"/>
      <c r="Q295" s="21"/>
      <c r="R295" s="27"/>
      <c r="S295" s="28"/>
      <c r="T295" s="22"/>
    </row>
    <row r="296" spans="4:20" ht="15" thickBot="1" x14ac:dyDescent="0.4">
      <c r="D296" s="19"/>
      <c r="E296" s="20"/>
      <c r="F296" s="21"/>
      <c r="G296" s="22"/>
      <c r="H296" s="21"/>
      <c r="I296" s="22"/>
      <c r="J296" s="23"/>
      <c r="K296" s="21"/>
      <c r="L296" s="24"/>
      <c r="M296" s="25"/>
      <c r="N296" s="26"/>
      <c r="O296" s="26"/>
      <c r="P296" s="22"/>
      <c r="Q296" s="21"/>
      <c r="R296" s="27"/>
      <c r="S296" s="28"/>
      <c r="T296" s="22"/>
    </row>
    <row r="297" spans="4:20" ht="15" thickBot="1" x14ac:dyDescent="0.4">
      <c r="D297" s="19"/>
      <c r="E297" s="20"/>
      <c r="F297" s="21"/>
      <c r="G297" s="22"/>
      <c r="H297" s="21"/>
      <c r="I297" s="22"/>
      <c r="J297" s="23"/>
      <c r="K297" s="21"/>
      <c r="L297" s="24"/>
      <c r="M297" s="25"/>
      <c r="N297" s="26"/>
      <c r="O297" s="26"/>
      <c r="P297" s="22"/>
      <c r="Q297" s="21"/>
      <c r="R297" s="27"/>
      <c r="S297" s="28"/>
      <c r="T297" s="22"/>
    </row>
    <row r="298" spans="4:20" ht="15" thickBot="1" x14ac:dyDescent="0.4">
      <c r="D298" s="19"/>
      <c r="E298" s="20"/>
      <c r="F298" s="21"/>
      <c r="G298" s="22"/>
      <c r="H298" s="21"/>
      <c r="I298" s="22"/>
      <c r="J298" s="23"/>
      <c r="K298" s="21"/>
      <c r="L298" s="24"/>
      <c r="M298" s="25"/>
      <c r="N298" s="26"/>
      <c r="O298" s="26"/>
      <c r="P298" s="22"/>
      <c r="Q298" s="21"/>
      <c r="R298" s="27"/>
      <c r="S298" s="28"/>
      <c r="T298" s="22"/>
    </row>
    <row r="299" spans="4:20" ht="15" thickBot="1" x14ac:dyDescent="0.4">
      <c r="D299" s="19"/>
      <c r="E299" s="20"/>
      <c r="F299" s="21"/>
      <c r="G299" s="22"/>
      <c r="H299" s="21"/>
      <c r="I299" s="22"/>
      <c r="J299" s="23"/>
      <c r="K299" s="21"/>
      <c r="L299" s="24"/>
      <c r="M299" s="25"/>
      <c r="N299" s="26"/>
      <c r="O299" s="26"/>
      <c r="P299" s="22"/>
      <c r="Q299" s="21"/>
      <c r="R299" s="27"/>
      <c r="S299" s="28"/>
      <c r="T299" s="22"/>
    </row>
    <row r="300" spans="4:20" ht="15" thickBot="1" x14ac:dyDescent="0.4">
      <c r="D300" s="19"/>
      <c r="E300" s="20"/>
      <c r="F300" s="21"/>
      <c r="G300" s="22"/>
      <c r="H300" s="21"/>
      <c r="I300" s="22"/>
      <c r="J300" s="23"/>
      <c r="K300" s="21"/>
      <c r="L300" s="24"/>
      <c r="M300" s="25"/>
      <c r="N300" s="26"/>
      <c r="O300" s="26"/>
      <c r="P300" s="22"/>
      <c r="Q300" s="21"/>
      <c r="R300" s="27"/>
      <c r="S300" s="28"/>
      <c r="T300" s="22"/>
    </row>
    <row r="301" spans="4:20" ht="15" thickBot="1" x14ac:dyDescent="0.4">
      <c r="D301" s="19"/>
      <c r="E301" s="20"/>
      <c r="F301" s="21"/>
      <c r="G301" s="22"/>
      <c r="H301" s="21"/>
      <c r="I301" s="22"/>
      <c r="J301" s="23"/>
      <c r="K301" s="21"/>
      <c r="L301" s="24"/>
      <c r="M301" s="25"/>
      <c r="N301" s="26"/>
      <c r="O301" s="26"/>
      <c r="P301" s="22"/>
      <c r="Q301" s="21"/>
      <c r="R301" s="27"/>
      <c r="S301" s="28"/>
      <c r="T301" s="22"/>
    </row>
    <row r="302" spans="4:20" ht="15" thickBot="1" x14ac:dyDescent="0.4">
      <c r="D302" s="19"/>
      <c r="E302" s="20"/>
      <c r="F302" s="21"/>
      <c r="G302" s="22"/>
      <c r="H302" s="21"/>
      <c r="I302" s="22"/>
      <c r="J302" s="23"/>
      <c r="K302" s="21"/>
      <c r="L302" s="24"/>
      <c r="M302" s="25"/>
      <c r="N302" s="26"/>
      <c r="O302" s="26"/>
      <c r="P302" s="22"/>
      <c r="Q302" s="21"/>
      <c r="R302" s="27"/>
      <c r="S302" s="28"/>
      <c r="T302" s="22"/>
    </row>
    <row r="303" spans="4:20" ht="15" thickBot="1" x14ac:dyDescent="0.4">
      <c r="D303" s="19"/>
      <c r="E303" s="20"/>
      <c r="F303" s="21"/>
      <c r="G303" s="22"/>
      <c r="H303" s="21"/>
      <c r="I303" s="22"/>
      <c r="J303" s="23"/>
      <c r="K303" s="21"/>
      <c r="L303" s="24"/>
      <c r="M303" s="25"/>
      <c r="N303" s="26"/>
      <c r="O303" s="26"/>
      <c r="P303" s="22"/>
      <c r="Q303" s="21"/>
      <c r="R303" s="27"/>
      <c r="S303" s="28"/>
      <c r="T303" s="22"/>
    </row>
    <row r="304" spans="4:20" ht="15" thickBot="1" x14ac:dyDescent="0.4">
      <c r="D304" s="19"/>
      <c r="E304" s="20"/>
      <c r="F304" s="21"/>
      <c r="G304" s="22"/>
      <c r="H304" s="21"/>
      <c r="I304" s="22"/>
      <c r="J304" s="23"/>
      <c r="K304" s="21"/>
      <c r="L304" s="24"/>
      <c r="M304" s="25"/>
      <c r="N304" s="26"/>
      <c r="O304" s="26"/>
      <c r="P304" s="22"/>
      <c r="Q304" s="21"/>
      <c r="R304" s="27"/>
      <c r="S304" s="28"/>
      <c r="T304" s="22"/>
    </row>
    <row r="305" spans="4:20" ht="15" thickBot="1" x14ac:dyDescent="0.4">
      <c r="D305" s="19"/>
      <c r="E305" s="20"/>
      <c r="F305" s="21"/>
      <c r="G305" s="22"/>
      <c r="H305" s="21"/>
      <c r="I305" s="22"/>
      <c r="J305" s="23"/>
      <c r="K305" s="21"/>
      <c r="L305" s="24"/>
      <c r="M305" s="25"/>
      <c r="N305" s="26"/>
      <c r="O305" s="26"/>
      <c r="P305" s="22"/>
      <c r="Q305" s="21"/>
      <c r="R305" s="27"/>
      <c r="S305" s="28"/>
      <c r="T305" s="22"/>
    </row>
    <row r="306" spans="4:20" ht="15" thickBot="1" x14ac:dyDescent="0.4">
      <c r="D306" s="19"/>
      <c r="E306" s="20"/>
      <c r="F306" s="21"/>
      <c r="G306" s="22"/>
      <c r="H306" s="21"/>
      <c r="I306" s="22"/>
      <c r="J306" s="23"/>
      <c r="K306" s="21"/>
      <c r="L306" s="24"/>
      <c r="M306" s="25"/>
      <c r="N306" s="26"/>
      <c r="O306" s="26"/>
      <c r="P306" s="22"/>
      <c r="Q306" s="21"/>
      <c r="R306" s="27"/>
      <c r="S306" s="28"/>
      <c r="T306" s="22"/>
    </row>
    <row r="307" spans="4:20" ht="15" thickBot="1" x14ac:dyDescent="0.4">
      <c r="D307" s="19"/>
      <c r="E307" s="20"/>
      <c r="F307" s="21"/>
      <c r="G307" s="22"/>
      <c r="H307" s="21"/>
      <c r="I307" s="22"/>
      <c r="J307" s="23"/>
      <c r="K307" s="21"/>
      <c r="L307" s="24"/>
      <c r="M307" s="25"/>
      <c r="N307" s="26"/>
      <c r="O307" s="26"/>
      <c r="P307" s="22"/>
      <c r="Q307" s="21"/>
      <c r="R307" s="27"/>
      <c r="S307" s="28"/>
      <c r="T307" s="22"/>
    </row>
    <row r="308" spans="4:20" ht="15" thickBot="1" x14ac:dyDescent="0.4">
      <c r="D308" s="19"/>
      <c r="E308" s="20"/>
      <c r="F308" s="21"/>
      <c r="G308" s="22"/>
      <c r="H308" s="21"/>
      <c r="I308" s="22"/>
      <c r="J308" s="23"/>
      <c r="K308" s="21"/>
      <c r="L308" s="24"/>
      <c r="M308" s="25"/>
      <c r="N308" s="26"/>
      <c r="O308" s="26"/>
      <c r="P308" s="22"/>
      <c r="Q308" s="21"/>
      <c r="R308" s="27"/>
      <c r="S308" s="28"/>
      <c r="T308" s="22"/>
    </row>
    <row r="309" spans="4:20" ht="15" thickBot="1" x14ac:dyDescent="0.4">
      <c r="D309" s="19"/>
      <c r="E309" s="20"/>
      <c r="F309" s="21"/>
      <c r="G309" s="22"/>
      <c r="H309" s="21"/>
      <c r="I309" s="22"/>
      <c r="J309" s="23"/>
      <c r="K309" s="21"/>
      <c r="L309" s="24"/>
      <c r="M309" s="25"/>
      <c r="N309" s="26"/>
      <c r="O309" s="26"/>
      <c r="P309" s="22"/>
      <c r="Q309" s="21"/>
      <c r="R309" s="27"/>
      <c r="S309" s="28"/>
      <c r="T309" s="22"/>
    </row>
    <row r="310" spans="4:20" ht="15" thickBot="1" x14ac:dyDescent="0.4">
      <c r="D310" s="19"/>
      <c r="E310" s="20"/>
      <c r="F310" s="21"/>
      <c r="G310" s="22"/>
      <c r="H310" s="21"/>
      <c r="I310" s="22"/>
      <c r="J310" s="23"/>
      <c r="K310" s="21"/>
      <c r="L310" s="24"/>
      <c r="M310" s="25"/>
      <c r="N310" s="26"/>
      <c r="O310" s="26"/>
      <c r="P310" s="22"/>
      <c r="Q310" s="21"/>
      <c r="R310" s="27"/>
      <c r="S310" s="28"/>
      <c r="T310" s="22"/>
    </row>
    <row r="311" spans="4:20" ht="15" thickBot="1" x14ac:dyDescent="0.4">
      <c r="D311" s="19"/>
      <c r="E311" s="20"/>
      <c r="F311" s="21"/>
      <c r="G311" s="22"/>
      <c r="H311" s="21"/>
      <c r="I311" s="22"/>
      <c r="J311" s="23"/>
      <c r="K311" s="21"/>
      <c r="L311" s="24"/>
      <c r="M311" s="25"/>
      <c r="N311" s="26"/>
      <c r="O311" s="26"/>
      <c r="P311" s="22"/>
      <c r="Q311" s="21"/>
      <c r="R311" s="27"/>
      <c r="S311" s="28"/>
      <c r="T311" s="22"/>
    </row>
    <row r="312" spans="4:20" ht="15" thickBot="1" x14ac:dyDescent="0.4">
      <c r="D312" s="19"/>
      <c r="E312" s="20"/>
      <c r="F312" s="21"/>
      <c r="G312" s="22"/>
      <c r="H312" s="21"/>
      <c r="I312" s="22"/>
      <c r="J312" s="23"/>
      <c r="K312" s="21"/>
      <c r="L312" s="24"/>
      <c r="M312" s="25"/>
      <c r="N312" s="26"/>
      <c r="O312" s="26"/>
      <c r="P312" s="22"/>
      <c r="Q312" s="21"/>
      <c r="R312" s="27"/>
      <c r="S312" s="28"/>
      <c r="T312" s="22"/>
    </row>
    <row r="313" spans="4:20" ht="15" thickBot="1" x14ac:dyDescent="0.4">
      <c r="D313" s="19"/>
      <c r="E313" s="20"/>
      <c r="F313" s="21"/>
      <c r="G313" s="22"/>
      <c r="H313" s="21"/>
      <c r="I313" s="22"/>
      <c r="J313" s="23"/>
      <c r="K313" s="21"/>
      <c r="L313" s="24"/>
      <c r="M313" s="25"/>
      <c r="N313" s="26"/>
      <c r="O313" s="26"/>
      <c r="P313" s="22"/>
      <c r="Q313" s="21"/>
      <c r="R313" s="27"/>
      <c r="S313" s="28"/>
      <c r="T313" s="22"/>
    </row>
    <row r="314" spans="4:20" ht="15" thickBot="1" x14ac:dyDescent="0.4">
      <c r="D314" s="19"/>
      <c r="E314" s="20"/>
      <c r="F314" s="21"/>
      <c r="G314" s="22"/>
      <c r="H314" s="21"/>
      <c r="I314" s="22"/>
      <c r="J314" s="23"/>
      <c r="K314" s="21"/>
      <c r="L314" s="24"/>
      <c r="M314" s="25"/>
      <c r="N314" s="26"/>
      <c r="O314" s="26"/>
      <c r="P314" s="22"/>
      <c r="Q314" s="21"/>
      <c r="R314" s="27"/>
      <c r="S314" s="28"/>
      <c r="T314" s="22"/>
    </row>
    <row r="315" spans="4:20" ht="15" thickBot="1" x14ac:dyDescent="0.4">
      <c r="D315" s="19"/>
      <c r="E315" s="20"/>
      <c r="F315" s="21"/>
      <c r="G315" s="22"/>
      <c r="H315" s="21"/>
      <c r="I315" s="22"/>
      <c r="J315" s="23"/>
      <c r="K315" s="21"/>
      <c r="L315" s="24"/>
      <c r="M315" s="25"/>
      <c r="N315" s="26"/>
      <c r="O315" s="26"/>
      <c r="P315" s="22"/>
      <c r="Q315" s="21"/>
      <c r="R315" s="27"/>
      <c r="S315" s="28"/>
      <c r="T315" s="22"/>
    </row>
    <row r="316" spans="4:20" ht="15" thickBot="1" x14ac:dyDescent="0.4">
      <c r="D316" s="19"/>
      <c r="E316" s="20"/>
      <c r="F316" s="21"/>
      <c r="G316" s="22"/>
      <c r="H316" s="21"/>
      <c r="I316" s="22"/>
      <c r="J316" s="23"/>
      <c r="K316" s="21"/>
      <c r="L316" s="24"/>
      <c r="M316" s="25"/>
      <c r="N316" s="26"/>
      <c r="O316" s="26"/>
      <c r="P316" s="22"/>
      <c r="Q316" s="21"/>
      <c r="R316" s="27"/>
      <c r="S316" s="28"/>
      <c r="T316" s="22"/>
    </row>
    <row r="317" spans="4:20" ht="15" thickBot="1" x14ac:dyDescent="0.4">
      <c r="D317" s="19"/>
      <c r="E317" s="20"/>
      <c r="F317" s="21"/>
      <c r="G317" s="22"/>
      <c r="H317" s="21"/>
      <c r="I317" s="22"/>
      <c r="J317" s="23"/>
      <c r="K317" s="21"/>
      <c r="L317" s="24"/>
      <c r="M317" s="25"/>
      <c r="N317" s="26"/>
      <c r="O317" s="26"/>
      <c r="P317" s="22"/>
      <c r="Q317" s="21"/>
      <c r="R317" s="27"/>
      <c r="S317" s="28"/>
      <c r="T317" s="22"/>
    </row>
    <row r="318" spans="4:20" ht="15" thickBot="1" x14ac:dyDescent="0.4">
      <c r="D318" s="19"/>
      <c r="E318" s="20"/>
      <c r="F318" s="21"/>
      <c r="G318" s="22"/>
      <c r="H318" s="21"/>
      <c r="I318" s="22"/>
      <c r="J318" s="23"/>
      <c r="K318" s="21"/>
      <c r="L318" s="24"/>
      <c r="M318" s="25"/>
      <c r="N318" s="26"/>
      <c r="O318" s="26"/>
      <c r="P318" s="22"/>
      <c r="Q318" s="21"/>
      <c r="R318" s="27"/>
      <c r="S318" s="28"/>
      <c r="T318" s="22"/>
    </row>
    <row r="319" spans="4:20" ht="15" thickBot="1" x14ac:dyDescent="0.4">
      <c r="D319" s="19"/>
      <c r="E319" s="20"/>
      <c r="F319" s="21"/>
      <c r="G319" s="22"/>
      <c r="H319" s="21"/>
      <c r="I319" s="22"/>
      <c r="J319" s="23"/>
      <c r="K319" s="21"/>
      <c r="L319" s="24"/>
      <c r="M319" s="25"/>
      <c r="N319" s="26"/>
      <c r="O319" s="26"/>
      <c r="P319" s="22"/>
      <c r="Q319" s="21"/>
      <c r="R319" s="27"/>
      <c r="S319" s="28"/>
      <c r="T319" s="22"/>
    </row>
    <row r="320" spans="4:20" ht="15" thickBot="1" x14ac:dyDescent="0.4">
      <c r="D320" s="19"/>
      <c r="E320" s="20"/>
      <c r="F320" s="21"/>
      <c r="G320" s="22"/>
      <c r="H320" s="21"/>
      <c r="I320" s="22"/>
      <c r="J320" s="23"/>
      <c r="K320" s="21"/>
      <c r="L320" s="24"/>
      <c r="M320" s="25"/>
      <c r="N320" s="26"/>
      <c r="O320" s="26"/>
      <c r="P320" s="22"/>
      <c r="Q320" s="21"/>
      <c r="R320" s="27"/>
      <c r="S320" s="28"/>
      <c r="T320" s="22"/>
    </row>
    <row r="321" spans="4:20" ht="15" thickBot="1" x14ac:dyDescent="0.4">
      <c r="D321" s="19"/>
      <c r="E321" s="20"/>
      <c r="F321" s="21"/>
      <c r="G321" s="22"/>
      <c r="H321" s="21"/>
      <c r="I321" s="22"/>
      <c r="J321" s="23"/>
      <c r="K321" s="21"/>
      <c r="L321" s="24"/>
      <c r="M321" s="25"/>
      <c r="N321" s="26"/>
      <c r="O321" s="26"/>
      <c r="P321" s="22"/>
      <c r="Q321" s="21"/>
      <c r="R321" s="27"/>
      <c r="S321" s="28"/>
      <c r="T321" s="22"/>
    </row>
    <row r="322" spans="4:20" ht="15" thickBot="1" x14ac:dyDescent="0.4">
      <c r="D322" s="19"/>
      <c r="E322" s="20"/>
      <c r="F322" s="21"/>
      <c r="G322" s="22"/>
      <c r="H322" s="21"/>
      <c r="I322" s="22"/>
      <c r="J322" s="23"/>
      <c r="K322" s="21"/>
      <c r="L322" s="24"/>
      <c r="M322" s="25"/>
      <c r="N322" s="26"/>
      <c r="O322" s="26"/>
      <c r="P322" s="22"/>
      <c r="Q322" s="21"/>
      <c r="R322" s="27"/>
      <c r="S322" s="28"/>
      <c r="T322" s="22"/>
    </row>
    <row r="323" spans="4:20" ht="15" thickBot="1" x14ac:dyDescent="0.4">
      <c r="D323" s="19"/>
      <c r="E323" s="20"/>
      <c r="F323" s="21"/>
      <c r="G323" s="22"/>
      <c r="H323" s="21"/>
      <c r="I323" s="22"/>
      <c r="J323" s="23"/>
      <c r="K323" s="21"/>
      <c r="L323" s="24"/>
      <c r="M323" s="25"/>
      <c r="N323" s="26"/>
      <c r="O323" s="26"/>
      <c r="P323" s="22"/>
      <c r="Q323" s="21"/>
      <c r="R323" s="27"/>
      <c r="S323" s="28"/>
      <c r="T323" s="22"/>
    </row>
    <row r="324" spans="4:20" ht="15" thickBot="1" x14ac:dyDescent="0.4">
      <c r="D324" s="19"/>
      <c r="E324" s="20"/>
      <c r="F324" s="21"/>
      <c r="G324" s="22"/>
      <c r="H324" s="21"/>
      <c r="I324" s="22"/>
      <c r="J324" s="23"/>
      <c r="K324" s="21"/>
      <c r="L324" s="24"/>
      <c r="M324" s="25"/>
      <c r="N324" s="26"/>
      <c r="O324" s="26"/>
      <c r="P324" s="22"/>
      <c r="Q324" s="21"/>
      <c r="R324" s="27"/>
      <c r="S324" s="28"/>
      <c r="T324" s="22"/>
    </row>
    <row r="325" spans="4:20" ht="15" thickBot="1" x14ac:dyDescent="0.4">
      <c r="D325" s="19"/>
      <c r="E325" s="20"/>
      <c r="F325" s="21"/>
      <c r="G325" s="22"/>
      <c r="H325" s="21"/>
      <c r="I325" s="22"/>
      <c r="J325" s="23"/>
      <c r="K325" s="21"/>
      <c r="L325" s="24"/>
      <c r="M325" s="25"/>
      <c r="N325" s="26"/>
      <c r="O325" s="26"/>
      <c r="P325" s="22"/>
      <c r="Q325" s="21"/>
      <c r="R325" s="27"/>
      <c r="S325" s="28"/>
      <c r="T325" s="22"/>
    </row>
    <row r="326" spans="4:20" ht="15" thickBot="1" x14ac:dyDescent="0.4">
      <c r="D326" s="19"/>
      <c r="E326" s="20"/>
      <c r="F326" s="21"/>
      <c r="G326" s="22"/>
      <c r="H326" s="21"/>
      <c r="I326" s="22"/>
      <c r="J326" s="23"/>
      <c r="K326" s="21"/>
      <c r="L326" s="24"/>
      <c r="M326" s="25"/>
      <c r="N326" s="26"/>
      <c r="O326" s="26"/>
      <c r="P326" s="22"/>
      <c r="Q326" s="21"/>
      <c r="R326" s="27"/>
      <c r="S326" s="28"/>
      <c r="T326" s="22"/>
    </row>
    <row r="327" spans="4:20" ht="15" thickBot="1" x14ac:dyDescent="0.4">
      <c r="D327" s="19"/>
      <c r="E327" s="20"/>
      <c r="F327" s="21"/>
      <c r="G327" s="22"/>
      <c r="H327" s="21"/>
      <c r="I327" s="22"/>
      <c r="J327" s="23"/>
      <c r="K327" s="21"/>
      <c r="L327" s="24"/>
      <c r="M327" s="25"/>
      <c r="N327" s="26"/>
      <c r="O327" s="26"/>
      <c r="P327" s="22"/>
      <c r="Q327" s="21"/>
      <c r="R327" s="27"/>
      <c r="S327" s="28"/>
      <c r="T327" s="22"/>
    </row>
    <row r="328" spans="4:20" ht="15" thickBot="1" x14ac:dyDescent="0.4">
      <c r="D328" s="19"/>
      <c r="E328" s="20"/>
      <c r="F328" s="21"/>
      <c r="G328" s="22"/>
      <c r="H328" s="21"/>
      <c r="I328" s="22"/>
      <c r="J328" s="23"/>
      <c r="K328" s="21"/>
      <c r="L328" s="24"/>
      <c r="M328" s="25"/>
      <c r="N328" s="26"/>
      <c r="O328" s="26"/>
      <c r="P328" s="22"/>
      <c r="Q328" s="21"/>
      <c r="R328" s="27"/>
      <c r="S328" s="28"/>
      <c r="T328" s="22"/>
    </row>
    <row r="329" spans="4:20" ht="15" thickBot="1" x14ac:dyDescent="0.4">
      <c r="D329" s="19"/>
      <c r="E329" s="20"/>
      <c r="F329" s="21"/>
      <c r="G329" s="22"/>
      <c r="H329" s="21"/>
      <c r="I329" s="22"/>
      <c r="J329" s="23"/>
      <c r="K329" s="21"/>
      <c r="L329" s="24"/>
      <c r="M329" s="25"/>
      <c r="N329" s="26"/>
      <c r="O329" s="26"/>
      <c r="P329" s="22"/>
      <c r="Q329" s="21"/>
      <c r="R329" s="27"/>
      <c r="S329" s="28"/>
      <c r="T329" s="22"/>
    </row>
    <row r="330" spans="4:20" ht="15" thickBot="1" x14ac:dyDescent="0.4">
      <c r="D330" s="19"/>
      <c r="E330" s="20"/>
      <c r="F330" s="21"/>
      <c r="G330" s="22"/>
      <c r="H330" s="21"/>
      <c r="I330" s="22"/>
      <c r="J330" s="23"/>
      <c r="K330" s="21"/>
      <c r="L330" s="24"/>
      <c r="M330" s="25"/>
      <c r="N330" s="26"/>
      <c r="O330" s="26"/>
      <c r="P330" s="22"/>
      <c r="Q330" s="21"/>
      <c r="R330" s="27"/>
      <c r="S330" s="28"/>
      <c r="T330" s="22"/>
    </row>
    <row r="331" spans="4:20" ht="15" thickBot="1" x14ac:dyDescent="0.4">
      <c r="D331" s="19"/>
      <c r="E331" s="20"/>
      <c r="F331" s="21"/>
      <c r="G331" s="22"/>
      <c r="H331" s="21"/>
      <c r="I331" s="22"/>
      <c r="J331" s="23"/>
      <c r="K331" s="21"/>
      <c r="L331" s="24"/>
      <c r="M331" s="25"/>
      <c r="N331" s="26"/>
      <c r="O331" s="26"/>
      <c r="P331" s="22"/>
      <c r="Q331" s="21"/>
      <c r="R331" s="27"/>
      <c r="S331" s="28"/>
      <c r="T331" s="22"/>
    </row>
    <row r="332" spans="4:20" ht="15" thickBot="1" x14ac:dyDescent="0.4">
      <c r="D332" s="19"/>
      <c r="E332" s="20"/>
      <c r="F332" s="21"/>
      <c r="G332" s="22"/>
      <c r="H332" s="21"/>
      <c r="I332" s="22"/>
      <c r="J332" s="23"/>
      <c r="K332" s="21"/>
      <c r="L332" s="24"/>
      <c r="M332" s="25"/>
      <c r="N332" s="26"/>
      <c r="O332" s="26"/>
      <c r="P332" s="22"/>
      <c r="Q332" s="21"/>
      <c r="R332" s="27"/>
      <c r="S332" s="28"/>
      <c r="T332" s="22"/>
    </row>
    <row r="333" spans="4:20" ht="15" thickBot="1" x14ac:dyDescent="0.4">
      <c r="D333" s="19"/>
      <c r="E333" s="20"/>
      <c r="F333" s="21"/>
      <c r="G333" s="22"/>
      <c r="H333" s="21"/>
      <c r="I333" s="22"/>
      <c r="J333" s="23"/>
      <c r="K333" s="21"/>
      <c r="L333" s="24"/>
      <c r="M333" s="25"/>
      <c r="N333" s="26"/>
      <c r="O333" s="26"/>
      <c r="P333" s="22"/>
      <c r="Q333" s="21"/>
      <c r="R333" s="27"/>
      <c r="S333" s="28"/>
      <c r="T333" s="22"/>
    </row>
    <row r="334" spans="4:20" ht="15" thickBot="1" x14ac:dyDescent="0.4">
      <c r="D334" s="19"/>
      <c r="E334" s="20"/>
      <c r="F334" s="21"/>
      <c r="G334" s="22"/>
      <c r="H334" s="21"/>
      <c r="I334" s="22"/>
      <c r="J334" s="23"/>
      <c r="K334" s="21"/>
      <c r="L334" s="24"/>
      <c r="M334" s="25"/>
      <c r="N334" s="26"/>
      <c r="O334" s="26"/>
      <c r="P334" s="22"/>
      <c r="Q334" s="21"/>
      <c r="R334" s="27"/>
      <c r="S334" s="28"/>
      <c r="T334" s="22"/>
    </row>
    <row r="335" spans="4:20" ht="15" thickBot="1" x14ac:dyDescent="0.4">
      <c r="D335" s="19"/>
      <c r="E335" s="20"/>
      <c r="F335" s="21"/>
      <c r="G335" s="22"/>
      <c r="H335" s="21"/>
      <c r="I335" s="22"/>
      <c r="J335" s="23"/>
      <c r="K335" s="21"/>
      <c r="L335" s="24"/>
      <c r="M335" s="25"/>
      <c r="N335" s="26"/>
      <c r="O335" s="26"/>
      <c r="P335" s="22"/>
      <c r="Q335" s="21"/>
      <c r="R335" s="27"/>
      <c r="S335" s="28"/>
      <c r="T335" s="22"/>
    </row>
    <row r="336" spans="4:20" ht="15" thickBot="1" x14ac:dyDescent="0.4">
      <c r="D336" s="19"/>
      <c r="E336" s="20"/>
      <c r="F336" s="21"/>
      <c r="G336" s="22"/>
      <c r="H336" s="21"/>
      <c r="I336" s="22"/>
      <c r="J336" s="23"/>
      <c r="K336" s="21"/>
      <c r="L336" s="24"/>
      <c r="M336" s="25"/>
      <c r="N336" s="26"/>
      <c r="O336" s="26"/>
      <c r="P336" s="22"/>
      <c r="Q336" s="21"/>
      <c r="R336" s="27"/>
      <c r="S336" s="28"/>
      <c r="T336" s="22"/>
    </row>
    <row r="337" spans="4:20" ht="15" thickBot="1" x14ac:dyDescent="0.4">
      <c r="D337" s="19"/>
      <c r="E337" s="20"/>
      <c r="F337" s="21"/>
      <c r="G337" s="22"/>
      <c r="H337" s="21"/>
      <c r="I337" s="22"/>
      <c r="J337" s="23"/>
      <c r="K337" s="21"/>
      <c r="L337" s="24"/>
      <c r="M337" s="25"/>
      <c r="N337" s="26"/>
      <c r="O337" s="26"/>
      <c r="P337" s="22"/>
      <c r="Q337" s="21"/>
      <c r="R337" s="27"/>
      <c r="S337" s="28"/>
      <c r="T337" s="22"/>
    </row>
    <row r="338" spans="4:20" ht="15" thickBot="1" x14ac:dyDescent="0.4">
      <c r="D338" s="19"/>
      <c r="E338" s="20"/>
      <c r="F338" s="21"/>
      <c r="G338" s="22"/>
      <c r="H338" s="21"/>
      <c r="I338" s="22"/>
      <c r="J338" s="23"/>
      <c r="K338" s="21"/>
      <c r="L338" s="24"/>
      <c r="M338" s="25"/>
      <c r="N338" s="26"/>
      <c r="O338" s="26"/>
      <c r="P338" s="22"/>
      <c r="Q338" s="21"/>
      <c r="R338" s="27"/>
      <c r="S338" s="28"/>
      <c r="T338" s="22"/>
    </row>
    <row r="339" spans="4:20" ht="15" thickBot="1" x14ac:dyDescent="0.4">
      <c r="D339" s="19"/>
      <c r="E339" s="20"/>
      <c r="F339" s="21"/>
      <c r="G339" s="22"/>
      <c r="H339" s="21"/>
      <c r="I339" s="22"/>
      <c r="J339" s="23"/>
      <c r="K339" s="21"/>
      <c r="L339" s="24"/>
      <c r="M339" s="25"/>
      <c r="N339" s="26"/>
      <c r="O339" s="26"/>
      <c r="P339" s="22"/>
      <c r="Q339" s="21"/>
      <c r="R339" s="27"/>
      <c r="S339" s="28"/>
      <c r="T339" s="22"/>
    </row>
    <row r="340" spans="4:20" ht="15" thickBot="1" x14ac:dyDescent="0.4">
      <c r="D340" s="19"/>
      <c r="E340" s="20"/>
      <c r="F340" s="21"/>
      <c r="G340" s="22"/>
      <c r="H340" s="21"/>
      <c r="I340" s="22"/>
      <c r="J340" s="23"/>
      <c r="K340" s="21"/>
      <c r="L340" s="24"/>
      <c r="M340" s="25"/>
      <c r="N340" s="26"/>
      <c r="O340" s="26"/>
      <c r="P340" s="22"/>
      <c r="Q340" s="21"/>
      <c r="R340" s="27"/>
      <c r="S340" s="28"/>
      <c r="T340" s="22"/>
    </row>
    <row r="341" spans="4:20" ht="15" thickBot="1" x14ac:dyDescent="0.4">
      <c r="D341" s="19"/>
      <c r="E341" s="20"/>
      <c r="F341" s="21"/>
      <c r="G341" s="22"/>
      <c r="H341" s="21"/>
      <c r="I341" s="22"/>
      <c r="J341" s="23"/>
      <c r="K341" s="21"/>
      <c r="L341" s="24"/>
      <c r="M341" s="25"/>
      <c r="N341" s="26"/>
      <c r="O341" s="26"/>
      <c r="P341" s="22"/>
      <c r="Q341" s="21"/>
      <c r="R341" s="27"/>
      <c r="S341" s="28"/>
      <c r="T341" s="22"/>
    </row>
    <row r="342" spans="4:20" ht="15" thickBot="1" x14ac:dyDescent="0.4">
      <c r="D342" s="19"/>
      <c r="E342" s="20"/>
      <c r="F342" s="21"/>
      <c r="G342" s="22"/>
      <c r="H342" s="21"/>
      <c r="I342" s="22"/>
      <c r="J342" s="23"/>
      <c r="K342" s="21"/>
      <c r="L342" s="24"/>
      <c r="M342" s="25"/>
      <c r="N342" s="26"/>
      <c r="O342" s="26"/>
      <c r="P342" s="22"/>
      <c r="Q342" s="21"/>
      <c r="R342" s="27"/>
      <c r="S342" s="28"/>
      <c r="T342" s="22"/>
    </row>
    <row r="343" spans="4:20" x14ac:dyDescent="0.35">
      <c r="D343" s="19"/>
      <c r="E343" s="20"/>
      <c r="F343" s="21"/>
      <c r="G343" s="22"/>
      <c r="H343" s="21"/>
      <c r="I343" s="22"/>
      <c r="J343" s="23"/>
      <c r="K343" s="21"/>
      <c r="L343" s="24"/>
      <c r="M343" s="25"/>
      <c r="N343" s="26"/>
      <c r="O343" s="26"/>
      <c r="P343" s="22"/>
      <c r="Q343" s="21"/>
      <c r="R343" s="27"/>
      <c r="S343" s="28"/>
      <c r="T343" s="22"/>
    </row>
  </sheetData>
  <pageMargins left="0.7" right="0.7" top="0.75" bottom="0.75" header="0.3" footer="0.3"/>
  <pageSetup paperSize="9" orientation="portrait" horizontalDpi="1200" verticalDpi="1200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1" zoomScale="85" zoomScaleNormal="85" workbookViewId="0">
      <selection activeCell="I45" sqref="I45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G30 85L'!R7</f>
        <v>30.373414329104897</v>
      </c>
      <c r="B2" s="48">
        <f>'New Vestas G30 85L'!T7</f>
        <v>100.92286507311093</v>
      </c>
      <c r="C2" s="50">
        <f t="shared" ref="C2:D42" si="0">IF(ISNA(A2),"",LOG10(A2))</f>
        <v>1.4824936144715444</v>
      </c>
      <c r="D2" s="50">
        <f t="shared" si="0"/>
        <v>2.0039895710942521</v>
      </c>
      <c r="E2" s="51">
        <f>IF(C2="","",C2^2)</f>
        <v>2.1977873169489039</v>
      </c>
      <c r="F2" s="51">
        <f>IF(D2="","",D2^2)</f>
        <v>4.015974201054525</v>
      </c>
      <c r="G2" s="52">
        <f>IF(OR(C2="",D2=""),"",C2*D2)</f>
        <v>2.9709017426147977</v>
      </c>
      <c r="H2" s="53" t="s">
        <v>57</v>
      </c>
      <c r="I2" s="54">
        <f>COUNT(C:C)</f>
        <v>41</v>
      </c>
      <c r="J2" s="51">
        <f t="shared" ref="J2:J65" si="1">LOG($I$24+($I$25-$I$24)*(ROW()-2)/100)</f>
        <v>1.4824936144715444</v>
      </c>
      <c r="K2" s="51">
        <f t="shared" ref="K2:K65" si="2">+$I$14+$I$13*J2</f>
        <v>2.0048803593848996</v>
      </c>
      <c r="L2" s="55">
        <f t="shared" ref="L2:L65" si="3">SQRT(2*$I$20*$I$17)*SQRT((1/$I$2)+((J2-$I$11)^2/$I$8))</f>
        <v>1.0735098309762835E-2</v>
      </c>
      <c r="M2" s="51">
        <f t="shared" ref="M2:M65" si="4">+$I$14+$I$13*J2-L2</f>
        <v>1.9941452610751367</v>
      </c>
      <c r="N2" s="94">
        <f>10^$J2</f>
        <v>30.3734143291049</v>
      </c>
      <c r="O2" s="56">
        <f>10^K2</f>
        <v>101.13008200049852</v>
      </c>
      <c r="P2" s="57">
        <f t="shared" ref="P2:P65" si="5">10^M2</f>
        <v>98.660942761059701</v>
      </c>
      <c r="R2" s="47"/>
      <c r="S2" s="47"/>
      <c r="T2" s="47"/>
    </row>
    <row r="3" spans="1:20" ht="12.75" customHeight="1" x14ac:dyDescent="0.35">
      <c r="A3" s="49">
        <f>'New Vestas G30 85L'!R8</f>
        <v>3.9390521708057915</v>
      </c>
      <c r="B3" s="48">
        <f>'New Vestas G30 85L'!T8</f>
        <v>117.92779020417348</v>
      </c>
      <c r="C3" s="50">
        <f t="shared" si="0"/>
        <v>0.59539173286373115</v>
      </c>
      <c r="D3" s="50">
        <f t="shared" si="0"/>
        <v>2.0716161605670114</v>
      </c>
      <c r="E3" s="51">
        <f t="shared" ref="E3:F42" si="6">IF(C3="","",C3^2)</f>
        <v>0.35449131556247659</v>
      </c>
      <c r="F3" s="51">
        <f t="shared" si="6"/>
        <v>4.2915935167224051</v>
      </c>
      <c r="G3" s="52">
        <f t="shared" ref="G3:G42" si="7">IF(OR(C3="",D3=""),"",C3*D3)</f>
        <v>1.2334231356685024</v>
      </c>
      <c r="H3" s="53" t="s">
        <v>58</v>
      </c>
      <c r="I3" s="58">
        <f>SUM(C:C)</f>
        <v>26.008353139164274</v>
      </c>
      <c r="J3" s="51">
        <f t="shared" si="1"/>
        <v>1.478196947836087</v>
      </c>
      <c r="K3" s="51">
        <f t="shared" si="2"/>
        <v>2.0053001780600379</v>
      </c>
      <c r="L3" s="55">
        <f t="shared" si="3"/>
        <v>1.0690600222786959E-2</v>
      </c>
      <c r="M3" s="51">
        <f t="shared" si="4"/>
        <v>1.994609577837251</v>
      </c>
      <c r="N3" s="94">
        <f t="shared" ref="N3:N66" si="8">10^$J3</f>
        <v>30.074398347701177</v>
      </c>
      <c r="O3" s="56">
        <f t="shared" ref="O3:O66" si="9">10^K3</f>
        <v>101.22788850277395</v>
      </c>
      <c r="P3" s="57">
        <f t="shared" si="5"/>
        <v>98.766480428444368</v>
      </c>
      <c r="R3" s="47"/>
      <c r="S3" s="47"/>
      <c r="T3" s="47"/>
    </row>
    <row r="4" spans="1:20" ht="12.75" customHeight="1" x14ac:dyDescent="0.35">
      <c r="A4" s="49">
        <f>'New Vestas G30 85L'!R9</f>
        <v>6.3024834732892669</v>
      </c>
      <c r="B4" s="48">
        <f>'New Vestas G30 85L'!T9</f>
        <v>117.59224858897701</v>
      </c>
      <c r="C4" s="50">
        <f t="shared" si="0"/>
        <v>0.79951171551965594</v>
      </c>
      <c r="D4" s="50">
        <f t="shared" si="0"/>
        <v>2.0703786949885523</v>
      </c>
      <c r="E4" s="51">
        <f t="shared" si="6"/>
        <v>0.63921898325318327</v>
      </c>
      <c r="F4" s="51">
        <f t="shared" si="6"/>
        <v>4.2864679406625008</v>
      </c>
      <c r="G4" s="52">
        <f t="shared" si="7"/>
        <v>1.655292022205644</v>
      </c>
      <c r="H4" s="59" t="s">
        <v>59</v>
      </c>
      <c r="I4" s="58">
        <f>SUM(D:D)</f>
        <v>85.59778126516828</v>
      </c>
      <c r="J4" s="51">
        <f t="shared" si="1"/>
        <v>1.4738573472667142</v>
      </c>
      <c r="K4" s="51">
        <f t="shared" si="2"/>
        <v>2.005724191723707</v>
      </c>
      <c r="L4" s="55">
        <f t="shared" si="3"/>
        <v>1.0645699542696676E-2</v>
      </c>
      <c r="M4" s="51">
        <f t="shared" si="4"/>
        <v>1.9950784921810103</v>
      </c>
      <c r="N4" s="94">
        <f t="shared" si="8"/>
        <v>29.77538236629745</v>
      </c>
      <c r="O4" s="56">
        <f t="shared" si="9"/>
        <v>101.32676833995541</v>
      </c>
      <c r="P4" s="57">
        <f t="shared" si="5"/>
        <v>98.873177687383304</v>
      </c>
      <c r="R4" s="47"/>
      <c r="S4" s="47"/>
      <c r="T4" s="47"/>
    </row>
    <row r="5" spans="1:20" ht="12.75" customHeight="1" x14ac:dyDescent="0.35">
      <c r="A5" s="49">
        <f>'New Vestas G30 85L'!R10</f>
        <v>7.090293907450425</v>
      </c>
      <c r="B5" s="48">
        <f>'New Vestas G30 85L'!T10</f>
        <v>115.98644228767971</v>
      </c>
      <c r="C5" s="50">
        <f t="shared" si="0"/>
        <v>0.85066423796703716</v>
      </c>
      <c r="D5" s="50">
        <f t="shared" si="0"/>
        <v>2.0644072272979317</v>
      </c>
      <c r="E5" s="51">
        <f t="shared" si="6"/>
        <v>0.72362964575604005</v>
      </c>
      <c r="F5" s="51">
        <f t="shared" si="6"/>
        <v>4.2617772001199343</v>
      </c>
      <c r="G5" s="52">
        <f t="shared" si="7"/>
        <v>1.7561174008630391</v>
      </c>
      <c r="H5" s="59" t="s">
        <v>60</v>
      </c>
      <c r="I5" s="58">
        <f>SUM(E:E)</f>
        <v>23.033899919256534</v>
      </c>
      <c r="J5" s="51">
        <f t="shared" si="1"/>
        <v>1.4694739460712951</v>
      </c>
      <c r="K5" s="51">
        <f t="shared" si="2"/>
        <v>2.0061524850586552</v>
      </c>
      <c r="L5" s="55">
        <f t="shared" si="3"/>
        <v>1.0600389114213236E-2</v>
      </c>
      <c r="M5" s="51">
        <f t="shared" si="4"/>
        <v>1.9955520959444419</v>
      </c>
      <c r="N5" s="94">
        <f t="shared" si="8"/>
        <v>29.476366384893716</v>
      </c>
      <c r="O5" s="56">
        <f t="shared" si="9"/>
        <v>101.42674424876806</v>
      </c>
      <c r="P5" s="57">
        <f t="shared" si="5"/>
        <v>98.98105898189182</v>
      </c>
      <c r="R5" s="47"/>
      <c r="S5" s="47"/>
      <c r="T5" s="47"/>
    </row>
    <row r="6" spans="1:20" ht="12.75" customHeight="1" x14ac:dyDescent="0.35">
      <c r="A6" s="49">
        <f>'New Vestas G30 85L'!R11</f>
        <v>9.4537252099338982</v>
      </c>
      <c r="B6" s="48">
        <f>'New Vestas G30 85L'!T11</f>
        <v>113.70955275598949</v>
      </c>
      <c r="C6" s="50">
        <f t="shared" si="0"/>
        <v>0.97560297457533707</v>
      </c>
      <c r="D6" s="50">
        <f t="shared" si="0"/>
        <v>2.0557969513626819</v>
      </c>
      <c r="E6" s="51">
        <f t="shared" si="6"/>
        <v>0.95180116400024584</v>
      </c>
      <c r="F6" s="51">
        <f t="shared" si="6"/>
        <v>4.2263011052320971</v>
      </c>
      <c r="G6" s="52">
        <f t="shared" si="7"/>
        <v>2.0056416208723422</v>
      </c>
      <c r="H6" s="59" t="s">
        <v>61</v>
      </c>
      <c r="I6" s="58">
        <f>SUM(F:F)</f>
        <v>178.77438798716196</v>
      </c>
      <c r="J6" s="51">
        <f t="shared" si="1"/>
        <v>1.4650458510464739</v>
      </c>
      <c r="K6" s="51">
        <f t="shared" si="2"/>
        <v>2.0065851453379904</v>
      </c>
      <c r="L6" s="55">
        <f t="shared" si="3"/>
        <v>1.0554661597777026E-2</v>
      </c>
      <c r="M6" s="51">
        <f t="shared" si="4"/>
        <v>1.9960304837402134</v>
      </c>
      <c r="N6" s="94">
        <f t="shared" si="8"/>
        <v>29.177350403489992</v>
      </c>
      <c r="O6" s="56">
        <f t="shared" si="9"/>
        <v>101.52783968443819</v>
      </c>
      <c r="P6" s="57">
        <f t="shared" si="5"/>
        <v>99.090149522077496</v>
      </c>
      <c r="R6" s="47"/>
      <c r="S6" s="47"/>
      <c r="T6" s="47"/>
    </row>
    <row r="7" spans="1:20" ht="12.75" customHeight="1" x14ac:dyDescent="0.35">
      <c r="A7" s="49">
        <f>'New Vestas G30 85L'!R12</f>
        <v>10.241535644095059</v>
      </c>
      <c r="B7" s="48">
        <f>'New Vestas G30 85L'!T12</f>
        <v>110.78554725213468</v>
      </c>
      <c r="C7" s="50">
        <f t="shared" si="0"/>
        <v>1.010365080834549</v>
      </c>
      <c r="D7" s="50">
        <f t="shared" si="0"/>
        <v>2.0444831073414065</v>
      </c>
      <c r="E7" s="51">
        <f t="shared" si="6"/>
        <v>1.0208375965698047</v>
      </c>
      <c r="F7" s="51">
        <f t="shared" si="6"/>
        <v>4.1799111762043726</v>
      </c>
      <c r="G7" s="52">
        <f t="shared" si="7"/>
        <v>2.06567434001387</v>
      </c>
      <c r="H7" s="59" t="s">
        <v>62</v>
      </c>
      <c r="I7" s="58">
        <f>SUM(G:G)</f>
        <v>53.660388595229811</v>
      </c>
      <c r="J7" s="51">
        <f t="shared" si="1"/>
        <v>1.4605721413852535</v>
      </c>
      <c r="K7" s="51">
        <f t="shared" si="2"/>
        <v>2.0070222625319167</v>
      </c>
      <c r="L7" s="55">
        <f t="shared" si="3"/>
        <v>1.0508509463607622E-2</v>
      </c>
      <c r="M7" s="51">
        <f t="shared" si="4"/>
        <v>1.996513753068309</v>
      </c>
      <c r="N7" s="94">
        <f t="shared" si="8"/>
        <v>28.878334422086272</v>
      </c>
      <c r="O7" s="56">
        <f t="shared" si="9"/>
        <v>101.63007885103796</v>
      </c>
      <c r="P7" s="57">
        <f t="shared" si="5"/>
        <v>99.200475316138935</v>
      </c>
      <c r="R7" s="47"/>
      <c r="S7" s="47"/>
      <c r="T7" s="47"/>
    </row>
    <row r="8" spans="1:20" ht="12.75" customHeight="1" x14ac:dyDescent="0.35">
      <c r="A8" s="49">
        <f>'New Vestas G30 85L'!R13</f>
        <v>11.029346078256216</v>
      </c>
      <c r="B8" s="48">
        <f>'New Vestas G30 85L'!T13</f>
        <v>110.45000563693822</v>
      </c>
      <c r="C8" s="50">
        <f t="shared" si="0"/>
        <v>1.0425497642059502</v>
      </c>
      <c r="D8" s="50">
        <f t="shared" si="0"/>
        <v>2.0431657423721536</v>
      </c>
      <c r="E8" s="51">
        <f t="shared" si="6"/>
        <v>1.0869100108458825</v>
      </c>
      <c r="F8" s="51">
        <f t="shared" si="6"/>
        <v>4.1745262508031535</v>
      </c>
      <c r="G8" s="52">
        <f t="shared" si="7"/>
        <v>2.1301019629437641</v>
      </c>
      <c r="H8" s="53" t="s">
        <v>63</v>
      </c>
      <c r="I8" s="58">
        <f>+I5-I3^2/$I$2</f>
        <v>6.535499114098581</v>
      </c>
      <c r="J8" s="51">
        <f t="shared" si="1"/>
        <v>1.4560518675277256</v>
      </c>
      <c r="K8" s="51">
        <f t="shared" si="2"/>
        <v>2.0074639294200272</v>
      </c>
      <c r="L8" s="55">
        <f t="shared" si="3"/>
        <v>1.0461924985553759E-2</v>
      </c>
      <c r="M8" s="51">
        <f t="shared" si="4"/>
        <v>1.9970020044344734</v>
      </c>
      <c r="N8" s="94">
        <f t="shared" si="8"/>
        <v>28.579318440682535</v>
      </c>
      <c r="O8" s="56">
        <f t="shared" si="9"/>
        <v>101.73348673344064</v>
      </c>
      <c r="P8" s="57">
        <f t="shared" si="5"/>
        <v>99.312063204039134</v>
      </c>
      <c r="R8" s="47"/>
      <c r="S8" s="47"/>
      <c r="T8" s="47"/>
    </row>
    <row r="9" spans="1:20" ht="12.75" customHeight="1" x14ac:dyDescent="0.35">
      <c r="A9" s="49">
        <f>'New Vestas G30 85L'!R14</f>
        <v>14.968398249062007</v>
      </c>
      <c r="B9" s="48">
        <f>'New Vestas G30 85L'!T14</f>
        <v>107.11855674320198</v>
      </c>
      <c r="C9" s="50">
        <f t="shared" si="0"/>
        <v>1.1751753294805412</v>
      </c>
      <c r="D9" s="50">
        <f t="shared" si="0"/>
        <v>2.0298647125972509</v>
      </c>
      <c r="E9" s="51">
        <f t="shared" si="6"/>
        <v>1.3810370550196984</v>
      </c>
      <c r="F9" s="51">
        <f t="shared" si="6"/>
        <v>4.1203507514475195</v>
      </c>
      <c r="G9" s="52">
        <f t="shared" si="7"/>
        <v>2.3854469324273984</v>
      </c>
      <c r="H9" s="59" t="s">
        <v>64</v>
      </c>
      <c r="I9" s="58">
        <f>+I6-I4^2/$I$2</f>
        <v>6.7554876927971463E-2</v>
      </c>
      <c r="J9" s="51">
        <f t="shared" si="1"/>
        <v>1.4514840499513593</v>
      </c>
      <c r="K9" s="51">
        <f t="shared" si="2"/>
        <v>2.0079102417095029</v>
      </c>
      <c r="L9" s="55">
        <f t="shared" si="3"/>
        <v>1.041490023472713E-2</v>
      </c>
      <c r="M9" s="51">
        <f t="shared" si="4"/>
        <v>1.9974953414747758</v>
      </c>
      <c r="N9" s="94">
        <f t="shared" si="8"/>
        <v>28.280302459278808</v>
      </c>
      <c r="O9" s="56">
        <f t="shared" si="9"/>
        <v>101.83808913099115</v>
      </c>
      <c r="P9" s="57">
        <f t="shared" si="5"/>
        <v>99.424940892960265</v>
      </c>
      <c r="R9" s="47"/>
      <c r="S9" s="47"/>
      <c r="T9" s="47"/>
    </row>
    <row r="10" spans="1:20" ht="12.75" customHeight="1" x14ac:dyDescent="0.35">
      <c r="A10" s="49">
        <f>'New Vestas G30 85L'!R15</f>
        <v>3.1512417366446335</v>
      </c>
      <c r="B10" s="48">
        <f>'New Vestas G30 85L'!T15</f>
        <v>123.83285370717226</v>
      </c>
      <c r="C10" s="50">
        <f t="shared" si="0"/>
        <v>0.49848171985567474</v>
      </c>
      <c r="D10" s="50">
        <f t="shared" si="0"/>
        <v>2.0928358812821926</v>
      </c>
      <c r="E10" s="51">
        <f t="shared" si="6"/>
        <v>0.24848402503027139</v>
      </c>
      <c r="F10" s="51">
        <f t="shared" si="6"/>
        <v>4.3799620259822118</v>
      </c>
      <c r="G10" s="52">
        <f t="shared" si="7"/>
        <v>1.0432404294772142</v>
      </c>
      <c r="H10" s="59" t="s">
        <v>65</v>
      </c>
      <c r="I10" s="58">
        <f>+I7-I3*I4/$I$2</f>
        <v>-0.6385705041222991</v>
      </c>
      <c r="J10" s="51">
        <f t="shared" si="1"/>
        <v>1.446867677896992</v>
      </c>
      <c r="K10" s="51">
        <f t="shared" si="2"/>
        <v>2.0083612981595929</v>
      </c>
      <c r="L10" s="55">
        <f t="shared" si="3"/>
        <v>1.0367427072913998E-2</v>
      </c>
      <c r="M10" s="51">
        <f t="shared" si="4"/>
        <v>1.9979938710866789</v>
      </c>
      <c r="N10" s="94">
        <f t="shared" si="8"/>
        <v>27.981286477875088</v>
      </c>
      <c r="O10" s="56">
        <f t="shared" si="9"/>
        <v>101.943912693001</v>
      </c>
      <c r="P10" s="57">
        <f t="shared" si="5"/>
        <v>99.539136994653234</v>
      </c>
      <c r="R10" s="47"/>
      <c r="S10" s="47"/>
      <c r="T10" s="47"/>
    </row>
    <row r="11" spans="1:20" ht="12.75" customHeight="1" x14ac:dyDescent="0.35">
      <c r="A11" s="49">
        <f>'New Vestas G30 85L'!R16</f>
        <v>3.9390521708057915</v>
      </c>
      <c r="B11" s="48">
        <f>'New Vestas G30 85L'!T16</f>
        <v>121.48897208098484</v>
      </c>
      <c r="C11" s="50">
        <f t="shared" si="0"/>
        <v>0.59539173286373115</v>
      </c>
      <c r="D11" s="50">
        <f t="shared" si="0"/>
        <v>2.0845368575084784</v>
      </c>
      <c r="E11" s="51">
        <f t="shared" si="6"/>
        <v>0.35449131556247659</v>
      </c>
      <c r="F11" s="51">
        <f t="shared" si="6"/>
        <v>4.3452939103113222</v>
      </c>
      <c r="G11" s="52">
        <f t="shared" si="7"/>
        <v>1.2411160118102895</v>
      </c>
      <c r="H11" s="59" t="s">
        <v>66</v>
      </c>
      <c r="I11" s="58">
        <f>+I3/$I$2</f>
        <v>0.63435007656498232</v>
      </c>
      <c r="J11" s="51">
        <f t="shared" si="1"/>
        <v>1.4422017080263803</v>
      </c>
      <c r="K11" s="51">
        <f t="shared" si="2"/>
        <v>2.0088172007127842</v>
      </c>
      <c r="L11" s="55">
        <f t="shared" si="3"/>
        <v>1.0319497145758923E-2</v>
      </c>
      <c r="M11" s="51">
        <f t="shared" si="4"/>
        <v>1.9984977035670253</v>
      </c>
      <c r="N11" s="94">
        <f t="shared" si="8"/>
        <v>27.68227049647135</v>
      </c>
      <c r="O11" s="56">
        <f t="shared" si="9"/>
        <v>102.05098495618996</v>
      </c>
      <c r="P11" s="57">
        <f t="shared" si="5"/>
        <v>99.654681064804322</v>
      </c>
      <c r="R11" s="47"/>
      <c r="S11" s="47"/>
      <c r="T11" s="47"/>
    </row>
    <row r="12" spans="1:20" ht="12.75" customHeight="1" x14ac:dyDescent="0.35">
      <c r="A12" s="49">
        <f>'New Vestas G30 85L'!R17</f>
        <v>6.3024834732892669</v>
      </c>
      <c r="B12" s="48">
        <f>'New Vestas G30 85L'!T17</f>
        <v>115.31834494014291</v>
      </c>
      <c r="C12" s="50">
        <f t="shared" si="0"/>
        <v>0.79951171551965594</v>
      </c>
      <c r="D12" s="50">
        <f t="shared" si="0"/>
        <v>2.0618984007251786</v>
      </c>
      <c r="E12" s="51">
        <f t="shared" si="6"/>
        <v>0.63921898325318327</v>
      </c>
      <c r="F12" s="51">
        <f t="shared" si="6"/>
        <v>4.2514250149130488</v>
      </c>
      <c r="G12" s="52">
        <f t="shared" si="7"/>
        <v>1.6485119275910225</v>
      </c>
      <c r="H12" s="59" t="s">
        <v>67</v>
      </c>
      <c r="I12" s="58">
        <f>+I4/$I$2</f>
        <v>2.0877507625650802</v>
      </c>
      <c r="J12" s="51">
        <f t="shared" si="1"/>
        <v>1.4374850630068483</v>
      </c>
      <c r="K12" s="51">
        <f t="shared" si="2"/>
        <v>2.0092780546330902</v>
      </c>
      <c r="L12" s="55">
        <f t="shared" si="3"/>
        <v>1.0271101875715075E-2</v>
      </c>
      <c r="M12" s="51">
        <f t="shared" si="4"/>
        <v>1.9990069527573751</v>
      </c>
      <c r="N12" s="94">
        <f t="shared" si="8"/>
        <v>27.38325451506763</v>
      </c>
      <c r="O12" s="56">
        <f t="shared" si="9"/>
        <v>102.15933438419952</v>
      </c>
      <c r="P12" s="57">
        <f t="shared" si="5"/>
        <v>99.771603644549174</v>
      </c>
      <c r="R12" s="47"/>
      <c r="S12" s="47"/>
      <c r="T12" s="47"/>
    </row>
    <row r="13" spans="1:20" ht="12.75" customHeight="1" x14ac:dyDescent="0.35">
      <c r="A13" s="49">
        <f>'New Vestas G30 85L'!R18</f>
        <v>8.6659147757727411</v>
      </c>
      <c r="B13" s="48">
        <f>'New Vestas G30 85L'!T18</f>
        <v>111.80252250868433</v>
      </c>
      <c r="C13" s="50">
        <f t="shared" si="0"/>
        <v>0.93781441368593732</v>
      </c>
      <c r="D13" s="50">
        <f t="shared" si="0"/>
        <v>2.0484516022914017</v>
      </c>
      <c r="E13" s="51">
        <f t="shared" si="6"/>
        <v>0.87949587451709843</v>
      </c>
      <c r="F13" s="51">
        <f t="shared" si="6"/>
        <v>4.1961539669302113</v>
      </c>
      <c r="G13" s="52">
        <f t="shared" si="7"/>
        <v>1.9210674383669297</v>
      </c>
      <c r="H13" s="59" t="s">
        <v>68</v>
      </c>
      <c r="I13" s="60">
        <f>+I10/I8</f>
        <v>-9.7707993371884183E-2</v>
      </c>
      <c r="J13" s="51">
        <f t="shared" si="1"/>
        <v>1.432716630018231</v>
      </c>
      <c r="K13" s="51">
        <f t="shared" si="2"/>
        <v>2.0097439686519363</v>
      </c>
      <c r="L13" s="55">
        <f t="shared" si="3"/>
        <v>1.0222232454756102E-2</v>
      </c>
      <c r="M13" s="51">
        <f t="shared" si="4"/>
        <v>1.9995217361971802</v>
      </c>
      <c r="N13" s="94">
        <f t="shared" si="8"/>
        <v>27.084238533663889</v>
      </c>
      <c r="O13" s="56">
        <f t="shared" si="9"/>
        <v>102.26899040932109</v>
      </c>
      <c r="P13" s="57">
        <f t="shared" si="5"/>
        <v>99.889936304276944</v>
      </c>
      <c r="R13" s="47"/>
      <c r="S13" s="47"/>
      <c r="T13" s="47"/>
    </row>
    <row r="14" spans="1:20" ht="12.75" customHeight="1" x14ac:dyDescent="0.35">
      <c r="A14" s="49">
        <f>'New Vestas G30 85L'!R19</f>
        <v>9.4537252099338982</v>
      </c>
      <c r="B14" s="48">
        <f>'New Vestas G30 85L'!T19</f>
        <v>106.66033323073361</v>
      </c>
      <c r="C14" s="50">
        <f t="shared" si="0"/>
        <v>0.97560297457533707</v>
      </c>
      <c r="D14" s="50">
        <f t="shared" si="0"/>
        <v>2.0280029361820606</v>
      </c>
      <c r="E14" s="51">
        <f t="shared" si="6"/>
        <v>0.95180116400024584</v>
      </c>
      <c r="F14" s="51">
        <f t="shared" si="6"/>
        <v>4.1127959091630588</v>
      </c>
      <c r="G14" s="52">
        <f t="shared" si="7"/>
        <v>1.9785256969867357</v>
      </c>
      <c r="H14" s="59" t="s">
        <v>69</v>
      </c>
      <c r="I14" s="60">
        <f>+I12-I13*I11</f>
        <v>2.1497318356415458</v>
      </c>
      <c r="J14" s="51">
        <f t="shared" si="1"/>
        <v>1.427895259176938</v>
      </c>
      <c r="K14" s="51">
        <f t="shared" si="2"/>
        <v>2.0102150551221407</v>
      </c>
      <c r="L14" s="55">
        <f t="shared" si="3"/>
        <v>1.0172879836845018E-2</v>
      </c>
      <c r="M14" s="51">
        <f t="shared" si="4"/>
        <v>2.0000421752852957</v>
      </c>
      <c r="N14" s="94">
        <f t="shared" si="8"/>
        <v>26.785222552260166</v>
      </c>
      <c r="O14" s="56">
        <f t="shared" si="9"/>
        <v>102.37998347658687</v>
      </c>
      <c r="P14" s="57">
        <f t="shared" si="5"/>
        <v>100.00971168987562</v>
      </c>
      <c r="R14" s="47"/>
      <c r="S14" s="47"/>
      <c r="T14" s="47"/>
    </row>
    <row r="15" spans="1:20" ht="12.75" customHeight="1" thickBot="1" x14ac:dyDescent="0.4">
      <c r="A15" s="49">
        <f>'New Vestas G30 85L'!R20</f>
        <v>14.968398249062007</v>
      </c>
      <c r="B15" s="48">
        <f>'New Vestas G30 85L'!T20</f>
        <v>107.66485392543608</v>
      </c>
      <c r="C15" s="50">
        <f t="shared" si="0"/>
        <v>1.1751753294805412</v>
      </c>
      <c r="D15" s="50">
        <f t="shared" si="0"/>
        <v>2.0320739555048672</v>
      </c>
      <c r="E15" s="51">
        <f t="shared" si="6"/>
        <v>1.3810370550196984</v>
      </c>
      <c r="F15" s="51">
        <f t="shared" si="6"/>
        <v>4.129324560641197</v>
      </c>
      <c r="G15" s="52">
        <f t="shared" si="7"/>
        <v>2.3880431801892588</v>
      </c>
      <c r="H15" s="61" t="s">
        <v>70</v>
      </c>
      <c r="I15" s="62">
        <f>+I10^2/(I8*I9)</f>
        <v>0.9235964214809782</v>
      </c>
      <c r="J15" s="51">
        <f t="shared" si="1"/>
        <v>1.4230197618715525</v>
      </c>
      <c r="K15" s="51">
        <f t="shared" si="2"/>
        <v>2.0106914301805401</v>
      </c>
      <c r="L15" s="55">
        <f t="shared" si="3"/>
        <v>1.0123034730156176E-2</v>
      </c>
      <c r="M15" s="51">
        <f t="shared" si="4"/>
        <v>2.0005683954503839</v>
      </c>
      <c r="N15" s="94">
        <f t="shared" si="8"/>
        <v>26.486206570856449</v>
      </c>
      <c r="O15" s="56">
        <f t="shared" si="9"/>
        <v>102.49234509038443</v>
      </c>
      <c r="P15" s="57">
        <f t="shared" si="5"/>
        <v>100.13096357158305</v>
      </c>
      <c r="R15" s="47"/>
      <c r="S15" s="47"/>
      <c r="T15" s="47"/>
    </row>
    <row r="16" spans="1:20" ht="12.75" customHeight="1" x14ac:dyDescent="0.35">
      <c r="A16" s="49">
        <f>'New Vestas G30 85L'!R21</f>
        <v>3.1512417366446335</v>
      </c>
      <c r="B16" s="48">
        <f>'New Vestas G30 85L'!T21</f>
        <v>126.05358399617073</v>
      </c>
      <c r="C16" s="50">
        <f t="shared" si="0"/>
        <v>0.49848171985567474</v>
      </c>
      <c r="D16" s="50">
        <f t="shared" si="0"/>
        <v>2.1005551981888417</v>
      </c>
      <c r="E16" s="51">
        <f t="shared" si="6"/>
        <v>0.24848402503027139</v>
      </c>
      <c r="F16" s="51">
        <f t="shared" si="6"/>
        <v>4.4123321406381644</v>
      </c>
      <c r="G16" s="52">
        <f t="shared" si="7"/>
        <v>1.0470883678449516</v>
      </c>
      <c r="H16" s="63" t="s">
        <v>71</v>
      </c>
      <c r="I16" s="64"/>
      <c r="J16" s="51">
        <f t="shared" si="1"/>
        <v>1.418088909003939</v>
      </c>
      <c r="K16" s="51">
        <f t="shared" si="2"/>
        <v>2.0111732139198466</v>
      </c>
      <c r="L16" s="55">
        <f t="shared" si="3"/>
        <v>1.0072687589047263E-2</v>
      </c>
      <c r="M16" s="51">
        <f t="shared" si="4"/>
        <v>2.0011005263307995</v>
      </c>
      <c r="N16" s="94">
        <f t="shared" si="8"/>
        <v>26.187190589452708</v>
      </c>
      <c r="O16" s="56">
        <f t="shared" si="9"/>
        <v>102.60610786377202</v>
      </c>
      <c r="P16" s="57">
        <f t="shared" si="5"/>
        <v>100.2537268956211</v>
      </c>
      <c r="R16" s="47"/>
      <c r="S16" s="47"/>
      <c r="T16" s="47"/>
    </row>
    <row r="17" spans="1:20" ht="12.75" customHeight="1" x14ac:dyDescent="0.35">
      <c r="A17" s="49">
        <f>'New Vestas G30 85L'!R22</f>
        <v>3.9390521708057915</v>
      </c>
      <c r="B17" s="48">
        <f>'New Vestas G30 85L'!T22</f>
        <v>122.3402146342103</v>
      </c>
      <c r="C17" s="50">
        <f t="shared" si="0"/>
        <v>0.59539173286373115</v>
      </c>
      <c r="D17" s="50">
        <f t="shared" si="0"/>
        <v>2.0875692380905999</v>
      </c>
      <c r="E17" s="51">
        <f t="shared" si="6"/>
        <v>0.35449131556247659</v>
      </c>
      <c r="F17" s="51">
        <f t="shared" si="6"/>
        <v>4.3579453238221681</v>
      </c>
      <c r="G17" s="52">
        <f t="shared" si="7"/>
        <v>1.2429214661397812</v>
      </c>
      <c r="H17" s="53" t="s">
        <v>72</v>
      </c>
      <c r="I17" s="65">
        <f>(+I9-(+I10^2/I8))/($I$2-2)</f>
        <v>1.3234447035151599E-4</v>
      </c>
      <c r="J17" s="51">
        <f t="shared" si="1"/>
        <v>1.413101429129352</v>
      </c>
      <c r="K17" s="51">
        <f t="shared" si="2"/>
        <v>2.0116605305703752</v>
      </c>
      <c r="L17" s="55">
        <f t="shared" si="3"/>
        <v>1.0021828605779241E-2</v>
      </c>
      <c r="M17" s="51">
        <f t="shared" si="4"/>
        <v>2.001638701964596</v>
      </c>
      <c r="N17" s="94">
        <f t="shared" si="8"/>
        <v>25.888174608048981</v>
      </c>
      <c r="O17" s="56">
        <f t="shared" si="9"/>
        <v>102.72130557068219</v>
      </c>
      <c r="P17" s="57">
        <f t="shared" si="5"/>
        <v>100.37803783880325</v>
      </c>
      <c r="R17" s="47"/>
      <c r="S17" s="47"/>
      <c r="T17" s="47"/>
    </row>
    <row r="18" spans="1:20" ht="12.75" customHeight="1" x14ac:dyDescent="0.35">
      <c r="A18" s="49">
        <f>'New Vestas G30 85L'!R23</f>
        <v>4.7268626049669491</v>
      </c>
      <c r="B18" s="48">
        <f>'New Vestas G30 85L'!T23</f>
        <v>121.42984020955707</v>
      </c>
      <c r="C18" s="50">
        <f t="shared" si="0"/>
        <v>0.67457297891135592</v>
      </c>
      <c r="D18" s="50">
        <f t="shared" si="0"/>
        <v>2.0843254235258177</v>
      </c>
      <c r="E18" s="51">
        <f t="shared" si="6"/>
        <v>0.45504870387734064</v>
      </c>
      <c r="F18" s="51">
        <f t="shared" si="6"/>
        <v>4.3444124711560796</v>
      </c>
      <c r="G18" s="52">
        <f t="shared" si="7"/>
        <v>1.4060296099684844</v>
      </c>
      <c r="H18" s="66" t="s">
        <v>53</v>
      </c>
      <c r="I18" s="67">
        <v>0.95</v>
      </c>
      <c r="J18" s="51">
        <f t="shared" si="1"/>
        <v>1.4080560064884995</v>
      </c>
      <c r="K18" s="51">
        <f t="shared" si="2"/>
        <v>2.0121535086923257</v>
      </c>
      <c r="L18" s="55">
        <f t="shared" si="3"/>
        <v>9.9704477019833971E-3</v>
      </c>
      <c r="M18" s="51">
        <f t="shared" si="4"/>
        <v>2.0021830609903422</v>
      </c>
      <c r="N18" s="94">
        <f t="shared" si="8"/>
        <v>25.589158626645254</v>
      </c>
      <c r="O18" s="56">
        <f t="shared" si="9"/>
        <v>102.83797320121872</v>
      </c>
      <c r="P18" s="57">
        <f t="shared" si="5"/>
        <v>100.50393386632273</v>
      </c>
      <c r="R18" s="47"/>
      <c r="S18" s="47"/>
      <c r="T18" s="47"/>
    </row>
    <row r="19" spans="1:20" ht="12.75" customHeight="1" x14ac:dyDescent="0.35">
      <c r="A19" s="49">
        <f>'New Vestas G30 85L'!R24</f>
        <v>6.3024834732892669</v>
      </c>
      <c r="B19" s="48">
        <f>'New Vestas G30 85L'!T24</f>
        <v>120.2080219034444</v>
      </c>
      <c r="C19" s="50">
        <f t="shared" si="0"/>
        <v>0.79951171551965594</v>
      </c>
      <c r="D19" s="50">
        <f t="shared" si="0"/>
        <v>2.079933450629718</v>
      </c>
      <c r="E19" s="51">
        <f t="shared" si="6"/>
        <v>0.63921898325318327</v>
      </c>
      <c r="F19" s="51">
        <f t="shared" si="6"/>
        <v>4.3261231590484455</v>
      </c>
      <c r="G19" s="52">
        <f t="shared" si="7"/>
        <v>1.6629311612796835</v>
      </c>
      <c r="H19" s="53" t="s">
        <v>73</v>
      </c>
      <c r="I19" s="68">
        <f>_xlfn.T.INV(1-(1-I18)/2,I2-2)</f>
        <v>2.0226909200367595</v>
      </c>
      <c r="J19" s="51">
        <f t="shared" si="1"/>
        <v>1.4029512789239442</v>
      </c>
      <c r="K19" s="51">
        <f t="shared" si="2"/>
        <v>2.0126522813793688</v>
      </c>
      <c r="L19" s="55">
        <f t="shared" si="3"/>
        <v>9.9185345198760724E-3</v>
      </c>
      <c r="M19" s="51">
        <f t="shared" si="4"/>
        <v>2.0027337468594926</v>
      </c>
      <c r="N19" s="94">
        <f t="shared" si="8"/>
        <v>25.290142645241531</v>
      </c>
      <c r="O19" s="56">
        <f t="shared" si="9"/>
        <v>102.95614702026957</v>
      </c>
      <c r="P19" s="57">
        <f t="shared" si="5"/>
        <v>100.63145379294497</v>
      </c>
      <c r="R19" s="47"/>
      <c r="S19" s="47"/>
      <c r="T19" s="47"/>
    </row>
    <row r="20" spans="1:20" ht="12.75" customHeight="1" x14ac:dyDescent="0.35">
      <c r="A20" s="49">
        <f>'New Vestas G30 85L'!R25</f>
        <v>7.878104341611583</v>
      </c>
      <c r="B20" s="48">
        <f>'New Vestas G30 85L'!T25</f>
        <v>119.65700580491604</v>
      </c>
      <c r="C20" s="50">
        <f t="shared" si="0"/>
        <v>0.89642172852771229</v>
      </c>
      <c r="D20" s="50">
        <f t="shared" si="0"/>
        <v>2.0779381312264675</v>
      </c>
      <c r="E20" s="51">
        <f t="shared" si="6"/>
        <v>0.80357191537661155</v>
      </c>
      <c r="F20" s="51">
        <f t="shared" si="6"/>
        <v>4.3178268772049444</v>
      </c>
      <c r="G20" s="52">
        <f t="shared" si="7"/>
        <v>1.8627088913676744</v>
      </c>
      <c r="H20" s="53" t="s">
        <v>74</v>
      </c>
      <c r="I20" s="68">
        <f>_xlfn.F.INV(I18,2,I2-2)</f>
        <v>3.2380961351592941</v>
      </c>
      <c r="J20" s="51">
        <f t="shared" si="1"/>
        <v>1.397785835672589</v>
      </c>
      <c r="K20" s="51">
        <f t="shared" si="2"/>
        <v>2.0131569864743351</v>
      </c>
      <c r="L20" s="55">
        <f t="shared" si="3"/>
        <v>9.8660784132236345E-3</v>
      </c>
      <c r="M20" s="51">
        <f t="shared" si="4"/>
        <v>2.0032909080611114</v>
      </c>
      <c r="N20" s="94">
        <f t="shared" si="8"/>
        <v>24.991126663837797</v>
      </c>
      <c r="O20" s="56">
        <f t="shared" si="9"/>
        <v>103.07586462967495</v>
      </c>
      <c r="P20" s="57">
        <f t="shared" si="5"/>
        <v>100.76063784784424</v>
      </c>
      <c r="R20" s="47"/>
      <c r="S20" s="47"/>
      <c r="T20" s="47"/>
    </row>
    <row r="21" spans="1:20" ht="12.75" customHeight="1" x14ac:dyDescent="0.35">
      <c r="A21" s="49">
        <f>'New Vestas G30 85L'!R26</f>
        <v>8.6659147757727411</v>
      </c>
      <c r="B21" s="48">
        <f>'New Vestas G30 85L'!T26</f>
        <v>119.15390415001005</v>
      </c>
      <c r="C21" s="50">
        <f t="shared" si="0"/>
        <v>0.93781441368593732</v>
      </c>
      <c r="D21" s="50">
        <f t="shared" si="0"/>
        <v>2.0761082768379739</v>
      </c>
      <c r="E21" s="51">
        <f t="shared" si="6"/>
        <v>0.87949587451709843</v>
      </c>
      <c r="F21" s="51">
        <f t="shared" si="6"/>
        <v>4.3102255771551414</v>
      </c>
      <c r="G21" s="52">
        <f t="shared" si="7"/>
        <v>1.9470042663913263</v>
      </c>
      <c r="H21" s="53" t="s">
        <v>75</v>
      </c>
      <c r="I21" s="68">
        <f>I19*SQRT(I17)*(($I$8)^(-1/2))</f>
        <v>9.1021302300575112E-3</v>
      </c>
      <c r="J21" s="51">
        <f t="shared" si="1"/>
        <v>1.3925582150252931</v>
      </c>
      <c r="K21" s="51">
        <f t="shared" si="2"/>
        <v>2.0136677667978917</v>
      </c>
      <c r="L21" s="55">
        <f t="shared" si="3"/>
        <v>9.8130684380621745E-3</v>
      </c>
      <c r="M21" s="51">
        <f t="shared" si="4"/>
        <v>2.0038546983598295</v>
      </c>
      <c r="N21" s="94">
        <f t="shared" si="8"/>
        <v>24.692110682434063</v>
      </c>
      <c r="O21" s="56">
        <f t="shared" si="9"/>
        <v>103.19716503421388</v>
      </c>
      <c r="P21" s="57">
        <f t="shared" si="5"/>
        <v>100.89152774334924</v>
      </c>
      <c r="R21" s="47"/>
      <c r="S21" s="47"/>
      <c r="T21" s="47"/>
    </row>
    <row r="22" spans="1:20" ht="12.75" customHeight="1" thickBot="1" x14ac:dyDescent="0.4">
      <c r="A22" s="49">
        <f>'New Vestas G30 85L'!R27</f>
        <v>9.4537252099338982</v>
      </c>
      <c r="B22" s="48">
        <f>'New Vestas G30 85L'!T27</f>
        <v>117.02171141820115</v>
      </c>
      <c r="C22" s="50">
        <f t="shared" si="0"/>
        <v>0.97560297457533707</v>
      </c>
      <c r="D22" s="50">
        <f t="shared" si="0"/>
        <v>2.0682664452876542</v>
      </c>
      <c r="E22" s="51">
        <f t="shared" si="6"/>
        <v>0.95180116400024584</v>
      </c>
      <c r="F22" s="51">
        <f t="shared" si="6"/>
        <v>4.2777260887028294</v>
      </c>
      <c r="G22" s="52">
        <f t="shared" si="7"/>
        <v>2.0178068962369942</v>
      </c>
      <c r="H22" s="61" t="s">
        <v>76</v>
      </c>
      <c r="I22" s="69">
        <f>I19*SQRT(I17)*(1/I2+I11^2/I8)^(1/2)</f>
        <v>6.8223634869074273E-3</v>
      </c>
      <c r="J22" s="51">
        <f t="shared" si="1"/>
        <v>1.3872669018439083</v>
      </c>
      <c r="K22" s="51">
        <f t="shared" si="2"/>
        <v>2.0141847703911471</v>
      </c>
      <c r="L22" s="55">
        <f t="shared" si="3"/>
        <v>9.7594933431792083E-3</v>
      </c>
      <c r="M22" s="51">
        <f t="shared" si="4"/>
        <v>2.004425277047968</v>
      </c>
      <c r="N22" s="94">
        <f t="shared" si="8"/>
        <v>24.393094701030343</v>
      </c>
      <c r="O22" s="56">
        <f t="shared" si="9"/>
        <v>103.32008871169053</v>
      </c>
      <c r="P22" s="57">
        <f t="shared" si="5"/>
        <v>101.02416674788003</v>
      </c>
      <c r="R22" s="47"/>
      <c r="S22" s="47"/>
      <c r="T22" s="47"/>
    </row>
    <row r="23" spans="1:20" ht="12.75" customHeight="1" x14ac:dyDescent="0.35">
      <c r="A23" s="49">
        <f>'New Vestas G30 85L'!R28</f>
        <v>10.241535644095059</v>
      </c>
      <c r="B23" s="48">
        <f>'New Vestas G30 85L'!T28</f>
        <v>115.46449200568877</v>
      </c>
      <c r="C23" s="50">
        <f t="shared" si="0"/>
        <v>1.010365080834549</v>
      </c>
      <c r="D23" s="50">
        <f t="shared" si="0"/>
        <v>2.0624484491901112</v>
      </c>
      <c r="E23" s="51">
        <f t="shared" si="6"/>
        <v>1.0208375965698047</v>
      </c>
      <c r="F23" s="51">
        <f t="shared" si="6"/>
        <v>4.2536936055666947</v>
      </c>
      <c r="G23" s="52">
        <f t="shared" si="7"/>
        <v>2.083825894083057</v>
      </c>
      <c r="H23" s="63" t="s">
        <v>77</v>
      </c>
      <c r="I23" s="70"/>
      <c r="J23" s="51">
        <f t="shared" si="1"/>
        <v>1.381910324925181</v>
      </c>
      <c r="K23" s="51">
        <f t="shared" si="2"/>
        <v>2.0147081507732181</v>
      </c>
      <c r="L23" s="55">
        <f t="shared" si="3"/>
        <v>9.7053415603676092E-3</v>
      </c>
      <c r="M23" s="51">
        <f t="shared" si="4"/>
        <v>2.0050028092128507</v>
      </c>
      <c r="N23" s="94">
        <f t="shared" si="8"/>
        <v>24.094078719626623</v>
      </c>
      <c r="O23" s="56">
        <f t="shared" si="9"/>
        <v>103.44467768743036</v>
      </c>
      <c r="P23" s="57">
        <f t="shared" si="5"/>
        <v>101.15859976338345</v>
      </c>
      <c r="R23" s="47"/>
      <c r="S23" s="47"/>
      <c r="T23" s="47"/>
    </row>
    <row r="24" spans="1:20" ht="12.75" customHeight="1" x14ac:dyDescent="0.35">
      <c r="A24" s="49">
        <f>'New Vestas G30 85L'!R29</f>
        <v>13.392777380739691</v>
      </c>
      <c r="B24" s="48">
        <f>'New Vestas G30 85L'!T29</f>
        <v>114.19475925699673</v>
      </c>
      <c r="C24" s="50">
        <f t="shared" si="0"/>
        <v>1.1268706499059862</v>
      </c>
      <c r="D24" s="50">
        <f t="shared" si="0"/>
        <v>2.0576461732794136</v>
      </c>
      <c r="E24" s="51">
        <f t="shared" si="6"/>
        <v>1.2698374616195396</v>
      </c>
      <c r="F24" s="51">
        <f t="shared" si="6"/>
        <v>4.2339077744114144</v>
      </c>
      <c r="G24" s="52">
        <f t="shared" si="7"/>
        <v>2.3187010805599382</v>
      </c>
      <c r="H24" s="66" t="s">
        <v>78</v>
      </c>
      <c r="I24" s="71">
        <f>10^(MAX(C:C))</f>
        <v>30.3734143291049</v>
      </c>
      <c r="J24" s="51">
        <f t="shared" si="1"/>
        <v>1.3764868542000455</v>
      </c>
      <c r="K24" s="51">
        <f t="shared" si="2"/>
        <v>2.0152380672148822</v>
      </c>
      <c r="L24" s="55">
        <f t="shared" si="3"/>
        <v>9.6506011944657577E-3</v>
      </c>
      <c r="M24" s="51">
        <f t="shared" si="4"/>
        <v>2.0055874660204163</v>
      </c>
      <c r="N24" s="94">
        <f t="shared" si="8"/>
        <v>23.795062738222885</v>
      </c>
      <c r="O24" s="56">
        <f t="shared" si="9"/>
        <v>103.57097561352268</v>
      </c>
      <c r="P24" s="57">
        <f t="shared" si="5"/>
        <v>101.2948734076048</v>
      </c>
      <c r="R24" s="47"/>
      <c r="S24" s="47"/>
      <c r="T24" s="47"/>
    </row>
    <row r="25" spans="1:20" ht="12.75" customHeight="1" thickBot="1" x14ac:dyDescent="0.4">
      <c r="A25" s="49">
        <f>'New Vestas G30 85L'!R30</f>
        <v>14.968398249062007</v>
      </c>
      <c r="B25" s="48">
        <f>'New Vestas G30 85L'!T30</f>
        <v>113.21251317212499</v>
      </c>
      <c r="C25" s="50">
        <f t="shared" si="0"/>
        <v>1.1751753294805412</v>
      </c>
      <c r="D25" s="50">
        <f t="shared" si="0"/>
        <v>2.0538944312804035</v>
      </c>
      <c r="E25" s="51">
        <f t="shared" si="6"/>
        <v>1.3810370550196984</v>
      </c>
      <c r="F25" s="51">
        <f t="shared" si="6"/>
        <v>4.2184823348446523</v>
      </c>
      <c r="G25" s="52">
        <f t="shared" si="7"/>
        <v>2.4136860649981968</v>
      </c>
      <c r="H25" s="72" t="s">
        <v>79</v>
      </c>
      <c r="I25" s="73">
        <f>10^(MIN(C:C))</f>
        <v>0.47181618873205894</v>
      </c>
      <c r="J25" s="51">
        <f t="shared" si="1"/>
        <v>1.3709947977558208</v>
      </c>
      <c r="K25" s="51">
        <f t="shared" si="2"/>
        <v>2.0157746850295322</v>
      </c>
      <c r="L25" s="55">
        <f t="shared" si="3"/>
        <v>9.5952600132021872E-3</v>
      </c>
      <c r="M25" s="51">
        <f t="shared" si="4"/>
        <v>2.0061794250163301</v>
      </c>
      <c r="N25" s="94">
        <f t="shared" si="8"/>
        <v>23.496046756819158</v>
      </c>
      <c r="O25" s="56">
        <f t="shared" si="9"/>
        <v>103.69902785317417</v>
      </c>
      <c r="P25" s="57">
        <f t="shared" si="5"/>
        <v>101.43303610155749</v>
      </c>
      <c r="R25" s="47"/>
      <c r="S25" s="47"/>
      <c r="T25" s="47"/>
    </row>
    <row r="26" spans="1:20" ht="12.75" customHeight="1" x14ac:dyDescent="0.35">
      <c r="A26" s="49">
        <f>'New Vestas G30 85L'!R31</f>
        <v>0.94363237746411799</v>
      </c>
      <c r="B26" s="48">
        <f>'New Vestas G30 85L'!T31</f>
        <v>142.93996264007947</v>
      </c>
      <c r="C26" s="50">
        <f t="shared" si="0"/>
        <v>-2.5197166225644708E-2</v>
      </c>
      <c r="D26" s="50">
        <f t="shared" si="0"/>
        <v>2.1551536642545184</v>
      </c>
      <c r="E26" s="51">
        <f t="shared" si="6"/>
        <v>6.3489718580277035E-4</v>
      </c>
      <c r="F26" s="51">
        <f t="shared" si="6"/>
        <v>4.6446873165496774</v>
      </c>
      <c r="G26" s="52">
        <f t="shared" si="7"/>
        <v>-5.4303765120028387E-2</v>
      </c>
      <c r="H26" s="63" t="s">
        <v>80</v>
      </c>
      <c r="I26" s="70"/>
      <c r="J26" s="51">
        <f t="shared" si="1"/>
        <v>1.3654323986676944</v>
      </c>
      <c r="K26" s="51">
        <f t="shared" si="2"/>
        <v>2.0163181758827666</v>
      </c>
      <c r="L26" s="55">
        <f t="shared" si="3"/>
        <v>9.5393054368682114E-3</v>
      </c>
      <c r="M26" s="51">
        <f t="shared" si="4"/>
        <v>2.0067788704458982</v>
      </c>
      <c r="N26" s="94">
        <f t="shared" si="8"/>
        <v>23.197030775415431</v>
      </c>
      <c r="O26" s="56">
        <f t="shared" si="9"/>
        <v>103.82888157057413</v>
      </c>
      <c r="P26" s="57">
        <f t="shared" si="5"/>
        <v>101.57313816258693</v>
      </c>
      <c r="R26" s="47" t="s">
        <v>81</v>
      </c>
      <c r="S26" s="47"/>
      <c r="T26" s="47"/>
    </row>
    <row r="27" spans="1:20" ht="12.75" customHeight="1" x14ac:dyDescent="0.35">
      <c r="A27" s="49">
        <f>'New Vestas G30 85L'!R32</f>
        <v>1.4154485661961771</v>
      </c>
      <c r="B27" s="48">
        <f>'New Vestas G30 85L'!T32</f>
        <v>134.83928095904344</v>
      </c>
      <c r="C27" s="50">
        <f t="shared" si="0"/>
        <v>0.15089409283003657</v>
      </c>
      <c r="D27" s="50">
        <f t="shared" si="0"/>
        <v>2.129816427945995</v>
      </c>
      <c r="E27" s="51">
        <f t="shared" si="6"/>
        <v>2.2769027250999694E-2</v>
      </c>
      <c r="F27" s="51">
        <f t="shared" si="6"/>
        <v>4.5361180167486381</v>
      </c>
      <c r="G27" s="52">
        <f t="shared" si="7"/>
        <v>0.3213767177894199</v>
      </c>
      <c r="H27" s="53" t="str">
        <f>"m lower " &amp; TEXT(I18,"##%") &amp; " conf"</f>
        <v>m lower 95% conf</v>
      </c>
      <c r="I27" s="74">
        <f>-I13-I21</f>
        <v>8.8605863141826668E-2</v>
      </c>
      <c r="J27" s="51">
        <f t="shared" si="1"/>
        <v>1.3597978316246515</v>
      </c>
      <c r="K27" s="51">
        <f t="shared" si="2"/>
        <v>2.0168687181220619</v>
      </c>
      <c r="L27" s="55">
        <f t="shared" si="3"/>
        <v>9.4827245278480913E-3</v>
      </c>
      <c r="M27" s="51">
        <f t="shared" si="4"/>
        <v>2.0073859935942138</v>
      </c>
      <c r="N27" s="94">
        <f t="shared" si="8"/>
        <v>22.898014794011697</v>
      </c>
      <c r="O27" s="56">
        <f t="shared" si="9"/>
        <v>103.96058582670697</v>
      </c>
      <c r="P27" s="57">
        <f t="shared" si="5"/>
        <v>101.71523190346254</v>
      </c>
      <c r="R27" s="47"/>
      <c r="S27" s="47"/>
      <c r="T27" s="47"/>
    </row>
    <row r="28" spans="1:20" ht="12.75" customHeight="1" x14ac:dyDescent="0.35">
      <c r="A28" s="49">
        <f>'New Vestas G30 85L'!R33</f>
        <v>1.887264754928236</v>
      </c>
      <c r="B28" s="48">
        <f>'New Vestas G30 85L'!T33</f>
        <v>129.61118143440314</v>
      </c>
      <c r="C28" s="50">
        <f t="shared" si="0"/>
        <v>0.27583282943833648</v>
      </c>
      <c r="D28" s="50">
        <f t="shared" si="0"/>
        <v>2.1126424693261812</v>
      </c>
      <c r="E28" s="51">
        <f t="shared" si="6"/>
        <v>7.608374979595843E-2</v>
      </c>
      <c r="F28" s="51">
        <f t="shared" si="6"/>
        <v>4.4632582032006241</v>
      </c>
      <c r="G28" s="52">
        <f t="shared" si="7"/>
        <v>0.58273614990583456</v>
      </c>
      <c r="H28" s="75" t="s">
        <v>82</v>
      </c>
      <c r="I28" s="76">
        <f>-I13</f>
        <v>9.7707993371884183E-2</v>
      </c>
      <c r="J28" s="51">
        <f t="shared" si="1"/>
        <v>1.3540891993336348</v>
      </c>
      <c r="K28" s="51">
        <f t="shared" si="2"/>
        <v>2.0174264971281151</v>
      </c>
      <c r="L28" s="55">
        <f t="shared" si="3"/>
        <v>9.4255039800435567E-3</v>
      </c>
      <c r="M28" s="51">
        <f t="shared" si="4"/>
        <v>2.0080009931480713</v>
      </c>
      <c r="N28" s="94">
        <f t="shared" si="8"/>
        <v>22.598998812607967</v>
      </c>
      <c r="O28" s="56">
        <f t="shared" si="9"/>
        <v>104.09419168158985</v>
      </c>
      <c r="P28" s="57">
        <f t="shared" si="5"/>
        <v>101.85937173796587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G30 85L'!R34</f>
        <v>2.8308971323923542</v>
      </c>
      <c r="B29" s="48">
        <f>'New Vestas G30 85L'!T34</f>
        <v>123.86601712161163</v>
      </c>
      <c r="C29" s="50">
        <f t="shared" si="0"/>
        <v>0.45192408849401777</v>
      </c>
      <c r="D29" s="50">
        <f t="shared" si="0"/>
        <v>2.092952173196887</v>
      </c>
      <c r="E29" s="51">
        <f t="shared" si="6"/>
        <v>0.2042353817611488</v>
      </c>
      <c r="F29" s="51">
        <f t="shared" si="6"/>
        <v>4.3804487992895718</v>
      </c>
      <c r="G29" s="52">
        <f t="shared" si="7"/>
        <v>0.9458555031335768</v>
      </c>
      <c r="H29" s="77" t="str">
        <f>"m upper " &amp; TEXT(I18,"##%") &amp; " conf"</f>
        <v>m upper 95% conf</v>
      </c>
      <c r="I29" s="74">
        <f>-I13+I21</f>
        <v>0.1068101236019417</v>
      </c>
      <c r="J29" s="51">
        <f t="shared" si="1"/>
        <v>1.3483045286842086</v>
      </c>
      <c r="K29" s="51">
        <f t="shared" si="2"/>
        <v>2.0179917056895875</v>
      </c>
      <c r="L29" s="55">
        <f t="shared" si="3"/>
        <v>9.3676301082379846E-3</v>
      </c>
      <c r="M29" s="51">
        <f t="shared" si="4"/>
        <v>2.0086240755813494</v>
      </c>
      <c r="N29" s="94">
        <f t="shared" si="8"/>
        <v>22.29998283120424</v>
      </c>
      <c r="O29" s="56">
        <f t="shared" si="9"/>
        <v>104.22975230345708</v>
      </c>
      <c r="P29" s="57">
        <f t="shared" si="5"/>
        <v>102.00561429349108</v>
      </c>
      <c r="R29" s="47"/>
      <c r="S29" s="47"/>
      <c r="T29" s="47"/>
    </row>
    <row r="30" spans="1:20" ht="12.75" customHeight="1" x14ac:dyDescent="0.35">
      <c r="A30" s="49">
        <f>'New Vestas G30 85L'!R35</f>
        <v>3.774529509856472</v>
      </c>
      <c r="B30" s="48">
        <f>'New Vestas G30 85L'!T35</f>
        <v>116.62711008749434</v>
      </c>
      <c r="C30" s="50">
        <f t="shared" si="0"/>
        <v>0.57686282510231768</v>
      </c>
      <c r="D30" s="50">
        <f t="shared" si="0"/>
        <v>2.0667995143413949</v>
      </c>
      <c r="E30" s="51">
        <f t="shared" si="6"/>
        <v>0.33277071898502714</v>
      </c>
      <c r="F30" s="51">
        <f t="shared" si="6"/>
        <v>4.2716602324818256</v>
      </c>
      <c r="G30" s="52">
        <f t="shared" si="7"/>
        <v>1.1922598067630752</v>
      </c>
      <c r="H30" s="77" t="str">
        <f>"C lower " &amp; TEXT(I18,"##%") &amp; " conf"</f>
        <v>C lower 95% conf</v>
      </c>
      <c r="I30" s="78">
        <f>10^(I14-I22)</f>
        <v>138.96629284688734</v>
      </c>
      <c r="J30" s="51">
        <f t="shared" si="1"/>
        <v>1.3424417666543285</v>
      </c>
      <c r="K30" s="51">
        <f t="shared" si="2"/>
        <v>2.0185645444031444</v>
      </c>
      <c r="L30" s="55">
        <f t="shared" si="3"/>
        <v>9.3090888374556136E-3</v>
      </c>
      <c r="M30" s="51">
        <f t="shared" si="4"/>
        <v>2.0092554555656887</v>
      </c>
      <c r="N30" s="94">
        <f t="shared" si="8"/>
        <v>22.000966849800513</v>
      </c>
      <c r="O30" s="56">
        <f t="shared" si="9"/>
        <v>104.36732308546379</v>
      </c>
      <c r="P30" s="57">
        <f t="shared" si="5"/>
        <v>102.15401853121854</v>
      </c>
      <c r="R30" s="47"/>
      <c r="S30" s="47"/>
      <c r="T30" s="47"/>
    </row>
    <row r="31" spans="1:20" ht="12.75" customHeight="1" x14ac:dyDescent="0.35">
      <c r="A31" s="49">
        <f>'New Vestas G30 85L'!R36</f>
        <v>0.94363237746411799</v>
      </c>
      <c r="B31" s="48">
        <f>'New Vestas G30 85L'!T36</f>
        <v>146.77930375930265</v>
      </c>
      <c r="C31" s="50">
        <f t="shared" si="0"/>
        <v>-2.5197166225644708E-2</v>
      </c>
      <c r="D31" s="50">
        <f t="shared" si="0"/>
        <v>2.1666648233131256</v>
      </c>
      <c r="E31" s="51">
        <f t="shared" si="6"/>
        <v>6.3489718580277035E-4</v>
      </c>
      <c r="F31" s="51">
        <f t="shared" si="6"/>
        <v>4.6944364565824976</v>
      </c>
      <c r="G31" s="52">
        <f t="shared" si="7"/>
        <v>-5.4593813708277948E-2</v>
      </c>
      <c r="H31" s="75" t="s">
        <v>83</v>
      </c>
      <c r="I31" s="79">
        <f>10^I14</f>
        <v>141.16656125176121</v>
      </c>
      <c r="J31" s="51">
        <f t="shared" si="1"/>
        <v>1.3364987759359592</v>
      </c>
      <c r="K31" s="51">
        <f t="shared" si="2"/>
        <v>2.0191452221008639</v>
      </c>
      <c r="L31" s="55">
        <f t="shared" si="3"/>
        <v>9.2498656923830809E-3</v>
      </c>
      <c r="M31" s="51">
        <f t="shared" si="4"/>
        <v>2.0098953564084807</v>
      </c>
      <c r="N31" s="94">
        <f t="shared" si="8"/>
        <v>21.701950868396793</v>
      </c>
      <c r="O31" s="56">
        <f t="shared" si="9"/>
        <v>104.5069617705355</v>
      </c>
      <c r="P31" s="57">
        <f t="shared" si="5"/>
        <v>102.30464587447445</v>
      </c>
      <c r="R31" s="47"/>
      <c r="S31" s="47"/>
      <c r="T31" s="47"/>
    </row>
    <row r="32" spans="1:20" ht="12.75" customHeight="1" thickBot="1" x14ac:dyDescent="0.4">
      <c r="A32" s="49">
        <f>'New Vestas G30 85L'!R37</f>
        <v>1.4154485661961771</v>
      </c>
      <c r="B32" s="48">
        <f>'New Vestas G30 85L'!T37</f>
        <v>138.46534309984125</v>
      </c>
      <c r="C32" s="50">
        <f t="shared" si="0"/>
        <v>0.15089409283003657</v>
      </c>
      <c r="D32" s="50">
        <f t="shared" si="0"/>
        <v>2.1413410861516664</v>
      </c>
      <c r="E32" s="51">
        <f t="shared" si="6"/>
        <v>2.2769027250999694E-2</v>
      </c>
      <c r="F32" s="51">
        <f t="shared" si="6"/>
        <v>4.5853416472411981</v>
      </c>
      <c r="G32" s="52">
        <f t="shared" si="7"/>
        <v>0.32311572063454091</v>
      </c>
      <c r="H32" s="61" t="str">
        <f>"C upper " &amp; TEXT(I18,"##%") &amp; " conf"</f>
        <v>C upper 95% conf</v>
      </c>
      <c r="I32" s="80">
        <f>10^(I14+I22)</f>
        <v>143.4016667452147</v>
      </c>
      <c r="J32" s="51">
        <f t="shared" si="1"/>
        <v>1.3304733302572138</v>
      </c>
      <c r="K32" s="51">
        <f t="shared" si="2"/>
        <v>2.0197339563073053</v>
      </c>
      <c r="L32" s="55">
        <f t="shared" si="3"/>
        <v>9.1899457869344461E-3</v>
      </c>
      <c r="M32" s="51">
        <f t="shared" si="4"/>
        <v>2.0105440105203707</v>
      </c>
      <c r="N32" s="94">
        <f t="shared" si="8"/>
        <v>21.402934886993059</v>
      </c>
      <c r="O32" s="56">
        <f t="shared" si="9"/>
        <v>104.64872858505652</v>
      </c>
      <c r="P32" s="57">
        <f t="shared" si="5"/>
        <v>102.45756034595406</v>
      </c>
      <c r="R32" s="47"/>
      <c r="S32" s="47"/>
      <c r="T32" s="47"/>
    </row>
    <row r="33" spans="1:20" ht="12.75" customHeight="1" x14ac:dyDescent="0.35">
      <c r="A33" s="49">
        <f>'New Vestas G30 85L'!R38</f>
        <v>1.887264754928236</v>
      </c>
      <c r="B33" s="48">
        <f>'New Vestas G30 85L'!T38</f>
        <v>136.13513267246216</v>
      </c>
      <c r="C33" s="50">
        <f t="shared" si="0"/>
        <v>0.27583282943833648</v>
      </c>
      <c r="D33" s="50">
        <f t="shared" si="0"/>
        <v>2.1339702189343659</v>
      </c>
      <c r="E33" s="51">
        <f t="shared" si="6"/>
        <v>7.608374979595843E-2</v>
      </c>
      <c r="F33" s="51">
        <f t="shared" si="6"/>
        <v>4.5538288952987855</v>
      </c>
      <c r="G33" s="52">
        <f t="shared" si="7"/>
        <v>0.5886190434258125</v>
      </c>
      <c r="H33" s="63" t="s">
        <v>84</v>
      </c>
      <c r="I33" s="81"/>
      <c r="J33" s="51">
        <f t="shared" si="1"/>
        <v>1.3243631093753976</v>
      </c>
      <c r="K33" s="51">
        <f t="shared" si="2"/>
        <v>2.0203309737287265</v>
      </c>
      <c r="L33" s="55">
        <f t="shared" si="3"/>
        <v>9.1293138140576182E-3</v>
      </c>
      <c r="M33" s="51">
        <f t="shared" si="4"/>
        <v>2.0112016599146689</v>
      </c>
      <c r="N33" s="94">
        <f t="shared" si="8"/>
        <v>21.103918905589328</v>
      </c>
      <c r="O33" s="56">
        <f t="shared" si="9"/>
        <v>104.79268638215233</v>
      </c>
      <c r="P33" s="57">
        <f t="shared" si="5"/>
        <v>102.61282871454094</v>
      </c>
      <c r="R33" s="47"/>
      <c r="S33" s="47"/>
      <c r="T33" s="47"/>
    </row>
    <row r="34" spans="1:20" ht="12.75" customHeight="1" thickBot="1" x14ac:dyDescent="0.4">
      <c r="A34" s="49">
        <f>'New Vestas G30 85L'!R39</f>
        <v>2.3590809436602953</v>
      </c>
      <c r="B34" s="48">
        <f>'New Vestas G30 85L'!T39</f>
        <v>127.64856384573423</v>
      </c>
      <c r="C34" s="50">
        <f t="shared" si="0"/>
        <v>0.37274284244639294</v>
      </c>
      <c r="D34" s="50">
        <f t="shared" si="0"/>
        <v>2.1060159329876531</v>
      </c>
      <c r="E34" s="51">
        <f t="shared" si="6"/>
        <v>0.13893722659501651</v>
      </c>
      <c r="F34" s="51">
        <f t="shared" si="6"/>
        <v>4.4353031099978546</v>
      </c>
      <c r="G34" s="52">
        <f t="shared" si="7"/>
        <v>0.78500236509921006</v>
      </c>
      <c r="H34" s="82" t="str">
        <f>"G27 Fit: S = " &amp; TEXT(I31,"0,00 E+00 ") &amp; " * N ^ -" &amp; TEXT(I28,"0,00")</f>
        <v>G27 Fit: S = 141 E+00  * N ^ -000</v>
      </c>
      <c r="I34" s="62"/>
      <c r="J34" s="51">
        <f t="shared" si="1"/>
        <v>1.3181656937127737</v>
      </c>
      <c r="K34" s="51">
        <f t="shared" si="2"/>
        <v>2.0209365107772128</v>
      </c>
      <c r="L34" s="55">
        <f t="shared" si="3"/>
        <v>9.0679540358993144E-3</v>
      </c>
      <c r="M34" s="51">
        <f t="shared" si="4"/>
        <v>2.0118685567413137</v>
      </c>
      <c r="N34" s="94">
        <f t="shared" si="8"/>
        <v>20.804902924185594</v>
      </c>
      <c r="O34" s="56">
        <f t="shared" si="9"/>
        <v>104.93890079540303</v>
      </c>
      <c r="P34" s="57">
        <f t="shared" si="5"/>
        <v>102.77052065253599</v>
      </c>
      <c r="R34" s="47"/>
      <c r="S34" s="47"/>
      <c r="T34" s="47"/>
    </row>
    <row r="35" spans="1:20" ht="12.75" customHeight="1" thickBot="1" x14ac:dyDescent="0.4">
      <c r="A35" s="49">
        <f>'New Vestas G30 85L'!R40</f>
        <v>3.3027133211244135</v>
      </c>
      <c r="B35" s="48">
        <f>'New Vestas G30 85L'!T40</f>
        <v>125.692337807626</v>
      </c>
      <c r="C35" s="50">
        <f t="shared" si="0"/>
        <v>0.51887087812463095</v>
      </c>
      <c r="D35" s="50">
        <f t="shared" si="0"/>
        <v>2.0993088039445751</v>
      </c>
      <c r="E35" s="51">
        <f t="shared" si="6"/>
        <v>0.26922698816582563</v>
      </c>
      <c r="F35" s="51">
        <f t="shared" si="6"/>
        <v>4.4070974543192021</v>
      </c>
      <c r="G35" s="52">
        <f t="shared" si="7"/>
        <v>1.0892702025574903</v>
      </c>
      <c r="H35" s="82" t="str">
        <f>"G27 Fit: N = " &amp; TEXT((1/I31)^(-1/I28),"0,00 E+00 ") &amp; " * S ^ -" &amp; TEXT(1/I28,"0,00")</f>
        <v>G27 Fit: N = 100 E+20  * S ^ -010</v>
      </c>
      <c r="I35" s="84"/>
      <c r="J35" s="51">
        <f t="shared" si="1"/>
        <v>1.3118785586040149</v>
      </c>
      <c r="K35" s="51">
        <f t="shared" si="2"/>
        <v>2.0215508141327478</v>
      </c>
      <c r="L35" s="55">
        <f t="shared" si="3"/>
        <v>9.0058502744689156E-3</v>
      </c>
      <c r="M35" s="51">
        <f t="shared" si="4"/>
        <v>2.0125449638582791</v>
      </c>
      <c r="N35" s="94">
        <f t="shared" si="8"/>
        <v>20.505886942781871</v>
      </c>
      <c r="O35" s="56">
        <f t="shared" si="9"/>
        <v>105.08744040391065</v>
      </c>
      <c r="P35" s="57">
        <f t="shared" si="5"/>
        <v>102.93070890418586</v>
      </c>
      <c r="R35" s="47"/>
      <c r="S35" s="47"/>
      <c r="T35" s="47"/>
    </row>
    <row r="36" spans="1:20" ht="12.75" customHeight="1" x14ac:dyDescent="0.35">
      <c r="A36" s="49">
        <f>'New Vestas G30 85L'!R41</f>
        <v>3.774529509856472</v>
      </c>
      <c r="B36" s="48">
        <f>'New Vestas G30 85L'!T41</f>
        <v>124.16763221579347</v>
      </c>
      <c r="C36" s="50">
        <f t="shared" si="0"/>
        <v>0.57686282510231768</v>
      </c>
      <c r="D36" s="50">
        <f t="shared" si="0"/>
        <v>2.0940083995272856</v>
      </c>
      <c r="E36" s="51">
        <f t="shared" si="6"/>
        <v>0.33277071898502714</v>
      </c>
      <c r="F36" s="51">
        <f t="shared" si="6"/>
        <v>4.3848711772908242</v>
      </c>
      <c r="G36" s="52">
        <f t="shared" si="7"/>
        <v>1.2079556011392927</v>
      </c>
      <c r="H36" s="83"/>
      <c r="I36" s="83"/>
      <c r="J36" s="51">
        <f t="shared" si="1"/>
        <v>1.3054990681211145</v>
      </c>
      <c r="K36" s="51">
        <f t="shared" si="2"/>
        <v>2.022174141346567</v>
      </c>
      <c r="L36" s="55">
        <f t="shared" si="3"/>
        <v>8.9429859029686483E-3</v>
      </c>
      <c r="M36" s="51">
        <f t="shared" si="4"/>
        <v>2.0132311554435982</v>
      </c>
      <c r="N36" s="94">
        <f t="shared" si="8"/>
        <v>20.206870961378144</v>
      </c>
      <c r="O36" s="56">
        <f t="shared" si="9"/>
        <v>105.23837690973528</v>
      </c>
      <c r="P36" s="57">
        <f t="shared" si="5"/>
        <v>103.09346946648917</v>
      </c>
      <c r="R36" s="47"/>
      <c r="S36" s="47"/>
      <c r="T36" s="47"/>
    </row>
    <row r="37" spans="1:20" ht="12.75" customHeight="1" x14ac:dyDescent="0.35">
      <c r="A37" s="49">
        <f>'New Vestas G30 85L'!R42</f>
        <v>0.47181618873205899</v>
      </c>
      <c r="B37" s="48">
        <f>'New Vestas G30 85L'!T42</f>
        <v>149.57811851645184</v>
      </c>
      <c r="C37" s="50">
        <f t="shared" si="0"/>
        <v>-0.32622716188962592</v>
      </c>
      <c r="D37" s="50">
        <f t="shared" si="0"/>
        <v>2.1748680661045463</v>
      </c>
      <c r="E37" s="51">
        <f t="shared" si="6"/>
        <v>0.1064241611545602</v>
      </c>
      <c r="F37" s="51">
        <f t="shared" si="6"/>
        <v>4.730051104961329</v>
      </c>
      <c r="G37" s="52">
        <f t="shared" si="7"/>
        <v>-0.70950103668966547</v>
      </c>
      <c r="H37" s="95">
        <f>1/I28</f>
        <v>10.234577187497061</v>
      </c>
      <c r="I37" s="85">
        <f>I31-I30</f>
        <v>2.2002684048738672</v>
      </c>
      <c r="J37" s="51">
        <f t="shared" si="1"/>
        <v>1.2990244684379553</v>
      </c>
      <c r="K37" s="51">
        <f t="shared" si="2"/>
        <v>2.0228067614894947</v>
      </c>
      <c r="L37" s="55">
        <f t="shared" si="3"/>
        <v>8.8793438379896096E-3</v>
      </c>
      <c r="M37" s="51">
        <f t="shared" si="4"/>
        <v>2.0139274176515052</v>
      </c>
      <c r="N37" s="94">
        <f t="shared" si="8"/>
        <v>19.907854979974413</v>
      </c>
      <c r="O37" s="56">
        <f t="shared" si="9"/>
        <v>105.39178532882798</v>
      </c>
      <c r="P37" s="57">
        <f t="shared" si="5"/>
        <v>103.25888178336319</v>
      </c>
      <c r="R37" s="47"/>
      <c r="S37" s="47"/>
      <c r="T37" s="47"/>
    </row>
    <row r="38" spans="1:20" ht="12.75" customHeight="1" x14ac:dyDescent="0.35">
      <c r="A38" s="49">
        <f>'New Vestas G30 85L'!R43</f>
        <v>0.94363237746411799</v>
      </c>
      <c r="B38" s="48">
        <f>'New Vestas G30 85L'!T43</f>
        <v>146.47767934153356</v>
      </c>
      <c r="C38" s="50">
        <f t="shared" si="0"/>
        <v>-2.5197166225644708E-2</v>
      </c>
      <c r="D38" s="50">
        <f t="shared" si="0"/>
        <v>2.1657714507833314</v>
      </c>
      <c r="E38" s="51">
        <f t="shared" si="6"/>
        <v>6.3489718580277035E-4</v>
      </c>
      <c r="F38" s="51">
        <f t="shared" si="6"/>
        <v>4.690565977028136</v>
      </c>
      <c r="G38" s="52">
        <f t="shared" si="7"/>
        <v>-5.4571303252143301E-2</v>
      </c>
      <c r="H38" s="95">
        <f>((1/I27)-(1/I29))/2</f>
        <v>0.9617632246567922</v>
      </c>
      <c r="I38" s="85">
        <f>I32-I31</f>
        <v>2.2351054934534886</v>
      </c>
      <c r="J38" s="51">
        <f t="shared" si="1"/>
        <v>1.2924518806927314</v>
      </c>
      <c r="K38" s="51">
        <f t="shared" si="2"/>
        <v>2.0234489558493411</v>
      </c>
      <c r="L38" s="55">
        <f t="shared" si="3"/>
        <v>8.8149065328112022E-3</v>
      </c>
      <c r="M38" s="51">
        <f t="shared" si="4"/>
        <v>2.01463404931653</v>
      </c>
      <c r="N38" s="94">
        <f t="shared" si="8"/>
        <v>19.608838998570693</v>
      </c>
      <c r="O38" s="56">
        <f t="shared" si="9"/>
        <v>105.54774419670579</v>
      </c>
      <c r="P38" s="57">
        <f t="shared" si="5"/>
        <v>103.4270289543572</v>
      </c>
      <c r="R38" s="47"/>
      <c r="S38" s="47"/>
      <c r="T38" s="47"/>
    </row>
    <row r="39" spans="1:20" ht="12.75" customHeight="1" x14ac:dyDescent="0.35">
      <c r="A39" s="49">
        <f>'New Vestas G30 85L'!R44</f>
        <v>1.4154485661961771</v>
      </c>
      <c r="B39" s="48">
        <f>'New Vestas G30 85L'!T44</f>
        <v>140.53517091794299</v>
      </c>
      <c r="C39" s="50">
        <f t="shared" si="0"/>
        <v>0.15089409283003657</v>
      </c>
      <c r="D39" s="50">
        <f t="shared" si="0"/>
        <v>2.1477850261919325</v>
      </c>
      <c r="E39" s="51">
        <f t="shared" si="6"/>
        <v>2.2769027250999694E-2</v>
      </c>
      <c r="F39" s="51">
        <f t="shared" si="6"/>
        <v>4.6129805187342798</v>
      </c>
      <c r="G39" s="52">
        <f t="shared" si="7"/>
        <v>0.324088073121168</v>
      </c>
      <c r="H39" s="86"/>
      <c r="I39" s="86"/>
      <c r="J39" s="51">
        <f t="shared" si="1"/>
        <v>1.2857782933019206</v>
      </c>
      <c r="K39" s="51">
        <f t="shared" si="2"/>
        <v>2.0241010186818893</v>
      </c>
      <c r="L39" s="55">
        <f t="shared" si="3"/>
        <v>8.7496559720863388E-3</v>
      </c>
      <c r="M39" s="51">
        <f t="shared" si="4"/>
        <v>2.015351362709803</v>
      </c>
      <c r="N39" s="94">
        <f t="shared" si="8"/>
        <v>19.309823017166952</v>
      </c>
      <c r="O39" s="56">
        <f t="shared" si="9"/>
        <v>105.70633579025119</v>
      </c>
      <c r="P39" s="57">
        <f t="shared" si="5"/>
        <v>103.59799795923294</v>
      </c>
      <c r="R39" s="47"/>
      <c r="S39" s="47"/>
      <c r="T39" s="47"/>
    </row>
    <row r="40" spans="1:20" ht="12.75" customHeight="1" x14ac:dyDescent="0.35">
      <c r="A40" s="49">
        <f>'New Vestas G30 85L'!R45</f>
        <v>1.887264754928236</v>
      </c>
      <c r="B40" s="48">
        <f>'New Vestas G30 85L'!T45</f>
        <v>133.81755271061729</v>
      </c>
      <c r="C40" s="50">
        <f t="shared" si="0"/>
        <v>0.27583282943833648</v>
      </c>
      <c r="D40" s="50">
        <f t="shared" si="0"/>
        <v>2.1265130831282777</v>
      </c>
      <c r="E40" s="51">
        <f t="shared" si="6"/>
        <v>7.608374979595843E-2</v>
      </c>
      <c r="F40" s="51">
        <f t="shared" si="6"/>
        <v>4.5220578927157336</v>
      </c>
      <c r="G40" s="52">
        <f t="shared" si="7"/>
        <v>0.58656212055691326</v>
      </c>
      <c r="H40" s="86" t="b">
        <f>H37=H38</f>
        <v>0</v>
      </c>
      <c r="I40" s="86"/>
      <c r="J40" s="51">
        <f t="shared" si="1"/>
        <v>1.2790005536744455</v>
      </c>
      <c r="K40" s="51">
        <f t="shared" si="2"/>
        <v>2.0247632580204868</v>
      </c>
      <c r="L40" s="55">
        <f t="shared" si="3"/>
        <v>8.6835736682481304E-3</v>
      </c>
      <c r="M40" s="51">
        <f t="shared" si="4"/>
        <v>2.0160796843522388</v>
      </c>
      <c r="N40" s="94">
        <f t="shared" si="8"/>
        <v>19.010807035763222</v>
      </c>
      <c r="O40" s="56">
        <f t="shared" si="9"/>
        <v>105.86764636717255</v>
      </c>
      <c r="P40" s="57">
        <f t="shared" si="5"/>
        <v>103.77187989986372</v>
      </c>
      <c r="R40" s="47"/>
      <c r="S40" s="47"/>
      <c r="T40" s="47"/>
    </row>
    <row r="41" spans="1:20" ht="12.75" customHeight="1" x14ac:dyDescent="0.35">
      <c r="A41" s="49">
        <f>'New Vestas G30 85L'!R46</f>
        <v>2.8308971323923542</v>
      </c>
      <c r="B41" s="48">
        <f>'New Vestas G30 85L'!T46</f>
        <v>130.7171135332004</v>
      </c>
      <c r="C41" s="50">
        <f t="shared" si="0"/>
        <v>0.45192408849401777</v>
      </c>
      <c r="D41" s="50">
        <f t="shared" si="0"/>
        <v>2.1163324492981648</v>
      </c>
      <c r="E41" s="51">
        <f t="shared" si="6"/>
        <v>0.2042353817611488</v>
      </c>
      <c r="F41" s="51">
        <f t="shared" si="6"/>
        <v>4.4788630359523696</v>
      </c>
      <c r="G41" s="52">
        <f t="shared" si="7"/>
        <v>0.95642161309938523</v>
      </c>
      <c r="H41" s="86"/>
      <c r="I41" s="86"/>
      <c r="J41" s="51">
        <f t="shared" si="1"/>
        <v>1.2721153592689602</v>
      </c>
      <c r="K41" s="51">
        <f t="shared" si="2"/>
        <v>2.0254359965498221</v>
      </c>
      <c r="L41" s="55">
        <f t="shared" si="3"/>
        <v>8.6166406600367215E-3</v>
      </c>
      <c r="M41" s="51">
        <f t="shared" si="4"/>
        <v>2.0168193558897856</v>
      </c>
      <c r="N41" s="94">
        <f t="shared" si="8"/>
        <v>18.711791054359495</v>
      </c>
      <c r="O41" s="56">
        <f t="shared" si="9"/>
        <v>106.03176642483388</v>
      </c>
      <c r="P41" s="57">
        <f t="shared" si="5"/>
        <v>103.94877026106633</v>
      </c>
      <c r="R41" s="47"/>
      <c r="S41" s="47"/>
      <c r="T41" s="47"/>
    </row>
    <row r="42" spans="1:20" ht="12.75" customHeight="1" x14ac:dyDescent="0.35">
      <c r="A42" s="49">
        <f>'New Vestas G30 85L'!R47</f>
        <v>3.774529509856472</v>
      </c>
      <c r="B42" s="48">
        <f>'New Vestas G30 85L'!T47</f>
        <v>122.36315241384239</v>
      </c>
      <c r="C42" s="50">
        <f t="shared" si="0"/>
        <v>0.57686282510231768</v>
      </c>
      <c r="D42" s="50">
        <f t="shared" si="0"/>
        <v>2.0876506570859386</v>
      </c>
      <c r="E42" s="51">
        <f t="shared" si="6"/>
        <v>0.33277071898502714</v>
      </c>
      <c r="F42" s="51">
        <f t="shared" si="6"/>
        <v>4.3582852660313511</v>
      </c>
      <c r="G42" s="52">
        <f t="shared" si="7"/>
        <v>1.2042880558733045</v>
      </c>
      <c r="H42" s="86"/>
      <c r="I42" s="86"/>
      <c r="J42" s="51">
        <f t="shared" si="1"/>
        <v>1.2651192479307669</v>
      </c>
      <c r="K42" s="51">
        <f t="shared" si="2"/>
        <v>2.0261195725500833</v>
      </c>
      <c r="L42" s="55">
        <f t="shared" si="3"/>
        <v>8.5488375136199713E-3</v>
      </c>
      <c r="M42" s="51">
        <f t="shared" si="4"/>
        <v>2.0175707350364633</v>
      </c>
      <c r="N42" s="94">
        <f t="shared" si="8"/>
        <v>18.412775072955775</v>
      </c>
      <c r="O42" s="56">
        <f t="shared" si="9"/>
        <v>106.19879098035774</v>
      </c>
      <c r="P42" s="57">
        <f t="shared" si="5"/>
        <v>104.12876919215232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-001</v>
      </c>
      <c r="J43" s="51">
        <f t="shared" si="1"/>
        <v>1.2580085874375828</v>
      </c>
      <c r="K43" s="51">
        <f t="shared" si="2"/>
        <v>2.0268143409184209</v>
      </c>
      <c r="L43" s="55">
        <f t="shared" si="3"/>
        <v>8.4801443268706402E-3</v>
      </c>
      <c r="M43" s="51">
        <f t="shared" si="4"/>
        <v>2.0183341965915504</v>
      </c>
      <c r="N43" s="94">
        <f t="shared" si="8"/>
        <v>18.113759091552037</v>
      </c>
      <c r="O43" s="56">
        <f t="shared" si="9"/>
        <v>106.36881987412903</v>
      </c>
      <c r="P43" s="57">
        <f t="shared" si="5"/>
        <v>104.31198181118562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 t="s">
        <v>83</v>
      </c>
      <c r="I44" s="86">
        <f>(1/$I$31)^(-1/$I$28)</f>
        <v>1.0036826209747351E+22</v>
      </c>
      <c r="J44" s="51">
        <f t="shared" si="1"/>
        <v>1.2507795641751378</v>
      </c>
      <c r="K44" s="51">
        <f t="shared" si="2"/>
        <v>2.0275206742754333</v>
      </c>
      <c r="L44" s="55">
        <f t="shared" si="3"/>
        <v>8.4105407374687503E-3</v>
      </c>
      <c r="M44" s="51">
        <f t="shared" si="4"/>
        <v>2.0191101335379646</v>
      </c>
      <c r="N44" s="94">
        <f t="shared" si="8"/>
        <v>17.81474311014831</v>
      </c>
      <c r="O44" s="56">
        <f t="shared" si="9"/>
        <v>106.54195809907422</v>
      </c>
      <c r="P44" s="57">
        <f t="shared" si="5"/>
        <v>104.49851853415606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10.234577187497061</v>
      </c>
      <c r="J45" s="51">
        <f t="shared" si="1"/>
        <v>1.2434281708542065</v>
      </c>
      <c r="K45" s="51">
        <f t="shared" si="2"/>
        <v>2.0282389641653089</v>
      </c>
      <c r="L45" s="55">
        <f t="shared" si="3"/>
        <v>8.3400059356240827E-3</v>
      </c>
      <c r="M45" s="51">
        <f t="shared" si="4"/>
        <v>2.0198989582296849</v>
      </c>
      <c r="N45" s="94">
        <f t="shared" si="8"/>
        <v>17.51572712874459</v>
      </c>
      <c r="O45" s="56">
        <f t="shared" si="9"/>
        <v>106.71831615838128</v>
      </c>
      <c r="P45" s="57">
        <f t="shared" si="5"/>
        <v>104.68849543153073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1.2359501931700367</v>
      </c>
      <c r="K46" s="51">
        <f t="shared" si="2"/>
        <v>2.028969622359309</v>
      </c>
      <c r="L46" s="55">
        <f t="shared" si="3"/>
        <v>8.2685186823646326E-3</v>
      </c>
      <c r="M46" s="51">
        <f t="shared" si="4"/>
        <v>2.0207011036769442</v>
      </c>
      <c r="N46" s="94">
        <f t="shared" si="8"/>
        <v>17.216711147340856</v>
      </c>
      <c r="O46" s="56">
        <f t="shared" si="9"/>
        <v>106.89801045464858</v>
      </c>
      <c r="P46" s="57">
        <f t="shared" si="5"/>
        <v>104.88203461493167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1.2283411952929764</v>
      </c>
      <c r="K47" s="51">
        <f t="shared" si="2"/>
        <v>2.0297130822734473</v>
      </c>
      <c r="L47" s="55">
        <f t="shared" si="3"/>
        <v>8.1960573345171636E-3</v>
      </c>
      <c r="M47" s="51">
        <f t="shared" si="4"/>
        <v>2.0215170249389303</v>
      </c>
      <c r="N47" s="94">
        <f t="shared" si="8"/>
        <v>16.917695165937126</v>
      </c>
      <c r="O47" s="56">
        <f t="shared" si="9"/>
        <v>107.08116371382336</v>
      </c>
      <c r="P47" s="57">
        <f t="shared" si="5"/>
        <v>105.07926465701121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1.2205965040652229</v>
      </c>
      <c r="K48" s="51">
        <f t="shared" si="2"/>
        <v>2.0304698005125958</v>
      </c>
      <c r="L48" s="55">
        <f t="shared" si="3"/>
        <v>8.1225998777219501E-3</v>
      </c>
      <c r="M48" s="51">
        <f t="shared" si="4"/>
        <v>2.0223472006348739</v>
      </c>
      <c r="N48" s="94">
        <f t="shared" si="8"/>
        <v>16.618679184533399</v>
      </c>
      <c r="O48" s="56">
        <f t="shared" si="9"/>
        <v>107.2679054477171</v>
      </c>
      <c r="P48" s="57">
        <f t="shared" si="5"/>
        <v>105.28032104796391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1.2127111917627191</v>
      </c>
      <c r="K49" s="51">
        <f t="shared" si="2"/>
        <v>2.0312402585547842</v>
      </c>
      <c r="L49" s="55">
        <f t="shared" si="3"/>
        <v>8.048123969083075E-3</v>
      </c>
      <c r="M49" s="51">
        <f t="shared" si="4"/>
        <v>2.0231921345857011</v>
      </c>
      <c r="N49" s="94">
        <f t="shared" si="8"/>
        <v>16.319663203129672</v>
      </c>
      <c r="O49" s="56">
        <f t="shared" si="9"/>
        <v>107.45837245937297</v>
      </c>
      <c r="P49" s="57">
        <f t="shared" si="5"/>
        <v>105.48534669253408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1.2046800572629668</v>
      </c>
      <c r="K50" s="51">
        <f t="shared" si="2"/>
        <v>2.0320249645912547</v>
      </c>
      <c r="L50" s="55">
        <f t="shared" si="3"/>
        <v>7.9726069913671916E-3</v>
      </c>
      <c r="M50" s="51">
        <f t="shared" si="4"/>
        <v>2.0240523575998877</v>
      </c>
      <c r="N50" s="94">
        <f t="shared" si="8"/>
        <v>16.020647221725941</v>
      </c>
      <c r="O50" s="56">
        <f t="shared" si="9"/>
        <v>107.65270939612215</v>
      </c>
      <c r="P50" s="57">
        <f t="shared" si="5"/>
        <v>105.69449245185271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1.196497605438525</v>
      </c>
      <c r="K51" s="51">
        <f t="shared" si="2"/>
        <v>2.0328244555398829</v>
      </c>
      <c r="L51" s="55">
        <f t="shared" si="3"/>
        <v>7.8960261210390455E-3</v>
      </c>
      <c r="M51" s="51">
        <f t="shared" si="4"/>
        <v>2.0249284294188437</v>
      </c>
      <c r="N51" s="94">
        <f t="shared" si="8"/>
        <v>15.721631240322209</v>
      </c>
      <c r="O51" s="56">
        <f t="shared" si="9"/>
        <v>107.851069355815</v>
      </c>
      <c r="P51" s="57">
        <f t="shared" si="5"/>
        <v>105.90791773498459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1.1881580245717305</v>
      </c>
      <c r="K52" s="51">
        <f t="shared" si="2"/>
        <v>2.0336392992519401</v>
      </c>
      <c r="L52" s="55">
        <f t="shared" si="3"/>
        <v>7.8183584128750372E-3</v>
      </c>
      <c r="M52" s="51">
        <f t="shared" si="4"/>
        <v>2.0258209408390648</v>
      </c>
      <c r="N52" s="94">
        <f t="shared" si="8"/>
        <v>15.422615258918489</v>
      </c>
      <c r="O52" s="56">
        <f t="shared" si="9"/>
        <v>108.05361455245816</v>
      </c>
      <c r="P52" s="57">
        <f t="shared" si="5"/>
        <v>106.12579114568877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1.1796551615581448</v>
      </c>
      <c r="K53" s="51">
        <f t="shared" si="2"/>
        <v>2.0344700969349137</v>
      </c>
      <c r="L53" s="55">
        <f t="shared" si="3"/>
        <v>7.7395809044441509E-3</v>
      </c>
      <c r="M53" s="51">
        <f t="shared" si="4"/>
        <v>2.0267305160304696</v>
      </c>
      <c r="N53" s="94">
        <f t="shared" si="8"/>
        <v>15.123599277514757</v>
      </c>
      <c r="O53" s="56">
        <f t="shared" si="9"/>
        <v>108.26051704835879</v>
      </c>
      <c r="P53" s="57">
        <f t="shared" si="5"/>
        <v>106.34829119061129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1.1709824946337357</v>
      </c>
      <c r="K54" s="51">
        <f t="shared" si="2"/>
        <v>2.0353174858172802</v>
      </c>
      <c r="L54" s="55">
        <f t="shared" si="3"/>
        <v>7.65967074440972E-3</v>
      </c>
      <c r="M54" s="51">
        <f t="shared" si="4"/>
        <v>2.0276578150728706</v>
      </c>
      <c r="N54" s="94">
        <f t="shared" si="8"/>
        <v>14.824583296111024</v>
      </c>
      <c r="O54" s="56">
        <f t="shared" si="9"/>
        <v>108.4719595608847</v>
      </c>
      <c r="P54" s="57">
        <f t="shared" si="5"/>
        <v>106.57560705595516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1.162133103322984</v>
      </c>
      <c r="K55" s="51">
        <f t="shared" si="2"/>
        <v>2.0361821420848165</v>
      </c>
      <c r="L55" s="55">
        <f t="shared" si="3"/>
        <v>7.5786053494125436E-3</v>
      </c>
      <c r="M55" s="51">
        <f t="shared" si="4"/>
        <v>2.0286035367354041</v>
      </c>
      <c r="N55" s="94">
        <f t="shared" si="8"/>
        <v>14.525567314707299</v>
      </c>
      <c r="O55" s="56">
        <f t="shared" si="9"/>
        <v>108.68813635312007</v>
      </c>
      <c r="P55" s="57">
        <f t="shared" si="5"/>
        <v>106.80793946061758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1.1530996352610121</v>
      </c>
      <c r="K56" s="51">
        <f t="shared" si="2"/>
        <v>2.0370647841223408</v>
      </c>
      <c r="L56" s="55">
        <f t="shared" si="3"/>
        <v>7.4963625952783842E-3</v>
      </c>
      <c r="M56" s="51">
        <f t="shared" si="4"/>
        <v>2.0295684215270624</v>
      </c>
      <c r="N56" s="94">
        <f t="shared" si="8"/>
        <v>14.22655133330357</v>
      </c>
      <c r="O56" s="56">
        <f t="shared" si="9"/>
        <v>108.90925421907176</v>
      </c>
      <c r="P56" s="57">
        <f t="shared" si="5"/>
        <v>107.04550159488244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1.1438742694912392</v>
      </c>
      <c r="K57" s="51">
        <f t="shared" si="2"/>
        <v>2.0379661760998271</v>
      </c>
      <c r="L57" s="55">
        <f t="shared" si="3"/>
        <v>7.4129210494922647E-3</v>
      </c>
      <c r="M57" s="51">
        <f t="shared" si="4"/>
        <v>2.0305532550503349</v>
      </c>
      <c r="N57" s="94">
        <f t="shared" si="8"/>
        <v>13.927535351899841</v>
      </c>
      <c r="O57" s="56">
        <f t="shared" si="9"/>
        <v>109.13553357568834</v>
      </c>
      <c r="P57" s="57">
        <f t="shared" si="5"/>
        <v>107.28852015502819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1.1344486757795007</v>
      </c>
      <c r="K58" s="51">
        <f t="shared" si="2"/>
        <v>2.0388871319477397</v>
      </c>
      <c r="L58" s="55">
        <f t="shared" si="3"/>
        <v>7.3282602533491737E-3</v>
      </c>
      <c r="M58" s="51">
        <f t="shared" si="4"/>
        <v>2.0315588716943904</v>
      </c>
      <c r="N58" s="94">
        <f t="shared" si="8"/>
        <v>13.628519370496115</v>
      </c>
      <c r="O58" s="56">
        <f t="shared" si="9"/>
        <v>109.36720967584463</v>
      </c>
      <c r="P58" s="57">
        <f t="shared" si="5"/>
        <v>107.53723648568406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1.1248139694142765</v>
      </c>
      <c r="K59" s="51">
        <f t="shared" si="2"/>
        <v>2.0398285197734127</v>
      </c>
      <c r="L59" s="55">
        <f t="shared" si="3"/>
        <v>7.2423610639903583E-3</v>
      </c>
      <c r="M59" s="51">
        <f t="shared" si="4"/>
        <v>2.0325861587094223</v>
      </c>
      <c r="N59" s="94">
        <f t="shared" si="8"/>
        <v>13.329503389092389</v>
      </c>
      <c r="O59" s="56">
        <f t="shared" si="9"/>
        <v>109.60453395867629</v>
      </c>
      <c r="P59" s="57">
        <f t="shared" si="5"/>
        <v>107.79190784348908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1.1149606608784046</v>
      </c>
      <c r="K60" s="51">
        <f t="shared" si="2"/>
        <v>2.0407912667785268</v>
      </c>
      <c r="L60" s="55">
        <f t="shared" si="3"/>
        <v>7.1552060687466411E-3</v>
      </c>
      <c r="M60" s="51">
        <f t="shared" si="4"/>
        <v>2.0336360607097803</v>
      </c>
      <c r="N60" s="94">
        <f t="shared" si="8"/>
        <v>13.030487407688653</v>
      </c>
      <c r="O60" s="56">
        <f t="shared" si="9"/>
        <v>109.8477755562934</v>
      </c>
      <c r="P60" s="57">
        <f t="shared" si="5"/>
        <v>108.05280879761648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1.1048785996777644</v>
      </c>
      <c r="K61" s="51">
        <f t="shared" si="2"/>
        <v>2.041776364747494</v>
      </c>
      <c r="L61" s="55">
        <f t="shared" si="3"/>
        <v>7.0667800869367893E-3</v>
      </c>
      <c r="M61" s="51">
        <f t="shared" si="4"/>
        <v>2.0347095846605572</v>
      </c>
      <c r="N61" s="94">
        <f t="shared" si="8"/>
        <v>12.73147142628493</v>
      </c>
      <c r="O61" s="56">
        <f t="shared" si="9"/>
        <v>110.09722297903635</v>
      </c>
      <c r="P61" s="57">
        <f t="shared" si="5"/>
        <v>108.32023278507974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1.0945569114934917</v>
      </c>
      <c r="K62" s="51">
        <f t="shared" si="2"/>
        <v>2.0427848761881897</v>
      </c>
      <c r="L62" s="55">
        <f t="shared" si="3"/>
        <v>6.9770707776373852E-3</v>
      </c>
      <c r="M62" s="51">
        <f t="shared" si="4"/>
        <v>2.0358078054105522</v>
      </c>
      <c r="N62" s="94">
        <f t="shared" si="8"/>
        <v>12.432455444881203</v>
      </c>
      <c r="O62" s="56">
        <f t="shared" si="9"/>
        <v>110.35318600518818</v>
      </c>
      <c r="P62" s="57">
        <f t="shared" si="5"/>
        <v>108.59449384151097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1.0839839276822272</v>
      </c>
      <c r="K63" s="51">
        <f t="shared" si="2"/>
        <v>2.0438179412203419</v>
      </c>
      <c r="L63" s="55">
        <f t="shared" si="3"/>
        <v>6.8860693761121864E-3</v>
      </c>
      <c r="M63" s="51">
        <f t="shared" si="4"/>
        <v>2.0369318718442297</v>
      </c>
      <c r="N63" s="94">
        <f t="shared" si="8"/>
        <v>12.133439463477471</v>
      </c>
      <c r="O63" s="56">
        <f t="shared" si="9"/>
        <v>110.61599780553605</v>
      </c>
      <c r="P63" s="57">
        <f t="shared" si="5"/>
        <v>108.87592853136618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1.0731471059784405</v>
      </c>
      <c r="K64" s="51">
        <f t="shared" si="2"/>
        <v>2.0448767853235474</v>
      </c>
      <c r="L64" s="55">
        <f t="shared" si="3"/>
        <v>6.7937715867669628E-3</v>
      </c>
      <c r="M64" s="51">
        <f t="shared" si="4"/>
        <v>2.0380830137367805</v>
      </c>
      <c r="N64" s="94">
        <f t="shared" si="8"/>
        <v>11.83442348207374</v>
      </c>
      <c r="O64" s="56">
        <f t="shared" si="9"/>
        <v>110.88601733857006</v>
      </c>
      <c r="P64" s="57">
        <f t="shared" si="5"/>
        <v>109.16489810539396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1.062032941047524</v>
      </c>
      <c r="K65" s="51">
        <f t="shared" si="2"/>
        <v>2.0459627280769515</v>
      </c>
      <c r="L65" s="55">
        <f t="shared" si="3"/>
        <v>6.7001786669374759E-3</v>
      </c>
      <c r="M65" s="51">
        <f t="shared" si="4"/>
        <v>2.0392625494100138</v>
      </c>
      <c r="N65" s="94">
        <f t="shared" si="8"/>
        <v>11.535407500670011</v>
      </c>
      <c r="O65" s="56">
        <f t="shared" si="9"/>
        <v>111.16363205861455</v>
      </c>
      <c r="P65" s="57">
        <f t="shared" si="5"/>
        <v>109.46179091781573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1.0506268632898232</v>
      </c>
      <c r="K66" s="51">
        <f t="shared" ref="K66:K129" si="11">+$I$14+$I$13*J66</f>
        <v>2.0470771930469001</v>
      </c>
      <c r="L66" s="55">
        <f t="shared" ref="L66:L129" si="12">SQRT(2*$I$20*$I$17)*SQRT((1/$I$2)+((J66-$I$11)^2/$I$8))</f>
        <v>6.605298743848461E-3</v>
      </c>
      <c r="M66" s="51">
        <f t="shared" ref="M66:M102" si="13">+$I$14+$I$13*J66-L66</f>
        <v>2.0404718943030518</v>
      </c>
      <c r="N66" s="94">
        <f t="shared" si="8"/>
        <v>11.236391519266279</v>
      </c>
      <c r="O66" s="56">
        <f t="shared" si="9"/>
        <v>111.44926098708585</v>
      </c>
      <c r="P66" s="57">
        <f t="shared" ref="P66:P102" si="14">10^M66</f>
        <v>109.76702514118163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1.0389131239936111</v>
      </c>
      <c r="K67" s="51">
        <f t="shared" si="11"/>
        <v>2.0482217190084144</v>
      </c>
      <c r="L67" s="55">
        <f t="shared" si="12"/>
        <v>6.5091484171106023E-3</v>
      </c>
      <c r="M67" s="51">
        <f t="shared" si="13"/>
        <v>2.041712570591304</v>
      </c>
      <c r="N67" s="94">
        <f t="shared" ref="N67:N101" si="15">10^$J67</f>
        <v>10.937375537862561</v>
      </c>
      <c r="O67" s="56">
        <f t="shared" ref="O67:O102" si="16">10^K67</f>
        <v>111.74335820669737</v>
      </c>
      <c r="P67" s="57">
        <f t="shared" si="14"/>
        <v>110.08105182350427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1.0268746645657916</v>
      </c>
      <c r="K68" s="51">
        <f t="shared" si="11"/>
        <v>2.0493979727223954</v>
      </c>
      <c r="L68" s="55">
        <f t="shared" si="12"/>
        <v>6.4117547116671527E-3</v>
      </c>
      <c r="M68" s="51">
        <f t="shared" si="13"/>
        <v>2.0429862180107281</v>
      </c>
      <c r="N68" s="94">
        <f t="shared" si="15"/>
        <v>10.638359556458829</v>
      </c>
      <c r="O68" s="56">
        <f t="shared" si="16"/>
        <v>112.04641685021768</v>
      </c>
      <c r="P68" s="57">
        <f t="shared" si="14"/>
        <v>110.40435834028978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1.0144929671156793</v>
      </c>
      <c r="K69" s="51">
        <f t="shared" si="11"/>
        <v>2.0506077635347837</v>
      </c>
      <c r="L69" s="55">
        <f t="shared" si="12"/>
        <v>6.3131574618117631E-3</v>
      </c>
      <c r="M69" s="51">
        <f t="shared" si="13"/>
        <v>2.0442946060729721</v>
      </c>
      <c r="N69" s="94">
        <f t="shared" si="15"/>
        <v>10.339343575055098</v>
      </c>
      <c r="O69" s="56">
        <f t="shared" si="16"/>
        <v>112.35897366990903</v>
      </c>
      <c r="P69" s="57">
        <f t="shared" si="14"/>
        <v>110.73747230384716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1.0017478831072135</v>
      </c>
      <c r="K70" s="51">
        <f t="shared" si="11"/>
        <v>2.0518530601186074</v>
      </c>
      <c r="L70" s="55">
        <f t="shared" si="12"/>
        <v>6.2134122265846206E-3</v>
      </c>
      <c r="M70" s="51">
        <f t="shared" si="13"/>
        <v>2.0456396478920227</v>
      </c>
      <c r="N70" s="94">
        <f t="shared" si="15"/>
        <v>10.040327593651369</v>
      </c>
      <c r="O70" s="56">
        <f t="shared" si="16"/>
        <v>112.68161429173996</v>
      </c>
      <c r="P70" s="57">
        <f t="shared" si="14"/>
        <v>111.08096600421817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0.98861743609949604</v>
      </c>
      <c r="K71" s="51">
        <f t="shared" si="11"/>
        <v>2.0531360097478073</v>
      </c>
      <c r="L71" s="55">
        <f t="shared" si="12"/>
        <v>6.1125938615204569E-3</v>
      </c>
      <c r="M71" s="51">
        <f t="shared" si="13"/>
        <v>2.047023415886287</v>
      </c>
      <c r="N71" s="94">
        <f t="shared" si="15"/>
        <v>9.7413116122476424</v>
      </c>
      <c r="O71" s="56">
        <f t="shared" si="16"/>
        <v>113.01497928085202</v>
      </c>
      <c r="P71" s="57">
        <f t="shared" si="14"/>
        <v>111.43546147085668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0.97507759372648606</v>
      </c>
      <c r="K72" s="51">
        <f t="shared" si="11"/>
        <v>2.0544589605766457</v>
      </c>
      <c r="L72" s="55">
        <f t="shared" si="12"/>
        <v>6.010800902599144E-3</v>
      </c>
      <c r="M72" s="51">
        <f t="shared" si="13"/>
        <v>2.0484481596740465</v>
      </c>
      <c r="N72" s="94">
        <f t="shared" si="15"/>
        <v>9.4422956308439137</v>
      </c>
      <c r="O72" s="56">
        <f t="shared" si="16"/>
        <v>113.35977117280069</v>
      </c>
      <c r="P72" s="57">
        <f t="shared" si="14"/>
        <v>111.80163626261198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0.96110200297378356</v>
      </c>
      <c r="K73" s="51">
        <f t="shared" si="11"/>
        <v>2.0558244875052787</v>
      </c>
      <c r="L73" s="55">
        <f t="shared" si="12"/>
        <v>5.9081609568172443E-3</v>
      </c>
      <c r="M73" s="51">
        <f t="shared" si="13"/>
        <v>2.0499163265484612</v>
      </c>
      <c r="N73" s="94">
        <f t="shared" si="15"/>
        <v>9.1432796494401867</v>
      </c>
      <c r="O73" s="56">
        <f t="shared" si="16"/>
        <v>113.71676266045574</v>
      </c>
      <c r="P73" s="57">
        <f t="shared" si="14"/>
        <v>112.18023011679878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0.94666168142661899</v>
      </c>
      <c r="K74" s="51">
        <f t="shared" si="11"/>
        <v>2.0572354223472971</v>
      </c>
      <c r="L74" s="55">
        <f t="shared" si="12"/>
        <v>5.8048373417896688E-3</v>
      </c>
      <c r="M74" s="51">
        <f t="shared" si="13"/>
        <v>2.0514305850055075</v>
      </c>
      <c r="N74" s="94">
        <f t="shared" si="15"/>
        <v>8.8442636680364615</v>
      </c>
      <c r="O74" s="56">
        <f t="shared" si="16"/>
        <v>114.08680617135752</v>
      </c>
      <c r="P74" s="57">
        <f t="shared" si="14"/>
        <v>112.57205261773231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0.93172465539834259</v>
      </c>
      <c r="K75" s="51">
        <f t="shared" si="11"/>
        <v>2.0586948891874632</v>
      </c>
      <c r="L75" s="55">
        <f t="shared" si="12"/>
        <v>5.7010372761502875E-3</v>
      </c>
      <c r="M75" s="51">
        <f t="shared" si="13"/>
        <v>2.0529938519113129</v>
      </c>
      <c r="N75" s="94">
        <f t="shared" si="15"/>
        <v>8.5452476866327309</v>
      </c>
      <c r="O75" s="56">
        <f t="shared" si="16"/>
        <v>114.47084512776901</v>
      </c>
      <c r="P75" s="57">
        <f t="shared" si="14"/>
        <v>112.97799208331222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0.91625553358062306</v>
      </c>
      <c r="K76" s="51">
        <f t="shared" si="11"/>
        <v>2.0602063460394979</v>
      </c>
      <c r="L76" s="55">
        <f t="shared" si="12"/>
        <v>5.5970219952846071E-3</v>
      </c>
      <c r="M76" s="51">
        <f t="shared" si="13"/>
        <v>2.0546093240442134</v>
      </c>
      <c r="N76" s="94">
        <f t="shared" si="15"/>
        <v>8.2462317052290022</v>
      </c>
      <c r="O76" s="56">
        <f t="shared" si="16"/>
        <v>114.86992725572016</v>
      </c>
      <c r="P76" s="57">
        <f t="shared" si="14"/>
        <v>113.3990259182698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0.90021500191778225</v>
      </c>
      <c r="K77" s="51">
        <f t="shared" si="11"/>
        <v>2.0617736342008923</v>
      </c>
      <c r="L77" s="55">
        <f t="shared" si="12"/>
        <v>5.4931192549498133E-3</v>
      </c>
      <c r="M77" s="51">
        <f t="shared" si="13"/>
        <v>2.0562805149459424</v>
      </c>
      <c r="N77" s="94">
        <f t="shared" si="15"/>
        <v>7.9472157238252734</v>
      </c>
      <c r="O77" s="56">
        <f t="shared" si="16"/>
        <v>115.28522040559642</v>
      </c>
      <c r="P77" s="57">
        <f t="shared" si="14"/>
        <v>113.83623274918745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0.88355922156651545</v>
      </c>
      <c r="K78" s="51">
        <f t="shared" si="11"/>
        <v>2.0634010370770577</v>
      </c>
      <c r="L78" s="55">
        <f t="shared" si="12"/>
        <v>5.3897387897676504E-3</v>
      </c>
      <c r="M78" s="51">
        <f t="shared" si="13"/>
        <v>2.05801129828729</v>
      </c>
      <c r="N78" s="94">
        <f t="shared" si="15"/>
        <v>7.6481997424215411</v>
      </c>
      <c r="O78" s="56">
        <f t="shared" si="16"/>
        <v>115.71803147305985</v>
      </c>
      <c r="P78" s="57">
        <f t="shared" si="14"/>
        <v>114.29080674625673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0.8662391067344255</v>
      </c>
      <c r="K79" s="51">
        <f t="shared" si="11"/>
        <v>2.0650933507422717</v>
      </c>
      <c r="L79" s="55">
        <f t="shared" si="12"/>
        <v>5.2873914139398787E-3</v>
      </c>
      <c r="M79" s="51">
        <f t="shared" si="13"/>
        <v>2.0598059593283318</v>
      </c>
      <c r="N79" s="94">
        <f t="shared" si="15"/>
        <v>7.3491837610178132</v>
      </c>
      <c r="O79" s="56">
        <f t="shared" si="16"/>
        <v>116.16982917619445</v>
      </c>
      <c r="P79" s="57">
        <f t="shared" si="14"/>
        <v>114.76407466016801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0.84819945243729067</v>
      </c>
      <c r="K80" s="51">
        <f t="shared" si="11"/>
        <v>2.066855969164767</v>
      </c>
      <c r="L80" s="55">
        <f t="shared" si="12"/>
        <v>5.1867125842218042E-3</v>
      </c>
      <c r="M80" s="51">
        <f t="shared" si="13"/>
        <v>2.061669256580545</v>
      </c>
      <c r="N80" s="94">
        <f t="shared" si="15"/>
        <v>7.0501677796140871</v>
      </c>
      <c r="O80" s="56">
        <f t="shared" si="16"/>
        <v>116.64227166825967</v>
      </c>
      <c r="P80" s="57">
        <f t="shared" si="14"/>
        <v>115.25751627495478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0.82937787311753575</v>
      </c>
      <c r="K81" s="51">
        <f t="shared" si="11"/>
        <v>2.0686949879121901</v>
      </c>
      <c r="L81" s="55">
        <f t="shared" si="12"/>
        <v>5.0884913811181688E-3</v>
      </c>
      <c r="M81" s="51">
        <f t="shared" si="13"/>
        <v>2.0636064965310719</v>
      </c>
      <c r="N81" s="94">
        <f t="shared" si="15"/>
        <v>6.7511517982103566</v>
      </c>
      <c r="O81" s="56">
        <f t="shared" si="16"/>
        <v>117.13724026758014</v>
      </c>
      <c r="P81" s="57">
        <f t="shared" si="14"/>
        <v>115.77278922237993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0.80970350066807939</v>
      </c>
      <c r="K82" s="51">
        <f t="shared" si="11"/>
        <v>2.0706173313650775</v>
      </c>
      <c r="L82" s="55">
        <f t="shared" si="12"/>
        <v>4.9937059856326686E-3</v>
      </c>
      <c r="M82" s="51">
        <f t="shared" si="13"/>
        <v>2.0656236253794447</v>
      </c>
      <c r="N82" s="94">
        <f t="shared" si="15"/>
        <v>6.4521358168066287</v>
      </c>
      <c r="O82" s="56">
        <f t="shared" si="16"/>
        <v>117.65688099946409</v>
      </c>
      <c r="P82" s="57">
        <f t="shared" si="14"/>
        <v>116.31175945608807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0.78909537329498824</v>
      </c>
      <c r="K83" s="51">
        <f t="shared" si="11"/>
        <v>2.0726309101378546</v>
      </c>
      <c r="L83" s="55">
        <f t="shared" si="12"/>
        <v>4.9035668052430682E-3</v>
      </c>
      <c r="M83" s="51">
        <f t="shared" si="13"/>
        <v>2.0677273433326113</v>
      </c>
      <c r="N83" s="94">
        <f t="shared" si="15"/>
        <v>6.1531198354029017</v>
      </c>
      <c r="O83" s="56">
        <f t="shared" si="16"/>
        <v>118.20365621777754</v>
      </c>
      <c r="P83" s="57">
        <f t="shared" si="14"/>
        <v>116.87653919836976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0.76746042271319626</v>
      </c>
      <c r="K84" s="51">
        <f t="shared" si="11"/>
        <v>2.0747448177459016</v>
      </c>
      <c r="L84" s="55">
        <f t="shared" si="12"/>
        <v>4.8195683876516683E-3</v>
      </c>
      <c r="M84" s="51">
        <f t="shared" si="13"/>
        <v>2.0699252493582501</v>
      </c>
      <c r="N84" s="94">
        <f t="shared" si="15"/>
        <v>5.8541038539991712</v>
      </c>
      <c r="O84" s="56">
        <f t="shared" si="16"/>
        <v>118.78040937842795</v>
      </c>
      <c r="P84" s="57">
        <f t="shared" si="14"/>
        <v>117.46953493114039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0.7446909331745416</v>
      </c>
      <c r="K85" s="51">
        <f t="shared" si="11"/>
        <v>2.0769695788788254</v>
      </c>
      <c r="L85" s="55">
        <f t="shared" si="12"/>
        <v>4.7435510927326266E-3</v>
      </c>
      <c r="M85" s="51">
        <f t="shared" si="13"/>
        <v>2.0722260277860927</v>
      </c>
      <c r="N85" s="94">
        <f t="shared" si="15"/>
        <v>5.5550878725954451</v>
      </c>
      <c r="O85" s="56">
        <f t="shared" si="16"/>
        <v>119.39044718458399</v>
      </c>
      <c r="P85" s="57">
        <f t="shared" si="14"/>
        <v>118.09350912970963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0.7206612967599314</v>
      </c>
      <c r="K86" s="51">
        <f t="shared" si="11"/>
        <v>2.079317466434353</v>
      </c>
      <c r="L86" s="55">
        <f t="shared" si="12"/>
        <v>4.6777731082169966E-3</v>
      </c>
      <c r="M86" s="51">
        <f t="shared" si="13"/>
        <v>2.074639693326136</v>
      </c>
      <c r="N86" s="94">
        <f t="shared" si="15"/>
        <v>5.2560718911917181</v>
      </c>
      <c r="O86" s="56">
        <f t="shared" si="16"/>
        <v>120.03764498735761</v>
      </c>
      <c r="P86" s="57">
        <f t="shared" si="14"/>
        <v>118.75166111888824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0.6952238172661499</v>
      </c>
      <c r="K87" s="51">
        <f t="shared" si="11"/>
        <v>2.0818029115121286</v>
      </c>
      <c r="L87" s="55">
        <f t="shared" si="12"/>
        <v>4.6249927666728047E-3</v>
      </c>
      <c r="M87" s="51">
        <f t="shared" si="13"/>
        <v>2.077177918745456</v>
      </c>
      <c r="N87" s="94">
        <f t="shared" si="15"/>
        <v>4.9570559097879832</v>
      </c>
      <c r="O87" s="56">
        <f t="shared" si="16"/>
        <v>120.72658378232644</v>
      </c>
      <c r="P87" s="57">
        <f t="shared" si="14"/>
        <v>119.44773494223435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0.66820320695577473</v>
      </c>
      <c r="K88" s="51">
        <f t="shared" si="11"/>
        <v>2.084443041125239</v>
      </c>
      <c r="L88" s="55">
        <f t="shared" si="12"/>
        <v>4.5885603503005856E-3</v>
      </c>
      <c r="M88" s="51">
        <f t="shared" si="13"/>
        <v>2.0798544807749386</v>
      </c>
      <c r="N88" s="94">
        <f t="shared" si="15"/>
        <v>4.6580399283842562</v>
      </c>
      <c r="O88" s="56">
        <f t="shared" si="16"/>
        <v>121.46273084268772</v>
      </c>
      <c r="P88" s="57">
        <f t="shared" si="14"/>
        <v>120.1861658877242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0.63938925488896969</v>
      </c>
      <c r="K89" s="51">
        <f t="shared" si="11"/>
        <v>2.0872583945628005</v>
      </c>
      <c r="L89" s="55">
        <f t="shared" si="12"/>
        <v>4.5725180468104091E-3</v>
      </c>
      <c r="M89" s="51">
        <f t="shared" si="13"/>
        <v>2.0826858765159901</v>
      </c>
      <c r="N89" s="94">
        <f t="shared" si="15"/>
        <v>4.3590239469805283</v>
      </c>
      <c r="O89" s="56">
        <f t="shared" si="16"/>
        <v>122.25268172888632</v>
      </c>
      <c r="P89" s="57">
        <f t="shared" si="14"/>
        <v>120.97228292905804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0.60852688564681356</v>
      </c>
      <c r="K90" s="51">
        <f t="shared" si="11"/>
        <v>2.0902738947321535</v>
      </c>
      <c r="L90" s="55">
        <f t="shared" si="12"/>
        <v>4.5817073764563843E-3</v>
      </c>
      <c r="M90" s="51">
        <f t="shared" si="13"/>
        <v>2.0856921873556971</v>
      </c>
      <c r="N90" s="94">
        <f t="shared" si="15"/>
        <v>4.0600079655767987</v>
      </c>
      <c r="O90" s="56">
        <f t="shared" si="16"/>
        <v>123.10449041222545</v>
      </c>
      <c r="P90" s="57">
        <f t="shared" si="14"/>
        <v>121.81259281039127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0.57530240780870245</v>
      </c>
      <c r="K91" s="51">
        <f t="shared" si="11"/>
        <v>2.0935201917925439</v>
      </c>
      <c r="L91" s="55">
        <f t="shared" si="12"/>
        <v>4.621887018983104E-3</v>
      </c>
      <c r="M91" s="51">
        <f t="shared" si="13"/>
        <v>2.088898304773561</v>
      </c>
      <c r="N91" s="94">
        <f t="shared" si="15"/>
        <v>3.7609919841730708</v>
      </c>
      <c r="O91" s="56">
        <f t="shared" si="16"/>
        <v>124.02812885738702</v>
      </c>
      <c r="P91" s="57">
        <f t="shared" si="14"/>
        <v>122.71518452893773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0.53932405316936483</v>
      </c>
      <c r="K92" s="51">
        <f t="shared" si="11"/>
        <v>2.0970355646291758</v>
      </c>
      <c r="L92" s="55">
        <f t="shared" si="12"/>
        <v>4.6998733747563312E-3</v>
      </c>
      <c r="M92" s="51">
        <f t="shared" si="13"/>
        <v>2.0923356912544193</v>
      </c>
      <c r="N92" s="94">
        <f t="shared" si="15"/>
        <v>3.4619760027693434</v>
      </c>
      <c r="O92" s="56">
        <f t="shared" si="16"/>
        <v>125.03614188533552</v>
      </c>
      <c r="P92" s="57">
        <f t="shared" si="14"/>
        <v>123.69031378150682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0.50009370263022368</v>
      </c>
      <c r="K93" s="51">
        <f t="shared" si="11"/>
        <v>2.1008686834596308</v>
      </c>
      <c r="L93" s="55">
        <f t="shared" si="12"/>
        <v>4.8237353869023001E-3</v>
      </c>
      <c r="M93" s="51">
        <f t="shared" si="13"/>
        <v>2.0960449480727283</v>
      </c>
      <c r="N93" s="94">
        <f t="shared" si="15"/>
        <v>3.1629600213656177</v>
      </c>
      <c r="O93" s="56">
        <f t="shared" si="16"/>
        <v>126.14460566192885</v>
      </c>
      <c r="P93" s="57">
        <f t="shared" si="14"/>
        <v>124.7512621078873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0.45696452782115526</v>
      </c>
      <c r="K94" s="51">
        <f t="shared" si="11"/>
        <v>2.10508274858601</v>
      </c>
      <c r="L94" s="55">
        <f t="shared" si="12"/>
        <v>5.0031094717319941E-3</v>
      </c>
      <c r="M94" s="51">
        <f t="shared" si="13"/>
        <v>2.100079639114278</v>
      </c>
      <c r="N94" s="94">
        <f t="shared" si="15"/>
        <v>2.8639440399618867</v>
      </c>
      <c r="O94" s="56">
        <f t="shared" si="16"/>
        <v>127.37457518854889</v>
      </c>
      <c r="P94" s="57">
        <f t="shared" si="14"/>
        <v>125.91562894637698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0.40907518846952234</v>
      </c>
      <c r="K95" s="51">
        <f t="shared" si="11"/>
        <v>2.1097619198379634</v>
      </c>
      <c r="L95" s="55">
        <f t="shared" si="12"/>
        <v>5.2497583927182921E-3</v>
      </c>
      <c r="M95" s="51">
        <f t="shared" si="13"/>
        <v>2.1045121614452449</v>
      </c>
      <c r="N95" s="94">
        <f t="shared" si="15"/>
        <v>2.5649280585581593</v>
      </c>
      <c r="O95" s="56">
        <f t="shared" si="16"/>
        <v>128.75435270442455</v>
      </c>
      <c r="P95" s="57">
        <f t="shared" si="14"/>
        <v>127.20733711554786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0.35524305418250768</v>
      </c>
      <c r="K96" s="51">
        <f t="shared" si="11"/>
        <v>2.1150217496580734</v>
      </c>
      <c r="L96" s="55">
        <f t="shared" si="12"/>
        <v>5.578598891344694E-3</v>
      </c>
      <c r="M96" s="51">
        <f t="shared" si="13"/>
        <v>2.1094431507667286</v>
      </c>
      <c r="N96" s="94">
        <f t="shared" si="15"/>
        <v>2.2659120771544328</v>
      </c>
      <c r="O96" s="56">
        <f t="shared" si="16"/>
        <v>130.32320432501791</v>
      </c>
      <c r="P96" s="57">
        <f t="shared" si="14"/>
        <v>128.6598825966465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0.29378141826504356</v>
      </c>
      <c r="K97" s="51">
        <f t="shared" si="11"/>
        <v>2.1210270427729223</v>
      </c>
      <c r="L97" s="55">
        <f t="shared" si="12"/>
        <v>6.0096201076357122E-3</v>
      </c>
      <c r="M97" s="51">
        <f t="shared" si="13"/>
        <v>2.1150174226652867</v>
      </c>
      <c r="N97" s="94">
        <f t="shared" si="15"/>
        <v>1.966896095750702</v>
      </c>
      <c r="O97" s="56">
        <f t="shared" si="16"/>
        <v>132.13779115623666</v>
      </c>
      <c r="P97" s="57">
        <f t="shared" si="14"/>
        <v>130.32190588633318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0.22216483074492174</v>
      </c>
      <c r="K98" s="51">
        <f t="shared" si="11"/>
        <v>2.1280245558316553</v>
      </c>
      <c r="L98" s="55">
        <f t="shared" si="12"/>
        <v>6.5715626883485131E-3</v>
      </c>
      <c r="M98" s="51">
        <f t="shared" si="13"/>
        <v>2.1214529931433068</v>
      </c>
      <c r="N98" s="94">
        <f t="shared" si="15"/>
        <v>1.6678801143469748</v>
      </c>
      <c r="O98" s="56">
        <f t="shared" si="16"/>
        <v>134.2840885755605</v>
      </c>
      <c r="P98" s="57">
        <f t="shared" si="14"/>
        <v>132.26745375577067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0.13636034423240601</v>
      </c>
      <c r="K99" s="51">
        <f t="shared" si="11"/>
        <v>2.1364083400310978</v>
      </c>
      <c r="L99" s="55">
        <f t="shared" si="12"/>
        <v>7.3094023595220116E-3</v>
      </c>
      <c r="M99" s="51">
        <f t="shared" si="13"/>
        <v>2.1290989376715759</v>
      </c>
      <c r="N99" s="94">
        <f t="shared" si="15"/>
        <v>1.3688641329432478</v>
      </c>
      <c r="O99" s="56">
        <f t="shared" si="16"/>
        <v>136.90154205156591</v>
      </c>
      <c r="P99" s="57">
        <f t="shared" si="14"/>
        <v>134.61669926703567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2.9322140649387322E-2</v>
      </c>
      <c r="K100" s="51">
        <f t="shared" si="11"/>
        <v>2.146866828117326</v>
      </c>
      <c r="L100" s="55">
        <f t="shared" si="12"/>
        <v>8.3012543763797929E-3</v>
      </c>
      <c r="M100" s="51">
        <f t="shared" si="13"/>
        <v>2.1385655737409461</v>
      </c>
      <c r="N100" s="94">
        <f t="shared" si="15"/>
        <v>1.0698481515395137</v>
      </c>
      <c r="O100" s="56">
        <f t="shared" si="16"/>
        <v>140.23836122851796</v>
      </c>
      <c r="P100" s="57">
        <f t="shared" si="14"/>
        <v>137.58325303339922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-0.11304016866512022</v>
      </c>
      <c r="K101" s="51">
        <f t="shared" si="11"/>
        <v>2.1607767636922341</v>
      </c>
      <c r="L101" s="55">
        <f t="shared" si="12"/>
        <v>9.7036243317958019E-3</v>
      </c>
      <c r="M101" s="51">
        <f t="shared" si="13"/>
        <v>2.1510731393604385</v>
      </c>
      <c r="N101" s="94">
        <f t="shared" si="15"/>
        <v>0.77083217013578675</v>
      </c>
      <c r="O101" s="56">
        <f t="shared" si="16"/>
        <v>144.80273463377526</v>
      </c>
      <c r="P101" s="57">
        <f t="shared" si="14"/>
        <v>141.60322333010961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-0.32622716188962519</v>
      </c>
      <c r="K102" s="51">
        <f t="shared" si="11"/>
        <v>2.1816068370131858</v>
      </c>
      <c r="L102" s="55">
        <f t="shared" si="12"/>
        <v>1.1912675248703104E-2</v>
      </c>
      <c r="M102" s="51">
        <f t="shared" si="13"/>
        <v>2.1696941617644825</v>
      </c>
      <c r="N102" s="94">
        <f>10^$J102</f>
        <v>0.47181618873205977</v>
      </c>
      <c r="O102" s="56">
        <f t="shared" si="16"/>
        <v>151.91716142812129</v>
      </c>
      <c r="P102" s="57">
        <f t="shared" si="14"/>
        <v>147.80671392625297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1.4824936144715444</v>
      </c>
      <c r="K104" s="51">
        <f t="shared" si="11"/>
        <v>2.0048803593848996</v>
      </c>
      <c r="L104" s="55">
        <f t="shared" si="12"/>
        <v>1.0735098309762835E-2</v>
      </c>
      <c r="M104" s="51">
        <f>+$I$14+$I$13*J104+L104</f>
        <v>2.0156154576946625</v>
      </c>
      <c r="N104" s="94">
        <f t="shared" ref="N104:N167" si="17">10^$J104</f>
        <v>30.3734143291049</v>
      </c>
      <c r="O104" s="56">
        <f t="shared" ref="O104:O167" si="18">10^K104</f>
        <v>101.13008200049852</v>
      </c>
      <c r="P104" s="57">
        <f t="shared" ref="P104:P167" si="19">10^M104</f>
        <v>103.66101518202943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1.478196947836087</v>
      </c>
      <c r="K105" s="51">
        <f t="shared" si="11"/>
        <v>2.0053001780600379</v>
      </c>
      <c r="L105" s="55">
        <f t="shared" si="12"/>
        <v>1.0690600222786959E-2</v>
      </c>
      <c r="M105" s="51">
        <f t="shared" ref="M105:M168" si="21">+$I$14+$I$13*J105+L105</f>
        <v>2.0159907782828248</v>
      </c>
      <c r="N105" s="94">
        <f t="shared" si="17"/>
        <v>30.074398347701177</v>
      </c>
      <c r="O105" s="56">
        <f t="shared" si="18"/>
        <v>101.22788850277395</v>
      </c>
      <c r="P105" s="57">
        <f t="shared" si="19"/>
        <v>103.7506385392965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1.4738573472667142</v>
      </c>
      <c r="K106" s="51">
        <f t="shared" si="11"/>
        <v>2.005724191723707</v>
      </c>
      <c r="L106" s="55">
        <f t="shared" si="12"/>
        <v>1.0645699542696676E-2</v>
      </c>
      <c r="M106" s="51">
        <f t="shared" si="21"/>
        <v>2.0163698912664039</v>
      </c>
      <c r="N106" s="94">
        <f t="shared" si="17"/>
        <v>29.77538236629745</v>
      </c>
      <c r="O106" s="56">
        <f t="shared" si="18"/>
        <v>101.32676833995541</v>
      </c>
      <c r="P106" s="57">
        <f t="shared" si="19"/>
        <v>103.84124615354729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1.4694739460712951</v>
      </c>
      <c r="K107" s="51">
        <f t="shared" si="11"/>
        <v>2.0061524850586552</v>
      </c>
      <c r="L107" s="55">
        <f t="shared" si="12"/>
        <v>1.0600389114213236E-2</v>
      </c>
      <c r="M107" s="51">
        <f t="shared" si="21"/>
        <v>2.0167528741728682</v>
      </c>
      <c r="N107" s="94">
        <f t="shared" si="17"/>
        <v>29.476366384893716</v>
      </c>
      <c r="O107" s="56">
        <f t="shared" si="18"/>
        <v>101.42674424876806</v>
      </c>
      <c r="P107" s="57">
        <f t="shared" si="19"/>
        <v>103.93285902090652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1.4650458510464739</v>
      </c>
      <c r="K108" s="51">
        <f t="shared" si="11"/>
        <v>2.0065851453379904</v>
      </c>
      <c r="L108" s="55">
        <f t="shared" si="12"/>
        <v>1.0554661597777026E-2</v>
      </c>
      <c r="M108" s="51">
        <f t="shared" si="21"/>
        <v>2.0171398069357673</v>
      </c>
      <c r="N108" s="94">
        <f t="shared" si="17"/>
        <v>29.177350403489992</v>
      </c>
      <c r="O108" s="56">
        <f t="shared" si="18"/>
        <v>101.52783968443819</v>
      </c>
      <c r="P108" s="57">
        <f t="shared" si="19"/>
        <v>104.02549880795539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1.4605721413852535</v>
      </c>
      <c r="K109" s="51">
        <f t="shared" si="11"/>
        <v>2.0070222625319167</v>
      </c>
      <c r="L109" s="55">
        <f t="shared" si="12"/>
        <v>1.0508509463607622E-2</v>
      </c>
      <c r="M109" s="51">
        <f t="shared" si="21"/>
        <v>2.0175307719955242</v>
      </c>
      <c r="N109" s="94">
        <f t="shared" si="17"/>
        <v>28.878334422086272</v>
      </c>
      <c r="O109" s="56">
        <f t="shared" si="18"/>
        <v>101.63007885103796</v>
      </c>
      <c r="P109" s="57">
        <f t="shared" si="19"/>
        <v>104.11918788042161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1.4560518675277256</v>
      </c>
      <c r="K110" s="51">
        <f t="shared" si="11"/>
        <v>2.0074639294200272</v>
      </c>
      <c r="L110" s="55">
        <f t="shared" si="12"/>
        <v>1.0461924985553759E-2</v>
      </c>
      <c r="M110" s="51">
        <f t="shared" si="21"/>
        <v>2.0179258544055809</v>
      </c>
      <c r="N110" s="94">
        <f t="shared" si="17"/>
        <v>28.579318440682535</v>
      </c>
      <c r="O110" s="56">
        <f t="shared" si="18"/>
        <v>101.73348673344064</v>
      </c>
      <c r="P110" s="57">
        <f t="shared" si="19"/>
        <v>104.21394933342006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1.4514840499513593</v>
      </c>
      <c r="K111" s="51">
        <f t="shared" si="11"/>
        <v>2.0079102417095029</v>
      </c>
      <c r="L111" s="55">
        <f t="shared" si="12"/>
        <v>1.041490023472713E-2</v>
      </c>
      <c r="M111" s="51">
        <f t="shared" si="21"/>
        <v>2.0183251419442301</v>
      </c>
      <c r="N111" s="94">
        <f t="shared" si="17"/>
        <v>28.280302459278808</v>
      </c>
      <c r="O111" s="56">
        <f t="shared" si="18"/>
        <v>101.83808913099115</v>
      </c>
      <c r="P111" s="57">
        <f t="shared" si="19"/>
        <v>104.30980702334017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1.446867677896992</v>
      </c>
      <c r="K112" s="51">
        <f t="shared" si="11"/>
        <v>2.0083612981595929</v>
      </c>
      <c r="L112" s="55">
        <f t="shared" si="12"/>
        <v>1.0367427072913998E-2</v>
      </c>
      <c r="M112" s="51">
        <f t="shared" si="21"/>
        <v>2.0187287252325068</v>
      </c>
      <c r="N112" s="94">
        <f t="shared" si="17"/>
        <v>27.981286477875088</v>
      </c>
      <c r="O112" s="56">
        <f t="shared" si="18"/>
        <v>101.943912693001</v>
      </c>
      <c r="P112" s="57">
        <f t="shared" si="19"/>
        <v>104.40678560149117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1.4422017080263803</v>
      </c>
      <c r="K113" s="51">
        <f t="shared" si="11"/>
        <v>2.0088172007127842</v>
      </c>
      <c r="L113" s="55">
        <f t="shared" si="12"/>
        <v>1.0319497145758923E-2</v>
      </c>
      <c r="M113" s="51">
        <f t="shared" si="21"/>
        <v>2.019136697858543</v>
      </c>
      <c r="N113" s="94">
        <f t="shared" si="17"/>
        <v>27.68227049647135</v>
      </c>
      <c r="O113" s="56">
        <f t="shared" si="18"/>
        <v>102.05098495618996</v>
      </c>
      <c r="P113" s="57">
        <f t="shared" si="19"/>
        <v>104.50491054962227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1.4374850630068483</v>
      </c>
      <c r="K114" s="51">
        <f t="shared" si="11"/>
        <v>2.0092780546330902</v>
      </c>
      <c r="L114" s="55">
        <f t="shared" si="12"/>
        <v>1.0271101875715075E-2</v>
      </c>
      <c r="M114" s="51">
        <f t="shared" si="21"/>
        <v>2.0195491565088051</v>
      </c>
      <c r="N114" s="94">
        <f t="shared" si="17"/>
        <v>27.38325451506763</v>
      </c>
      <c r="O114" s="56">
        <f t="shared" si="18"/>
        <v>102.15933438419952</v>
      </c>
      <c r="P114" s="57">
        <f t="shared" si="19"/>
        <v>104.60420821744357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1.432716630018231</v>
      </c>
      <c r="K115" s="51">
        <f t="shared" si="11"/>
        <v>2.0097439686519363</v>
      </c>
      <c r="L115" s="55">
        <f t="shared" si="12"/>
        <v>1.0222232454756102E-2</v>
      </c>
      <c r="M115" s="51">
        <f t="shared" si="21"/>
        <v>2.0199662011066923</v>
      </c>
      <c r="N115" s="94">
        <f t="shared" si="17"/>
        <v>27.084238533663889</v>
      </c>
      <c r="O115" s="56">
        <f t="shared" si="18"/>
        <v>102.26899040932109</v>
      </c>
      <c r="P115" s="57">
        <f t="shared" si="19"/>
        <v>104.70470586228609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1.427895259176938</v>
      </c>
      <c r="K116" s="51">
        <f t="shared" si="11"/>
        <v>2.0102150551221407</v>
      </c>
      <c r="L116" s="55">
        <f t="shared" si="12"/>
        <v>1.0172879836845018E-2</v>
      </c>
      <c r="M116" s="51">
        <f t="shared" si="21"/>
        <v>2.0203879349589857</v>
      </c>
      <c r="N116" s="94">
        <f t="shared" si="17"/>
        <v>26.785222552260166</v>
      </c>
      <c r="O116" s="56">
        <f t="shared" si="18"/>
        <v>102.37998347658687</v>
      </c>
      <c r="P116" s="57">
        <f t="shared" si="19"/>
        <v>104.80643169104648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1.4230197618715525</v>
      </c>
      <c r="K117" s="51">
        <f t="shared" si="11"/>
        <v>2.0106914301805401</v>
      </c>
      <c r="L117" s="55">
        <f t="shared" si="12"/>
        <v>1.0123034730156176E-2</v>
      </c>
      <c r="M117" s="51">
        <f t="shared" si="21"/>
        <v>2.0208144649106963</v>
      </c>
      <c r="N117" s="94">
        <f t="shared" si="17"/>
        <v>26.486206570856449</v>
      </c>
      <c r="O117" s="56">
        <f t="shared" si="18"/>
        <v>102.49234509038443</v>
      </c>
      <c r="P117" s="57">
        <f t="shared" si="19"/>
        <v>104.90941490457858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1.418088909003939</v>
      </c>
      <c r="K118" s="51">
        <f t="shared" si="11"/>
        <v>2.0111732139198466</v>
      </c>
      <c r="L118" s="55">
        <f t="shared" si="12"/>
        <v>1.0072687589047263E-2</v>
      </c>
      <c r="M118" s="51">
        <f t="shared" si="21"/>
        <v>2.0212459015088937</v>
      </c>
      <c r="N118" s="94">
        <f t="shared" si="17"/>
        <v>26.187190589452708</v>
      </c>
      <c r="O118" s="56">
        <f t="shared" si="18"/>
        <v>102.60610786377202</v>
      </c>
      <c r="P118" s="57">
        <f t="shared" si="19"/>
        <v>105.01368574470295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1.413101429129352</v>
      </c>
      <c r="K119" s="51">
        <f t="shared" si="11"/>
        <v>2.0116605305703752</v>
      </c>
      <c r="L119" s="55">
        <f t="shared" si="12"/>
        <v>1.0021828605779241E-2</v>
      </c>
      <c r="M119" s="51">
        <f t="shared" si="21"/>
        <v>2.0216823591761544</v>
      </c>
      <c r="N119" s="94">
        <f t="shared" si="17"/>
        <v>25.888174608048981</v>
      </c>
      <c r="O119" s="56">
        <f t="shared" si="18"/>
        <v>102.72130557068219</v>
      </c>
      <c r="P119" s="57">
        <f t="shared" si="19"/>
        <v>105.11927554402247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1.4080560064884995</v>
      </c>
      <c r="K120" s="51">
        <f t="shared" si="11"/>
        <v>2.0121535086923257</v>
      </c>
      <c r="L120" s="55">
        <f t="shared" si="12"/>
        <v>9.9704477019833971E-3</v>
      </c>
      <c r="M120" s="51">
        <f t="shared" si="21"/>
        <v>2.0221239563943092</v>
      </c>
      <c r="N120" s="94">
        <f t="shared" si="17"/>
        <v>25.589158626645254</v>
      </c>
      <c r="O120" s="56">
        <f t="shared" si="18"/>
        <v>102.83797320121872</v>
      </c>
      <c r="P120" s="57">
        <f t="shared" si="19"/>
        <v>105.22621677874741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1.4029512789239442</v>
      </c>
      <c r="K121" s="51">
        <f t="shared" si="11"/>
        <v>2.0126522813793688</v>
      </c>
      <c r="L121" s="55">
        <f t="shared" si="12"/>
        <v>9.9185345198760724E-3</v>
      </c>
      <c r="M121" s="51">
        <f t="shared" si="21"/>
        <v>2.022570815899245</v>
      </c>
      <c r="N121" s="94">
        <f t="shared" si="17"/>
        <v>25.290142645241531</v>
      </c>
      <c r="O121" s="56">
        <f t="shared" si="18"/>
        <v>102.95614702026957</v>
      </c>
      <c r="P121" s="57">
        <f t="shared" si="19"/>
        <v>105.33454312475104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1.397785835672589</v>
      </c>
      <c r="K122" s="51">
        <f t="shared" si="11"/>
        <v>2.0131569864743351</v>
      </c>
      <c r="L122" s="55">
        <f t="shared" si="12"/>
        <v>9.8660784132236345E-3</v>
      </c>
      <c r="M122" s="51">
        <f t="shared" si="21"/>
        <v>2.0230230648875587</v>
      </c>
      <c r="N122" s="94">
        <f t="shared" si="17"/>
        <v>24.991126663837797</v>
      </c>
      <c r="O122" s="56">
        <f t="shared" si="18"/>
        <v>103.07586462967495</v>
      </c>
      <c r="P122" s="57">
        <f t="shared" si="19"/>
        <v>105.4442895170933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1.3925582150252931</v>
      </c>
      <c r="K123" s="51">
        <f t="shared" si="11"/>
        <v>2.0136677667978917</v>
      </c>
      <c r="L123" s="55">
        <f t="shared" si="12"/>
        <v>9.8130684380621745E-3</v>
      </c>
      <c r="M123" s="51">
        <f t="shared" si="21"/>
        <v>2.0234808352359539</v>
      </c>
      <c r="N123" s="94">
        <f t="shared" si="17"/>
        <v>24.692110682434063</v>
      </c>
      <c r="O123" s="56">
        <f t="shared" si="18"/>
        <v>103.19716503421388</v>
      </c>
      <c r="P123" s="57">
        <f t="shared" si="19"/>
        <v>105.55549221327763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1.3872669018439083</v>
      </c>
      <c r="K124" s="51">
        <f t="shared" si="11"/>
        <v>2.0141847703911471</v>
      </c>
      <c r="L124" s="55">
        <f t="shared" si="12"/>
        <v>9.7594933431792083E-3</v>
      </c>
      <c r="M124" s="51">
        <f t="shared" si="21"/>
        <v>2.0239442637343261</v>
      </c>
      <c r="N124" s="94">
        <f t="shared" si="17"/>
        <v>24.393094701030343</v>
      </c>
      <c r="O124" s="56">
        <f t="shared" si="18"/>
        <v>103.32008871169053</v>
      </c>
      <c r="P124" s="57">
        <f t="shared" si="19"/>
        <v>105.66818886051949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1.381910324925181</v>
      </c>
      <c r="K125" s="51">
        <f t="shared" si="11"/>
        <v>2.0147081507732181</v>
      </c>
      <c r="L125" s="55">
        <f t="shared" si="12"/>
        <v>9.7053415603676092E-3</v>
      </c>
      <c r="M125" s="51">
        <f t="shared" si="21"/>
        <v>2.0244134923335855</v>
      </c>
      <c r="N125" s="94">
        <f t="shared" si="17"/>
        <v>24.094078719626623</v>
      </c>
      <c r="O125" s="56">
        <f t="shared" si="18"/>
        <v>103.44467768743036</v>
      </c>
      <c r="P125" s="57">
        <f t="shared" si="19"/>
        <v>105.78241856734101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1.3764868542000455</v>
      </c>
      <c r="K126" s="51">
        <f t="shared" si="11"/>
        <v>2.0152380672148822</v>
      </c>
      <c r="L126" s="55">
        <f t="shared" si="12"/>
        <v>9.6506011944657577E-3</v>
      </c>
      <c r="M126" s="51">
        <f t="shared" si="21"/>
        <v>2.0248886684093481</v>
      </c>
      <c r="N126" s="94">
        <f t="shared" si="17"/>
        <v>23.795062738222885</v>
      </c>
      <c r="O126" s="56">
        <f t="shared" si="18"/>
        <v>103.57097561352268</v>
      </c>
      <c r="P126" s="57">
        <f t="shared" si="19"/>
        <v>105.89822197982602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1.3709947977558208</v>
      </c>
      <c r="K127" s="51">
        <f t="shared" si="11"/>
        <v>2.0157746850295322</v>
      </c>
      <c r="L127" s="55">
        <f t="shared" si="12"/>
        <v>9.5952600132021872E-3</v>
      </c>
      <c r="M127" s="51">
        <f t="shared" si="21"/>
        <v>2.0253699450427343</v>
      </c>
      <c r="N127" s="94">
        <f t="shared" si="17"/>
        <v>23.496046756819158</v>
      </c>
      <c r="O127" s="56">
        <f t="shared" si="18"/>
        <v>103.69902785317417</v>
      </c>
      <c r="P127" s="57">
        <f t="shared" si="19"/>
        <v>106.01564136290575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1.3654323986676944</v>
      </c>
      <c r="K128" s="51">
        <f t="shared" si="11"/>
        <v>2.0163181758827666</v>
      </c>
      <c r="L128" s="55">
        <f t="shared" si="12"/>
        <v>9.5393054368682114E-3</v>
      </c>
      <c r="M128" s="51">
        <f t="shared" si="21"/>
        <v>2.0258574813196351</v>
      </c>
      <c r="N128" s="94">
        <f t="shared" si="17"/>
        <v>23.197030775415431</v>
      </c>
      <c r="O128" s="56">
        <f t="shared" si="18"/>
        <v>103.82888157057413</v>
      </c>
      <c r="P128" s="57">
        <f t="shared" si="19"/>
        <v>106.13472068707949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1.3597978316246515</v>
      </c>
      <c r="K129" s="51">
        <f t="shared" si="11"/>
        <v>2.0168687181220619</v>
      </c>
      <c r="L129" s="55">
        <f t="shared" si="12"/>
        <v>9.4827245278480913E-3</v>
      </c>
      <c r="M129" s="51">
        <f t="shared" si="21"/>
        <v>2.0263514426499101</v>
      </c>
      <c r="N129" s="94">
        <f t="shared" si="17"/>
        <v>22.898014794011697</v>
      </c>
      <c r="O129" s="56">
        <f t="shared" si="18"/>
        <v>103.96058582670697</v>
      </c>
      <c r="P129" s="57">
        <f t="shared" si="19"/>
        <v>106.25550572100876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1.3540891993336348</v>
      </c>
      <c r="K130" s="51">
        <f t="shared" ref="K130:K193" si="22">+$I$14+$I$13*J130</f>
        <v>2.0174264971281151</v>
      </c>
      <c r="L130" s="55">
        <f t="shared" ref="L130:L193" si="23">SQRT(2*$I$20*$I$17)*SQRT((1/$I$2)+((J130-$I$11)^2/$I$8))</f>
        <v>9.4255039800435567E-3</v>
      </c>
      <c r="M130" s="51">
        <f t="shared" si="21"/>
        <v>2.0268520011081588</v>
      </c>
      <c r="N130" s="94">
        <f t="shared" si="17"/>
        <v>22.598998812607967</v>
      </c>
      <c r="O130" s="56">
        <f t="shared" si="18"/>
        <v>104.09419168158985</v>
      </c>
      <c r="P130" s="57">
        <f t="shared" si="19"/>
        <v>106.3780441304728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1.3483045286842086</v>
      </c>
      <c r="K131" s="51">
        <f t="shared" si="22"/>
        <v>2.0179917056895875</v>
      </c>
      <c r="L131" s="55">
        <f t="shared" si="23"/>
        <v>9.3676301082379846E-3</v>
      </c>
      <c r="M131" s="51">
        <f t="shared" si="21"/>
        <v>2.0273593357978257</v>
      </c>
      <c r="N131" s="94">
        <f t="shared" si="17"/>
        <v>22.29998283120424</v>
      </c>
      <c r="O131" s="56">
        <f t="shared" si="18"/>
        <v>104.22975230345708</v>
      </c>
      <c r="P131" s="57">
        <f t="shared" si="19"/>
        <v>106.50238558421425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1.3424417666543285</v>
      </c>
      <c r="K132" s="51">
        <f t="shared" si="22"/>
        <v>2.0185645444031444</v>
      </c>
      <c r="L132" s="55">
        <f t="shared" si="23"/>
        <v>9.3090888374556136E-3</v>
      </c>
      <c r="M132" s="51">
        <f t="shared" si="21"/>
        <v>2.0278736332406</v>
      </c>
      <c r="N132" s="94">
        <f t="shared" si="17"/>
        <v>22.000966849800513</v>
      </c>
      <c r="O132" s="56">
        <f t="shared" si="18"/>
        <v>104.36732308546379</v>
      </c>
      <c r="P132" s="57">
        <f t="shared" si="19"/>
        <v>106.62858186725954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1.3364987759359592</v>
      </c>
      <c r="K133" s="51">
        <f t="shared" si="22"/>
        <v>2.0191452221008639</v>
      </c>
      <c r="L133" s="55">
        <f t="shared" si="23"/>
        <v>9.2498656923830809E-3</v>
      </c>
      <c r="M133" s="51">
        <f t="shared" si="21"/>
        <v>2.0283950877932471</v>
      </c>
      <c r="N133" s="94">
        <f t="shared" si="17"/>
        <v>21.701950868396793</v>
      </c>
      <c r="O133" s="56">
        <f t="shared" si="18"/>
        <v>104.5069617705355</v>
      </c>
      <c r="P133" s="57">
        <f t="shared" si="19"/>
        <v>106.75668700235626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1.3304733302572138</v>
      </c>
      <c r="K134" s="51">
        <f t="shared" si="22"/>
        <v>2.0197339563073053</v>
      </c>
      <c r="L134" s="55">
        <f t="shared" si="23"/>
        <v>9.1899457869344461E-3</v>
      </c>
      <c r="M134" s="51">
        <f t="shared" si="21"/>
        <v>2.02892390209424</v>
      </c>
      <c r="N134" s="94">
        <f t="shared" si="17"/>
        <v>21.402934886993059</v>
      </c>
      <c r="O134" s="56">
        <f t="shared" si="18"/>
        <v>104.64872858505652</v>
      </c>
      <c r="P134" s="57">
        <f t="shared" si="19"/>
        <v>106.88675738023557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1.3243631093753976</v>
      </c>
      <c r="K135" s="51">
        <f t="shared" si="22"/>
        <v>2.0203309737287265</v>
      </c>
      <c r="L135" s="55">
        <f t="shared" si="23"/>
        <v>9.1293138140576182E-3</v>
      </c>
      <c r="M135" s="51">
        <f t="shared" si="21"/>
        <v>2.0294602875427841</v>
      </c>
      <c r="N135" s="94">
        <f t="shared" si="17"/>
        <v>21.103918905589328</v>
      </c>
      <c r="O135" s="56">
        <f t="shared" si="18"/>
        <v>104.79268638215233</v>
      </c>
      <c r="P135" s="57">
        <f t="shared" si="19"/>
        <v>107.0188518994796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1.3181656937127737</v>
      </c>
      <c r="K136" s="51">
        <f t="shared" si="22"/>
        <v>2.0209365107772128</v>
      </c>
      <c r="L136" s="55">
        <f t="shared" si="23"/>
        <v>9.0679540358993144E-3</v>
      </c>
      <c r="M136" s="51">
        <f t="shared" si="21"/>
        <v>2.0300044648131119</v>
      </c>
      <c r="N136" s="94">
        <f t="shared" si="17"/>
        <v>20.804902924185594</v>
      </c>
      <c r="O136" s="56">
        <f t="shared" si="18"/>
        <v>104.93890079540303</v>
      </c>
      <c r="P136" s="57">
        <f t="shared" si="19"/>
        <v>107.15303211685821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1.3118785586040149</v>
      </c>
      <c r="K137" s="51">
        <f t="shared" si="22"/>
        <v>2.0215508141327478</v>
      </c>
      <c r="L137" s="55">
        <f t="shared" si="23"/>
        <v>9.0058502744689156E-3</v>
      </c>
      <c r="M137" s="51">
        <f t="shared" si="21"/>
        <v>2.0305566644072166</v>
      </c>
      <c r="N137" s="94">
        <f t="shared" si="17"/>
        <v>20.505886942781871</v>
      </c>
      <c r="O137" s="56">
        <f t="shared" si="18"/>
        <v>105.08744040391065</v>
      </c>
      <c r="P137" s="57">
        <f t="shared" si="19"/>
        <v>107.28936240908746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1.3054990681211145</v>
      </c>
      <c r="K138" s="51">
        <f t="shared" si="22"/>
        <v>2.022174141346567</v>
      </c>
      <c r="L138" s="55">
        <f t="shared" si="23"/>
        <v>8.9429859029686483E-3</v>
      </c>
      <c r="M138" s="51">
        <f t="shared" si="21"/>
        <v>2.0311171272495359</v>
      </c>
      <c r="N138" s="94">
        <f t="shared" si="17"/>
        <v>20.206870961378144</v>
      </c>
      <c r="O138" s="56">
        <f t="shared" si="18"/>
        <v>105.23837690973528</v>
      </c>
      <c r="P138" s="57">
        <f t="shared" si="19"/>
        <v>107.42791014706809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1.2990244684379553</v>
      </c>
      <c r="K139" s="51">
        <f t="shared" si="22"/>
        <v>2.0228067614894947</v>
      </c>
      <c r="L139" s="55">
        <f t="shared" si="23"/>
        <v>8.8793438379896096E-3</v>
      </c>
      <c r="M139" s="51">
        <f t="shared" si="21"/>
        <v>2.0316861053274842</v>
      </c>
      <c r="N139" s="94">
        <f t="shared" si="17"/>
        <v>19.907854979974413</v>
      </c>
      <c r="O139" s="56">
        <f t="shared" si="18"/>
        <v>105.39178532882798</v>
      </c>
      <c r="P139" s="57">
        <f t="shared" si="19"/>
        <v>107.5687458837788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1.2924518806927314</v>
      </c>
      <c r="K140" s="51">
        <f t="shared" si="22"/>
        <v>2.0234489558493411</v>
      </c>
      <c r="L140" s="55">
        <f t="shared" si="23"/>
        <v>8.8149065328112022E-3</v>
      </c>
      <c r="M140" s="51">
        <f t="shared" si="21"/>
        <v>2.0322638623821523</v>
      </c>
      <c r="N140" s="94">
        <f t="shared" si="17"/>
        <v>19.608838998570693</v>
      </c>
      <c r="O140" s="56">
        <f t="shared" si="18"/>
        <v>105.54774419670579</v>
      </c>
      <c r="P140" s="57">
        <f t="shared" si="19"/>
        <v>107.71194355712862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1.2857782933019206</v>
      </c>
      <c r="K141" s="51">
        <f t="shared" si="22"/>
        <v>2.0241010186818893</v>
      </c>
      <c r="L141" s="55">
        <f t="shared" si="23"/>
        <v>8.7496559720863388E-3</v>
      </c>
      <c r="M141" s="51">
        <f t="shared" si="21"/>
        <v>2.0328506746539756</v>
      </c>
      <c r="N141" s="94">
        <f t="shared" si="17"/>
        <v>19.309823017166952</v>
      </c>
      <c r="O141" s="56">
        <f t="shared" si="18"/>
        <v>105.70633579025119</v>
      </c>
      <c r="P141" s="57">
        <f t="shared" si="19"/>
        <v>107.8575807092178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1.2790005536744455</v>
      </c>
      <c r="K142" s="51">
        <f t="shared" si="22"/>
        <v>2.0247632580204868</v>
      </c>
      <c r="L142" s="55">
        <f t="shared" si="23"/>
        <v>8.6835736682481304E-3</v>
      </c>
      <c r="M142" s="51">
        <f t="shared" si="21"/>
        <v>2.0334468316887349</v>
      </c>
      <c r="N142" s="94">
        <f t="shared" si="17"/>
        <v>19.010807035763222</v>
      </c>
      <c r="O142" s="56">
        <f t="shared" si="18"/>
        <v>105.86764636717255</v>
      </c>
      <c r="P142" s="57">
        <f t="shared" si="19"/>
        <v>108.00573872363118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1.2721153592689602</v>
      </c>
      <c r="K143" s="51">
        <f t="shared" si="22"/>
        <v>2.0254359965498221</v>
      </c>
      <c r="L143" s="55">
        <f t="shared" si="23"/>
        <v>8.6166406600367215E-3</v>
      </c>
      <c r="M143" s="51">
        <f t="shared" si="21"/>
        <v>2.0340526372098586</v>
      </c>
      <c r="N143" s="94">
        <f t="shared" si="17"/>
        <v>18.711791054359495</v>
      </c>
      <c r="O143" s="56">
        <f t="shared" si="18"/>
        <v>106.03176642483388</v>
      </c>
      <c r="P143" s="57">
        <f t="shared" si="19"/>
        <v>108.15650308257143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1.2651192479307669</v>
      </c>
      <c r="K144" s="51">
        <f t="shared" si="22"/>
        <v>2.0261195725500833</v>
      </c>
      <c r="L144" s="55">
        <f t="shared" si="23"/>
        <v>8.5488375136199713E-3</v>
      </c>
      <c r="M144" s="51">
        <f t="shared" si="21"/>
        <v>2.0346684100637034</v>
      </c>
      <c r="N144" s="94">
        <f t="shared" si="17"/>
        <v>18.412775072955775</v>
      </c>
      <c r="O144" s="56">
        <f t="shared" si="18"/>
        <v>106.19879098035774</v>
      </c>
      <c r="P144" s="57">
        <f t="shared" si="19"/>
        <v>108.30996364585577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1.2580085874375828</v>
      </c>
      <c r="K145" s="51">
        <f t="shared" si="22"/>
        <v>2.0268143409184209</v>
      </c>
      <c r="L145" s="55">
        <f t="shared" si="23"/>
        <v>8.4801443268706402E-3</v>
      </c>
      <c r="M145" s="51">
        <f t="shared" si="21"/>
        <v>2.0352944852452914</v>
      </c>
      <c r="N145" s="94">
        <f t="shared" si="17"/>
        <v>18.113759091552037</v>
      </c>
      <c r="O145" s="56">
        <f t="shared" si="18"/>
        <v>106.36881987412903</v>
      </c>
      <c r="P145" s="57">
        <f t="shared" si="19"/>
        <v>108.46621495404899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1.2507795641751378</v>
      </c>
      <c r="K146" s="51">
        <f t="shared" si="22"/>
        <v>2.0275206742754333</v>
      </c>
      <c r="L146" s="55">
        <f t="shared" si="23"/>
        <v>8.4105407374687503E-3</v>
      </c>
      <c r="M146" s="51">
        <f t="shared" si="21"/>
        <v>2.0359312150129019</v>
      </c>
      <c r="N146" s="94">
        <f t="shared" si="17"/>
        <v>17.81474311014831</v>
      </c>
      <c r="O146" s="56">
        <f t="shared" si="18"/>
        <v>106.54195809907422</v>
      </c>
      <c r="P146" s="57">
        <f t="shared" si="19"/>
        <v>108.62535655828148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1.2434281708542065</v>
      </c>
      <c r="K147" s="51">
        <f t="shared" si="22"/>
        <v>2.0282389641653089</v>
      </c>
      <c r="L147" s="55">
        <f t="shared" si="23"/>
        <v>8.3400059356240827E-3</v>
      </c>
      <c r="M147" s="51">
        <f t="shared" si="21"/>
        <v>2.0365789701009329</v>
      </c>
      <c r="N147" s="94">
        <f t="shared" si="17"/>
        <v>17.51572712874459</v>
      </c>
      <c r="O147" s="56">
        <f t="shared" si="18"/>
        <v>106.71831615838128</v>
      </c>
      <c r="P147" s="57">
        <f t="shared" si="19"/>
        <v>108.78749337962189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1.2359501931700367</v>
      </c>
      <c r="K148" s="51">
        <f t="shared" si="22"/>
        <v>2.028969622359309</v>
      </c>
      <c r="L148" s="55">
        <f t="shared" si="23"/>
        <v>8.2685186823646326E-3</v>
      </c>
      <c r="M148" s="51">
        <f t="shared" si="21"/>
        <v>2.0372381410416738</v>
      </c>
      <c r="N148" s="94">
        <f t="shared" si="17"/>
        <v>17.216711147340856</v>
      </c>
      <c r="O148" s="56">
        <f t="shared" si="18"/>
        <v>106.89801045464858</v>
      </c>
      <c r="P148" s="57">
        <f t="shared" si="19"/>
        <v>108.9527361012438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1.2283411952929764</v>
      </c>
      <c r="K149" s="51">
        <f t="shared" si="22"/>
        <v>2.0297130822734473</v>
      </c>
      <c r="L149" s="55">
        <f t="shared" si="23"/>
        <v>8.1960573345171636E-3</v>
      </c>
      <c r="M149" s="51">
        <f t="shared" si="21"/>
        <v>2.0379091396079643</v>
      </c>
      <c r="N149" s="94">
        <f t="shared" si="17"/>
        <v>16.917695165937126</v>
      </c>
      <c r="O149" s="56">
        <f t="shared" si="18"/>
        <v>107.08116371382336</v>
      </c>
      <c r="P149" s="57">
        <f t="shared" si="19"/>
        <v>109.1212015970419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1.2205965040652229</v>
      </c>
      <c r="K150" s="51">
        <f t="shared" si="22"/>
        <v>2.0304698005125958</v>
      </c>
      <c r="L150" s="55">
        <f t="shared" si="23"/>
        <v>8.1225998777219501E-3</v>
      </c>
      <c r="M150" s="51">
        <f t="shared" si="21"/>
        <v>2.0385924003903177</v>
      </c>
      <c r="N150" s="94">
        <f t="shared" si="17"/>
        <v>16.618679184533399</v>
      </c>
      <c r="O150" s="56">
        <f t="shared" si="18"/>
        <v>107.2679054477171</v>
      </c>
      <c r="P150" s="57">
        <f t="shared" si="19"/>
        <v>109.29301340084503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1.2127111917627191</v>
      </c>
      <c r="K151" s="51">
        <f t="shared" si="22"/>
        <v>2.0312402585547842</v>
      </c>
      <c r="L151" s="55">
        <f t="shared" si="23"/>
        <v>8.048123969083075E-3</v>
      </c>
      <c r="M151" s="51">
        <f t="shared" si="21"/>
        <v>2.0392883825238672</v>
      </c>
      <c r="N151" s="94">
        <f t="shared" si="17"/>
        <v>16.319663203129672</v>
      </c>
      <c r="O151" s="56">
        <f t="shared" si="18"/>
        <v>107.45837245937297</v>
      </c>
      <c r="P151" s="57">
        <f t="shared" si="19"/>
        <v>109.46830222092457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1.2046800572629668</v>
      </c>
      <c r="K152" s="51">
        <f t="shared" si="22"/>
        <v>2.0320249645912547</v>
      </c>
      <c r="L152" s="55">
        <f t="shared" si="23"/>
        <v>7.9726069913671916E-3</v>
      </c>
      <c r="M152" s="51">
        <f t="shared" si="21"/>
        <v>2.0399975715826217</v>
      </c>
      <c r="N152" s="94">
        <f t="shared" si="17"/>
        <v>16.020647221725941</v>
      </c>
      <c r="O152" s="56">
        <f t="shared" si="18"/>
        <v>107.65270939612215</v>
      </c>
      <c r="P152" s="57">
        <f t="shared" si="19"/>
        <v>109.64720650515579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1.196497605438525</v>
      </c>
      <c r="K153" s="51">
        <f t="shared" si="22"/>
        <v>2.0328244555398829</v>
      </c>
      <c r="L153" s="55">
        <f t="shared" si="23"/>
        <v>7.8960261210390455E-3</v>
      </c>
      <c r="M153" s="51">
        <f t="shared" si="21"/>
        <v>2.0407204816609221</v>
      </c>
      <c r="N153" s="94">
        <f t="shared" si="17"/>
        <v>15.721631240322209</v>
      </c>
      <c r="O153" s="56">
        <f t="shared" si="18"/>
        <v>107.851069355815</v>
      </c>
      <c r="P153" s="57">
        <f t="shared" si="19"/>
        <v>109.82987306293214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1.1881580245717305</v>
      </c>
      <c r="K154" s="51">
        <f t="shared" si="22"/>
        <v>2.0336392992519401</v>
      </c>
      <c r="L154" s="55">
        <f t="shared" si="23"/>
        <v>7.8183584128750372E-3</v>
      </c>
      <c r="M154" s="51">
        <f t="shared" si="21"/>
        <v>2.0414576576648154</v>
      </c>
      <c r="N154" s="94">
        <f t="shared" si="17"/>
        <v>15.422615258918489</v>
      </c>
      <c r="O154" s="56">
        <f t="shared" si="18"/>
        <v>108.05361455245816</v>
      </c>
      <c r="P154" s="57">
        <f t="shared" si="19"/>
        <v>110.01645775081218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1.1796551615581448</v>
      </c>
      <c r="K155" s="51">
        <f t="shared" si="22"/>
        <v>2.0344700969349137</v>
      </c>
      <c r="L155" s="55">
        <f t="shared" si="23"/>
        <v>7.7395809044441509E-3</v>
      </c>
      <c r="M155" s="51">
        <f t="shared" si="21"/>
        <v>2.0422096778393577</v>
      </c>
      <c r="N155" s="94">
        <f t="shared" si="17"/>
        <v>15.123599277514757</v>
      </c>
      <c r="O155" s="56">
        <f t="shared" si="18"/>
        <v>108.26051704835879</v>
      </c>
      <c r="P155" s="57">
        <f t="shared" si="19"/>
        <v>110.20712622990115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1.1709824946337357</v>
      </c>
      <c r="K156" s="51">
        <f t="shared" si="22"/>
        <v>2.0353174858172802</v>
      </c>
      <c r="L156" s="55">
        <f t="shared" si="23"/>
        <v>7.65967074440972E-3</v>
      </c>
      <c r="M156" s="51">
        <f t="shared" si="21"/>
        <v>2.0429771565616899</v>
      </c>
      <c r="N156" s="94">
        <f t="shared" si="17"/>
        <v>14.824583296111024</v>
      </c>
      <c r="O156" s="56">
        <f t="shared" si="18"/>
        <v>108.4719595608847</v>
      </c>
      <c r="P156" s="57">
        <f t="shared" si="19"/>
        <v>110.40205480416012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1.162133103322984</v>
      </c>
      <c r="K157" s="51">
        <f t="shared" si="22"/>
        <v>2.0361821420848165</v>
      </c>
      <c r="L157" s="55">
        <f t="shared" si="23"/>
        <v>7.5786053494125436E-3</v>
      </c>
      <c r="M157" s="51">
        <f t="shared" si="21"/>
        <v>2.043760747434229</v>
      </c>
      <c r="N157" s="94">
        <f t="shared" si="17"/>
        <v>14.525567314707299</v>
      </c>
      <c r="O157" s="56">
        <f t="shared" si="18"/>
        <v>108.68813635312007</v>
      </c>
      <c r="P157" s="57">
        <f t="shared" si="19"/>
        <v>110.60143135024305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1.1530996352610121</v>
      </c>
      <c r="K158" s="51">
        <f t="shared" si="22"/>
        <v>2.0370647841223408</v>
      </c>
      <c r="L158" s="55">
        <f t="shared" si="23"/>
        <v>7.4963625952783842E-3</v>
      </c>
      <c r="M158" s="51">
        <f t="shared" si="21"/>
        <v>2.0445611467176192</v>
      </c>
      <c r="N158" s="94">
        <f t="shared" si="17"/>
        <v>14.22655133330357</v>
      </c>
      <c r="O158" s="56">
        <f t="shared" si="18"/>
        <v>108.90925421907176</v>
      </c>
      <c r="P158" s="57">
        <f t="shared" si="19"/>
        <v>110.80545635110968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1.1438742694912392</v>
      </c>
      <c r="K159" s="51">
        <f t="shared" si="22"/>
        <v>2.0379661760998271</v>
      </c>
      <c r="L159" s="55">
        <f t="shared" si="23"/>
        <v>7.4129210494922647E-3</v>
      </c>
      <c r="M159" s="51">
        <f t="shared" si="21"/>
        <v>2.0453790971493193</v>
      </c>
      <c r="N159" s="94">
        <f t="shared" si="17"/>
        <v>13.927535351899841</v>
      </c>
      <c r="O159" s="56">
        <f t="shared" si="18"/>
        <v>109.13553357568834</v>
      </c>
      <c r="P159" s="57">
        <f t="shared" si="19"/>
        <v>111.01434404761892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1.1344486757795007</v>
      </c>
      <c r="K160" s="51">
        <f t="shared" si="22"/>
        <v>2.0388871319477397</v>
      </c>
      <c r="L160" s="55">
        <f t="shared" si="23"/>
        <v>7.3282602533491737E-3</v>
      </c>
      <c r="M160" s="51">
        <f t="shared" si="21"/>
        <v>2.0462153922010891</v>
      </c>
      <c r="N160" s="94">
        <f t="shared" si="17"/>
        <v>13.628519370496115</v>
      </c>
      <c r="O160" s="56">
        <f t="shared" si="18"/>
        <v>109.36720967584463</v>
      </c>
      <c r="P160" s="57">
        <f t="shared" si="19"/>
        <v>111.22832372461505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1.1248139694142765</v>
      </c>
      <c r="K161" s="51">
        <f t="shared" si="22"/>
        <v>2.0398285197734127</v>
      </c>
      <c r="L161" s="55">
        <f t="shared" si="23"/>
        <v>7.2423610639903583E-3</v>
      </c>
      <c r="M161" s="51">
        <f t="shared" si="21"/>
        <v>2.0470708808374032</v>
      </c>
      <c r="N161" s="94">
        <f t="shared" si="17"/>
        <v>13.329503389092389</v>
      </c>
      <c r="O161" s="56">
        <f t="shared" si="18"/>
        <v>109.60453395867629</v>
      </c>
      <c r="P161" s="57">
        <f t="shared" si="19"/>
        <v>111.44764115077538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1.1149606608784046</v>
      </c>
      <c r="K162" s="51">
        <f t="shared" si="22"/>
        <v>2.0407912667785268</v>
      </c>
      <c r="L162" s="55">
        <f t="shared" si="23"/>
        <v>7.1552060687466411E-3</v>
      </c>
      <c r="M162" s="51">
        <f t="shared" si="21"/>
        <v>2.0479464728472734</v>
      </c>
      <c r="N162" s="94">
        <f t="shared" si="17"/>
        <v>13.030487407688653</v>
      </c>
      <c r="O162" s="56">
        <f t="shared" si="18"/>
        <v>109.8477755562934</v>
      </c>
      <c r="P162" s="57">
        <f t="shared" si="19"/>
        <v>111.67256019477009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1.1048785996777644</v>
      </c>
      <c r="K163" s="51">
        <f t="shared" si="22"/>
        <v>2.041776364747494</v>
      </c>
      <c r="L163" s="55">
        <f t="shared" si="23"/>
        <v>7.0667800869367893E-3</v>
      </c>
      <c r="M163" s="51">
        <f t="shared" si="21"/>
        <v>2.0488431448344309</v>
      </c>
      <c r="N163" s="94">
        <f t="shared" si="17"/>
        <v>12.73147142628493</v>
      </c>
      <c r="O163" s="56">
        <f t="shared" si="18"/>
        <v>110.09722297903635</v>
      </c>
      <c r="P163" s="57">
        <f t="shared" si="19"/>
        <v>111.9033646442207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1.0945569114934917</v>
      </c>
      <c r="K164" s="51">
        <f t="shared" si="22"/>
        <v>2.0427848761881897</v>
      </c>
      <c r="L164" s="55">
        <f t="shared" si="23"/>
        <v>6.9770707776373852E-3</v>
      </c>
      <c r="M164" s="51">
        <f t="shared" si="21"/>
        <v>2.0497619469658273</v>
      </c>
      <c r="N164" s="94">
        <f t="shared" si="17"/>
        <v>12.432455444881203</v>
      </c>
      <c r="O164" s="56">
        <f t="shared" si="18"/>
        <v>110.35318600518818</v>
      </c>
      <c r="P164" s="57">
        <f t="shared" si="19"/>
        <v>112.14036025867634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1.0839839276822272</v>
      </c>
      <c r="K165" s="51">
        <f t="shared" si="22"/>
        <v>2.0438179412203419</v>
      </c>
      <c r="L165" s="55">
        <f t="shared" si="23"/>
        <v>6.8860693761121864E-3</v>
      </c>
      <c r="M165" s="51">
        <f t="shared" si="21"/>
        <v>2.050704010596454</v>
      </c>
      <c r="N165" s="94">
        <f t="shared" si="17"/>
        <v>12.133439463477471</v>
      </c>
      <c r="O165" s="56">
        <f t="shared" si="18"/>
        <v>110.61599780553605</v>
      </c>
      <c r="P165" s="57">
        <f t="shared" si="19"/>
        <v>112.38387709354234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1.0731471059784405</v>
      </c>
      <c r="K166" s="51">
        <f t="shared" si="22"/>
        <v>2.0448767853235474</v>
      </c>
      <c r="L166" s="55">
        <f t="shared" si="23"/>
        <v>6.7937715867669628E-3</v>
      </c>
      <c r="M166" s="51">
        <f t="shared" si="21"/>
        <v>2.0516705569103144</v>
      </c>
      <c r="N166" s="94">
        <f t="shared" si="17"/>
        <v>11.83442348207374</v>
      </c>
      <c r="O166" s="56">
        <f t="shared" si="18"/>
        <v>110.88601733857006</v>
      </c>
      <c r="P166" s="57">
        <f t="shared" si="19"/>
        <v>112.63427213882146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1.062032941047524</v>
      </c>
      <c r="K167" s="51">
        <f t="shared" si="22"/>
        <v>2.0459627280769515</v>
      </c>
      <c r="L167" s="55">
        <f t="shared" si="23"/>
        <v>6.7001786669374759E-3</v>
      </c>
      <c r="M167" s="51">
        <f t="shared" si="21"/>
        <v>2.0526629067438891</v>
      </c>
      <c r="N167" s="94">
        <f t="shared" si="17"/>
        <v>11.535407500670011</v>
      </c>
      <c r="O167" s="56">
        <f t="shared" si="18"/>
        <v>111.16363205861455</v>
      </c>
      <c r="P167" s="57">
        <f t="shared" si="19"/>
        <v>112.89193232496056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1.0506268632898232</v>
      </c>
      <c r="K168" s="51">
        <f t="shared" si="22"/>
        <v>2.0470771930469001</v>
      </c>
      <c r="L168" s="55">
        <f t="shared" si="23"/>
        <v>6.605298743848461E-3</v>
      </c>
      <c r="M168" s="51">
        <f t="shared" si="21"/>
        <v>2.0536824917907484</v>
      </c>
      <c r="N168" s="94">
        <f t="shared" ref="N168:N204" si="24">10^$J168</f>
        <v>11.236391519266279</v>
      </c>
      <c r="O168" s="56">
        <f t="shared" ref="O168:O204" si="25">10^K168</f>
        <v>111.44926098708585</v>
      </c>
      <c r="P168" s="57">
        <f t="shared" ref="P168:P204" si="26">10^M168</f>
        <v>113.15727795840186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1.0389131239936111</v>
      </c>
      <c r="K169" s="51">
        <f t="shared" si="22"/>
        <v>2.0482217190084144</v>
      </c>
      <c r="L169" s="55">
        <f t="shared" si="23"/>
        <v>6.5091484171106023E-3</v>
      </c>
      <c r="M169" s="51">
        <f t="shared" ref="M169:M204" si="28">+$I$14+$I$13*J169+L169</f>
        <v>2.0547308674255249</v>
      </c>
      <c r="N169" s="94">
        <f t="shared" si="24"/>
        <v>10.937375537862561</v>
      </c>
      <c r="O169" s="56">
        <f t="shared" si="25"/>
        <v>111.74335820669737</v>
      </c>
      <c r="P169" s="57">
        <f t="shared" si="26"/>
        <v>113.43076666209834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1.0268746645657916</v>
      </c>
      <c r="K170" s="51">
        <f t="shared" si="22"/>
        <v>2.0493979727223954</v>
      </c>
      <c r="L170" s="55">
        <f t="shared" si="23"/>
        <v>6.4117547116671527E-3</v>
      </c>
      <c r="M170" s="51">
        <f t="shared" si="28"/>
        <v>2.0558097274340628</v>
      </c>
      <c r="N170" s="94">
        <f t="shared" si="24"/>
        <v>10.638359556458829</v>
      </c>
      <c r="O170" s="56">
        <f t="shared" si="25"/>
        <v>112.04641685021768</v>
      </c>
      <c r="P170" s="57">
        <f t="shared" si="26"/>
        <v>113.7128979118506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1.0144929671156793</v>
      </c>
      <c r="K171" s="51">
        <f t="shared" si="22"/>
        <v>2.0506077635347837</v>
      </c>
      <c r="L171" s="55">
        <f t="shared" si="23"/>
        <v>6.3131574618117631E-3</v>
      </c>
      <c r="M171" s="51">
        <f t="shared" si="28"/>
        <v>2.0569209209965953</v>
      </c>
      <c r="N171" s="94">
        <f t="shared" si="24"/>
        <v>10.339343575055098</v>
      </c>
      <c r="O171" s="56">
        <f t="shared" si="25"/>
        <v>112.35897366990903</v>
      </c>
      <c r="P171" s="57">
        <f t="shared" si="26"/>
        <v>114.0042182786641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1.0017478831072135</v>
      </c>
      <c r="K172" s="51">
        <f t="shared" si="22"/>
        <v>2.0518530601186074</v>
      </c>
      <c r="L172" s="55">
        <f t="shared" si="23"/>
        <v>6.2134122265846206E-3</v>
      </c>
      <c r="M172" s="51">
        <f t="shared" si="28"/>
        <v>2.058066472345192</v>
      </c>
      <c r="N172" s="94">
        <f t="shared" si="24"/>
        <v>10.040327593651369</v>
      </c>
      <c r="O172" s="56">
        <f t="shared" si="25"/>
        <v>112.68161429173996</v>
      </c>
      <c r="P172" s="57">
        <f t="shared" si="26"/>
        <v>114.30532751137848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0.98861743609949604</v>
      </c>
      <c r="K173" s="51">
        <f t="shared" si="22"/>
        <v>2.0531360097478073</v>
      </c>
      <c r="L173" s="55">
        <f t="shared" si="23"/>
        <v>6.1125938615204569E-3</v>
      </c>
      <c r="M173" s="51">
        <f t="shared" si="28"/>
        <v>2.0592486036093276</v>
      </c>
      <c r="N173" s="94">
        <f t="shared" si="24"/>
        <v>9.7413116122476424</v>
      </c>
      <c r="O173" s="56">
        <f t="shared" si="25"/>
        <v>113.01497928085202</v>
      </c>
      <c r="P173" s="57">
        <f t="shared" si="26"/>
        <v>114.61688562389745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0.97507759372648606</v>
      </c>
      <c r="K174" s="51">
        <f t="shared" si="22"/>
        <v>2.0544589605766457</v>
      </c>
      <c r="L174" s="55">
        <f t="shared" si="23"/>
        <v>6.010800902599144E-3</v>
      </c>
      <c r="M174" s="51">
        <f t="shared" si="28"/>
        <v>2.0604697614792449</v>
      </c>
      <c r="N174" s="94">
        <f t="shared" si="24"/>
        <v>9.4422956308439137</v>
      </c>
      <c r="O174" s="56">
        <f t="shared" si="25"/>
        <v>113.35977117280069</v>
      </c>
      <c r="P174" s="57">
        <f t="shared" si="26"/>
        <v>114.93962118913201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0.96110200297378356</v>
      </c>
      <c r="K175" s="51">
        <f t="shared" si="22"/>
        <v>2.0558244875052787</v>
      </c>
      <c r="L175" s="55">
        <f t="shared" si="23"/>
        <v>5.9081609568172443E-3</v>
      </c>
      <c r="M175" s="51">
        <f t="shared" si="28"/>
        <v>2.0617326484620961</v>
      </c>
      <c r="N175" s="94">
        <f t="shared" si="24"/>
        <v>9.1432796494401867</v>
      </c>
      <c r="O175" s="56">
        <f t="shared" si="25"/>
        <v>113.71676266045574</v>
      </c>
      <c r="P175" s="57">
        <f t="shared" si="26"/>
        <v>115.27434108942832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0.94666168142661899</v>
      </c>
      <c r="K176" s="51">
        <f t="shared" si="22"/>
        <v>2.0572354223472971</v>
      </c>
      <c r="L176" s="55">
        <f t="shared" si="23"/>
        <v>5.8048373417896688E-3</v>
      </c>
      <c r="M176" s="51">
        <f t="shared" si="28"/>
        <v>2.0630402596890867</v>
      </c>
      <c r="N176" s="94">
        <f t="shared" si="24"/>
        <v>8.8442636680364615</v>
      </c>
      <c r="O176" s="56">
        <f t="shared" si="25"/>
        <v>114.08680617135752</v>
      </c>
      <c r="P176" s="57">
        <f t="shared" si="26"/>
        <v>115.62194203368961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0.93172465539834259</v>
      </c>
      <c r="K177" s="51">
        <f t="shared" si="22"/>
        <v>2.0586948891874632</v>
      </c>
      <c r="L177" s="55">
        <f t="shared" si="23"/>
        <v>5.7010372761502875E-3</v>
      </c>
      <c r="M177" s="51">
        <f t="shared" si="28"/>
        <v>2.0643959264636136</v>
      </c>
      <c r="N177" s="94">
        <f t="shared" si="24"/>
        <v>8.5452476866327309</v>
      </c>
      <c r="O177" s="56">
        <f t="shared" si="25"/>
        <v>114.47084512776901</v>
      </c>
      <c r="P177" s="57">
        <f t="shared" si="26"/>
        <v>115.98342422834742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0.91625553358062306</v>
      </c>
      <c r="K178" s="51">
        <f t="shared" si="22"/>
        <v>2.0602063460394979</v>
      </c>
      <c r="L178" s="55">
        <f t="shared" si="23"/>
        <v>5.5970219952846071E-3</v>
      </c>
      <c r="M178" s="51">
        <f t="shared" si="28"/>
        <v>2.0658033680347825</v>
      </c>
      <c r="N178" s="94">
        <f t="shared" si="24"/>
        <v>8.2462317052290022</v>
      </c>
      <c r="O178" s="56">
        <f t="shared" si="25"/>
        <v>114.86992725572016</v>
      </c>
      <c r="P178" s="57">
        <f t="shared" si="26"/>
        <v>116.35990768778339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0.90021500191778225</v>
      </c>
      <c r="K179" s="51">
        <f t="shared" si="22"/>
        <v>2.0617736342008923</v>
      </c>
      <c r="L179" s="55">
        <f t="shared" si="23"/>
        <v>5.4931192549498133E-3</v>
      </c>
      <c r="M179" s="51">
        <f t="shared" si="28"/>
        <v>2.0672667534558422</v>
      </c>
      <c r="N179" s="94">
        <f t="shared" si="24"/>
        <v>7.9472157238252734</v>
      </c>
      <c r="O179" s="56">
        <f t="shared" si="25"/>
        <v>115.28522040559642</v>
      </c>
      <c r="P179" s="57">
        <f t="shared" si="26"/>
        <v>116.75265179628681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0.88355922156651545</v>
      </c>
      <c r="K180" s="51">
        <f t="shared" si="22"/>
        <v>2.0634010370770577</v>
      </c>
      <c r="L180" s="55">
        <f t="shared" si="23"/>
        <v>5.3897387897676504E-3</v>
      </c>
      <c r="M180" s="51">
        <f t="shared" si="28"/>
        <v>2.0687907758668254</v>
      </c>
      <c r="N180" s="94">
        <f t="shared" si="24"/>
        <v>7.6481997424215411</v>
      </c>
      <c r="O180" s="56">
        <f t="shared" si="25"/>
        <v>115.71803147305985</v>
      </c>
      <c r="P180" s="57">
        <f t="shared" si="26"/>
        <v>117.16307889688275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0.8662391067344255</v>
      </c>
      <c r="K181" s="51">
        <f t="shared" si="22"/>
        <v>2.0650933507422717</v>
      </c>
      <c r="L181" s="55">
        <f t="shared" si="23"/>
        <v>5.2873914139398787E-3</v>
      </c>
      <c r="M181" s="51">
        <f t="shared" si="28"/>
        <v>2.0703807421562117</v>
      </c>
      <c r="N181" s="94">
        <f t="shared" si="24"/>
        <v>7.3491837610178132</v>
      </c>
      <c r="O181" s="56">
        <f t="shared" si="25"/>
        <v>116.16982917619445</v>
      </c>
      <c r="P181" s="57">
        <f t="shared" si="26"/>
        <v>117.59280289400678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0.84819945243729067</v>
      </c>
      <c r="K182" s="51">
        <f t="shared" si="22"/>
        <v>2.066855969164767</v>
      </c>
      <c r="L182" s="55">
        <f t="shared" si="23"/>
        <v>5.1867125842218042E-3</v>
      </c>
      <c r="M182" s="51">
        <f t="shared" si="28"/>
        <v>2.072042681748989</v>
      </c>
      <c r="N182" s="94">
        <f t="shared" si="24"/>
        <v>7.0501677796140871</v>
      </c>
      <c r="O182" s="56">
        <f t="shared" si="25"/>
        <v>116.64227166825967</v>
      </c>
      <c r="P182" s="57">
        <f t="shared" si="26"/>
        <v>118.04366413271843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0.82937787311753575</v>
      </c>
      <c r="K183" s="51">
        <f t="shared" si="22"/>
        <v>2.0686949879121901</v>
      </c>
      <c r="L183" s="55">
        <f t="shared" si="23"/>
        <v>5.0884913811181688E-3</v>
      </c>
      <c r="M183" s="51">
        <f t="shared" si="28"/>
        <v>2.0737834792933083</v>
      </c>
      <c r="N183" s="94">
        <f t="shared" si="24"/>
        <v>6.7511517982103566</v>
      </c>
      <c r="O183" s="56">
        <f t="shared" si="25"/>
        <v>117.13724026758014</v>
      </c>
      <c r="P183" s="57">
        <f t="shared" si="26"/>
        <v>118.51777217830372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0.80970350066807939</v>
      </c>
      <c r="K184" s="51">
        <f t="shared" si="22"/>
        <v>2.0706173313650775</v>
      </c>
      <c r="L184" s="55">
        <f t="shared" si="23"/>
        <v>4.9937059856326686E-3</v>
      </c>
      <c r="M184" s="51">
        <f t="shared" si="28"/>
        <v>2.0756110373507104</v>
      </c>
      <c r="N184" s="94">
        <f t="shared" si="24"/>
        <v>6.4521358168066287</v>
      </c>
      <c r="O184" s="56">
        <f t="shared" si="25"/>
        <v>117.65688099946409</v>
      </c>
      <c r="P184" s="57">
        <f t="shared" si="26"/>
        <v>119.01755859645758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0.78909537329498824</v>
      </c>
      <c r="K185" s="51">
        <f t="shared" si="22"/>
        <v>2.0726309101378546</v>
      </c>
      <c r="L185" s="55">
        <f t="shared" si="23"/>
        <v>4.9035668052430682E-3</v>
      </c>
      <c r="M185" s="51">
        <f t="shared" si="28"/>
        <v>2.0775344769430979</v>
      </c>
      <c r="N185" s="94">
        <f t="shared" si="24"/>
        <v>6.1531198354029017</v>
      </c>
      <c r="O185" s="56">
        <f t="shared" si="25"/>
        <v>118.20365621777754</v>
      </c>
      <c r="P185" s="57">
        <f t="shared" si="26"/>
        <v>119.54584246831828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0.76746042271319626</v>
      </c>
      <c r="K186" s="51">
        <f t="shared" si="22"/>
        <v>2.0747448177459016</v>
      </c>
      <c r="L186" s="55">
        <f t="shared" si="23"/>
        <v>4.8195683876516683E-3</v>
      </c>
      <c r="M186" s="51">
        <f t="shared" si="28"/>
        <v>2.0795643861335531</v>
      </c>
      <c r="N186" s="94">
        <f t="shared" si="24"/>
        <v>5.8541038539991712</v>
      </c>
      <c r="O186" s="56">
        <f t="shared" si="25"/>
        <v>118.78040937842795</v>
      </c>
      <c r="P186" s="57">
        <f t="shared" si="26"/>
        <v>120.10591222973169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0.7446909331745416</v>
      </c>
      <c r="K187" s="51">
        <f t="shared" si="22"/>
        <v>2.0769695788788254</v>
      </c>
      <c r="L187" s="55">
        <f t="shared" si="23"/>
        <v>4.7435510927326266E-3</v>
      </c>
      <c r="M187" s="51">
        <f t="shared" si="28"/>
        <v>2.0817131299715581</v>
      </c>
      <c r="N187" s="94">
        <f t="shared" si="24"/>
        <v>5.5550878725954451</v>
      </c>
      <c r="O187" s="56">
        <f t="shared" si="25"/>
        <v>119.39044718458399</v>
      </c>
      <c r="P187" s="57">
        <f t="shared" si="26"/>
        <v>120.70162859906858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0.7206612967599314</v>
      </c>
      <c r="K188" s="51">
        <f t="shared" si="22"/>
        <v>2.079317466434353</v>
      </c>
      <c r="L188" s="55">
        <f t="shared" si="23"/>
        <v>4.6777731082169966E-3</v>
      </c>
      <c r="M188" s="51">
        <f t="shared" si="28"/>
        <v>2.08399523954257</v>
      </c>
      <c r="N188" s="94">
        <f t="shared" si="24"/>
        <v>5.2560718911917181</v>
      </c>
      <c r="O188" s="56">
        <f t="shared" si="25"/>
        <v>120.03764498735761</v>
      </c>
      <c r="P188" s="57">
        <f t="shared" si="26"/>
        <v>121.33755501479084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0.6952238172661499</v>
      </c>
      <c r="K189" s="51">
        <f t="shared" si="22"/>
        <v>2.0818029115121286</v>
      </c>
      <c r="L189" s="55">
        <f t="shared" si="23"/>
        <v>4.6249927666728047E-3</v>
      </c>
      <c r="M189" s="51">
        <f t="shared" si="28"/>
        <v>2.0864279042788012</v>
      </c>
      <c r="N189" s="94">
        <f t="shared" si="24"/>
        <v>4.9570559097879832</v>
      </c>
      <c r="O189" s="56">
        <f t="shared" si="25"/>
        <v>120.72658378232644</v>
      </c>
      <c r="P189" s="57">
        <f t="shared" si="26"/>
        <v>122.01912442123421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0.66820320695577473</v>
      </c>
      <c r="K190" s="51">
        <f t="shared" si="22"/>
        <v>2.084443041125239</v>
      </c>
      <c r="L190" s="55">
        <f t="shared" si="23"/>
        <v>4.5885603503005856E-3</v>
      </c>
      <c r="M190" s="51">
        <f t="shared" si="28"/>
        <v>2.0890316014755395</v>
      </c>
      <c r="N190" s="94">
        <f t="shared" si="24"/>
        <v>4.6580399283842562</v>
      </c>
      <c r="O190" s="56">
        <f t="shared" si="25"/>
        <v>121.46273084268772</v>
      </c>
      <c r="P190" s="57">
        <f t="shared" si="26"/>
        <v>122.7528549129805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0.63938925488896969</v>
      </c>
      <c r="K191" s="51">
        <f t="shared" si="22"/>
        <v>2.0872583945628005</v>
      </c>
      <c r="L191" s="55">
        <f t="shared" si="23"/>
        <v>4.5725180468104091E-3</v>
      </c>
      <c r="M191" s="51">
        <f t="shared" si="28"/>
        <v>2.0918309126096108</v>
      </c>
      <c r="N191" s="94">
        <f t="shared" si="24"/>
        <v>4.3590239469805283</v>
      </c>
      <c r="O191" s="56">
        <f t="shared" si="25"/>
        <v>122.25268172888632</v>
      </c>
      <c r="P191" s="57">
        <f t="shared" si="26"/>
        <v>123.54663256763536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0.60852688564681356</v>
      </c>
      <c r="K192" s="51">
        <f t="shared" si="22"/>
        <v>2.0902738947321535</v>
      </c>
      <c r="L192" s="55">
        <f t="shared" si="23"/>
        <v>4.5817073764563843E-3</v>
      </c>
      <c r="M192" s="51">
        <f t="shared" si="28"/>
        <v>2.09485560210861</v>
      </c>
      <c r="N192" s="94">
        <f t="shared" si="24"/>
        <v>4.0600079655767987</v>
      </c>
      <c r="O192" s="56">
        <f t="shared" si="25"/>
        <v>123.10449041222545</v>
      </c>
      <c r="P192" s="57">
        <f t="shared" si="26"/>
        <v>124.41008938413243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0.57530240780870245</v>
      </c>
      <c r="K193" s="51">
        <f t="shared" si="22"/>
        <v>2.0935201917925439</v>
      </c>
      <c r="L193" s="55">
        <f t="shared" si="23"/>
        <v>4.621887018983104E-3</v>
      </c>
      <c r="M193" s="51">
        <f t="shared" si="28"/>
        <v>2.0981420788115268</v>
      </c>
      <c r="N193" s="94">
        <f t="shared" si="24"/>
        <v>3.7609919841730708</v>
      </c>
      <c r="O193" s="56">
        <f t="shared" si="25"/>
        <v>124.02812885738702</v>
      </c>
      <c r="P193" s="57">
        <f t="shared" si="26"/>
        <v>125.35512053308372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0.53932405316936483</v>
      </c>
      <c r="K194" s="51">
        <f t="shared" ref="K194:K204" si="29">+$I$14+$I$13*J194</f>
        <v>2.0970355646291758</v>
      </c>
      <c r="L194" s="55">
        <f t="shared" ref="L194:L204" si="30">SQRT(2*$I$20*$I$17)*SQRT((1/$I$2)+((J194-$I$11)^2/$I$8))</f>
        <v>4.6998733747563312E-3</v>
      </c>
      <c r="M194" s="51">
        <f t="shared" si="28"/>
        <v>2.1017354380039324</v>
      </c>
      <c r="N194" s="94">
        <f t="shared" si="24"/>
        <v>3.4619760027693434</v>
      </c>
      <c r="O194" s="56">
        <f t="shared" si="25"/>
        <v>125.03614188533552</v>
      </c>
      <c r="P194" s="57">
        <f t="shared" si="26"/>
        <v>126.39661344207229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0.50009370263022368</v>
      </c>
      <c r="K195" s="51">
        <f t="shared" si="29"/>
        <v>2.1008686834596308</v>
      </c>
      <c r="L195" s="55">
        <f t="shared" si="30"/>
        <v>4.8237353869023001E-3</v>
      </c>
      <c r="M195" s="51">
        <f t="shared" si="28"/>
        <v>2.1056924188465334</v>
      </c>
      <c r="N195" s="94">
        <f t="shared" si="24"/>
        <v>3.1629600213656177</v>
      </c>
      <c r="O195" s="56">
        <f t="shared" si="25"/>
        <v>126.14460566192885</v>
      </c>
      <c r="P195" s="57">
        <f t="shared" si="26"/>
        <v>127.5535114333524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0.45696452782115526</v>
      </c>
      <c r="K196" s="51">
        <f t="shared" si="29"/>
        <v>2.10508274858601</v>
      </c>
      <c r="L196" s="55">
        <f t="shared" si="30"/>
        <v>5.0031094717319941E-3</v>
      </c>
      <c r="M196" s="51">
        <f t="shared" si="28"/>
        <v>2.110085858057742</v>
      </c>
      <c r="N196" s="94">
        <f t="shared" si="24"/>
        <v>2.8639440399618867</v>
      </c>
      <c r="O196" s="56">
        <f t="shared" si="25"/>
        <v>127.37457518854889</v>
      </c>
      <c r="P196" s="57">
        <f t="shared" si="26"/>
        <v>128.85042579879146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0.40907518846952234</v>
      </c>
      <c r="K197" s="51">
        <f t="shared" si="29"/>
        <v>2.1097619198379634</v>
      </c>
      <c r="L197" s="55">
        <f t="shared" si="30"/>
        <v>5.2497583927182921E-3</v>
      </c>
      <c r="M197" s="51">
        <f t="shared" si="28"/>
        <v>2.1150116782306818</v>
      </c>
      <c r="N197" s="94">
        <f t="shared" si="24"/>
        <v>2.5649280585581593</v>
      </c>
      <c r="O197" s="56">
        <f t="shared" si="25"/>
        <v>128.75435270442455</v>
      </c>
      <c r="P197" s="57">
        <f t="shared" si="26"/>
        <v>130.32018212343473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0.35524305418250768</v>
      </c>
      <c r="K198" s="51">
        <f t="shared" si="29"/>
        <v>2.1150217496580734</v>
      </c>
      <c r="L198" s="55">
        <f t="shared" si="30"/>
        <v>5.578598891344694E-3</v>
      </c>
      <c r="M198" s="51">
        <f t="shared" si="28"/>
        <v>2.1206003485494183</v>
      </c>
      <c r="N198" s="94">
        <f t="shared" si="24"/>
        <v>2.2659120771544328</v>
      </c>
      <c r="O198" s="56">
        <f t="shared" si="25"/>
        <v>130.32320432501791</v>
      </c>
      <c r="P198" s="57">
        <f t="shared" si="26"/>
        <v>132.00802956416712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0.29378141826504356</v>
      </c>
      <c r="K199" s="51">
        <f t="shared" si="29"/>
        <v>2.1210270427729223</v>
      </c>
      <c r="L199" s="55">
        <f t="shared" si="30"/>
        <v>6.0096201076357122E-3</v>
      </c>
      <c r="M199" s="51">
        <f t="shared" si="28"/>
        <v>2.1270366628805579</v>
      </c>
      <c r="N199" s="94">
        <f t="shared" si="24"/>
        <v>1.966896095750702</v>
      </c>
      <c r="O199" s="56">
        <f t="shared" si="25"/>
        <v>132.13779115623666</v>
      </c>
      <c r="P199" s="57">
        <f t="shared" si="26"/>
        <v>133.97897869049092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0.22216483074492174</v>
      </c>
      <c r="K200" s="51">
        <f t="shared" si="29"/>
        <v>2.1280245558316553</v>
      </c>
      <c r="L200" s="55">
        <f t="shared" si="30"/>
        <v>6.5715626883485131E-3</v>
      </c>
      <c r="M200" s="51">
        <f t="shared" si="28"/>
        <v>2.1345961185200037</v>
      </c>
      <c r="N200" s="94">
        <f t="shared" si="24"/>
        <v>1.6678801143469748</v>
      </c>
      <c r="O200" s="56">
        <f t="shared" si="25"/>
        <v>134.2840885755605</v>
      </c>
      <c r="P200" s="57">
        <f t="shared" si="26"/>
        <v>136.3314703091294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0.13636034423240601</v>
      </c>
      <c r="K201" s="51">
        <f t="shared" si="29"/>
        <v>2.1364083400310978</v>
      </c>
      <c r="L201" s="55">
        <f t="shared" si="30"/>
        <v>7.3094023595220116E-3</v>
      </c>
      <c r="M201" s="51">
        <f t="shared" si="28"/>
        <v>2.1437177423906197</v>
      </c>
      <c r="N201" s="94">
        <f t="shared" si="24"/>
        <v>1.3688641329432478</v>
      </c>
      <c r="O201" s="56">
        <f t="shared" si="25"/>
        <v>136.90154205156591</v>
      </c>
      <c r="P201" s="57">
        <f t="shared" si="26"/>
        <v>139.22516536316616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2.9322140649387322E-2</v>
      </c>
      <c r="K202" s="51">
        <f t="shared" si="29"/>
        <v>2.146866828117326</v>
      </c>
      <c r="L202" s="55">
        <f t="shared" si="30"/>
        <v>8.3012543763797929E-3</v>
      </c>
      <c r="M202" s="51">
        <f t="shared" si="28"/>
        <v>2.1551680824937058</v>
      </c>
      <c r="N202" s="94">
        <f t="shared" si="24"/>
        <v>1.0698481515395137</v>
      </c>
      <c r="O202" s="56">
        <f t="shared" si="25"/>
        <v>140.23836122851796</v>
      </c>
      <c r="P202" s="57">
        <f t="shared" si="26"/>
        <v>142.94470821449485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-0.11304016866512022</v>
      </c>
      <c r="K203" s="51">
        <f t="shared" si="29"/>
        <v>2.1607767636922341</v>
      </c>
      <c r="L203" s="55">
        <f t="shared" si="30"/>
        <v>9.7036243317958019E-3</v>
      </c>
      <c r="M203" s="51">
        <f t="shared" si="28"/>
        <v>2.1704803880240298</v>
      </c>
      <c r="N203" s="94">
        <f t="shared" si="24"/>
        <v>0.77083217013578675</v>
      </c>
      <c r="O203" s="56">
        <f t="shared" si="25"/>
        <v>144.80273463377526</v>
      </c>
      <c r="P203" s="57">
        <f t="shared" si="26"/>
        <v>148.07453858969532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-0.32622716188962519</v>
      </c>
      <c r="K204" s="51">
        <f t="shared" si="29"/>
        <v>2.1816068370131858</v>
      </c>
      <c r="L204" s="55">
        <f t="shared" si="30"/>
        <v>1.1912675248703104E-2</v>
      </c>
      <c r="M204" s="51">
        <f t="shared" si="28"/>
        <v>2.1935195122618891</v>
      </c>
      <c r="N204" s="97">
        <f t="shared" si="24"/>
        <v>0.47181618873205977</v>
      </c>
      <c r="O204" s="91">
        <f t="shared" si="25"/>
        <v>151.91716142812129</v>
      </c>
      <c r="P204" s="92">
        <f t="shared" si="26"/>
        <v>156.1419188839613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20" zoomScaleNormal="100" workbookViewId="0">
      <selection activeCell="I49" sqref="I49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G30 85L'!O7</f>
        <v>8404157059.0284328</v>
      </c>
      <c r="B2" s="48">
        <f>'New Vestas G30 85L'!T7</f>
        <v>100.92286507311093</v>
      </c>
      <c r="C2" s="50">
        <f t="shared" ref="C2:D42" si="0">IF(ISNA(A2),"",LOG10(A2))</f>
        <v>9.9244941600156871</v>
      </c>
      <c r="D2" s="50">
        <f t="shared" si="0"/>
        <v>2.0039895710942521</v>
      </c>
      <c r="E2" s="51">
        <f>IF(C2="","",C2^2)</f>
        <v>98.495584332185473</v>
      </c>
      <c r="F2" s="51">
        <f>IF(D2="","",D2^2)</f>
        <v>4.015974201054525</v>
      </c>
      <c r="G2" s="52">
        <f>IF(OR(C2="",D2=""),"",C2*D2)</f>
        <v>19.888582795057246</v>
      </c>
      <c r="H2" s="53" t="s">
        <v>57</v>
      </c>
      <c r="I2" s="54">
        <f>COUNT(C:C)</f>
        <v>41</v>
      </c>
      <c r="J2" s="51">
        <f t="shared" ref="J2:J65" si="1">LOG($I$24+($I$25-$I$24)*(ROW()-2)/100)</f>
        <v>9.9244941600156871</v>
      </c>
      <c r="K2" s="51">
        <f t="shared" ref="K2:K65" si="2">+$I$14+$I$13*J2</f>
        <v>2.0048803593849414</v>
      </c>
      <c r="L2" s="55">
        <f t="shared" ref="L2:L65" si="3">SQRT(2*$I$20*$I$17)*SQRT((1/$I$2)+((J2-$I$11)^2/$I$8))</f>
        <v>1.0735098309805829E-2</v>
      </c>
      <c r="M2" s="51">
        <f t="shared" ref="M2:M65" si="4">+$I$14+$I$13*J2-L2</f>
        <v>1.9941452610751356</v>
      </c>
      <c r="N2" s="94">
        <f>10^$J2</f>
        <v>8404157059.0284405</v>
      </c>
      <c r="O2" s="56">
        <f>10^K2</f>
        <v>101.13008200050822</v>
      </c>
      <c r="P2" s="57">
        <f t="shared" ref="P2:P65" si="5">10^M2</f>
        <v>98.660942761059431</v>
      </c>
      <c r="R2" s="47"/>
      <c r="S2" s="47"/>
      <c r="T2" s="47"/>
    </row>
    <row r="3" spans="1:20" ht="12.75" customHeight="1" x14ac:dyDescent="0.35">
      <c r="A3" s="49">
        <f>'New Vestas G30 85L'!O8</f>
        <v>1089914118.5927498</v>
      </c>
      <c r="B3" s="48">
        <f>'New Vestas G30 85L'!T8</f>
        <v>117.92779020417348</v>
      </c>
      <c r="C3" s="50">
        <f t="shared" si="0"/>
        <v>9.0373922784078733</v>
      </c>
      <c r="D3" s="50">
        <f t="shared" si="0"/>
        <v>2.0716161605670114</v>
      </c>
      <c r="E3" s="51">
        <f t="shared" ref="E3:F42" si="6">IF(C3="","",C3^2)</f>
        <v>81.674459193826252</v>
      </c>
      <c r="F3" s="51">
        <f t="shared" si="6"/>
        <v>4.2915935167224051</v>
      </c>
      <c r="G3" s="52">
        <f t="shared" ref="G3:G42" si="7">IF(OR(C3="",D3=""),"",C3*D3)</f>
        <v>18.722007893333274</v>
      </c>
      <c r="H3" s="53" t="s">
        <v>58</v>
      </c>
      <c r="I3" s="58">
        <f>SUM(C:C)</f>
        <v>372.13037550647408</v>
      </c>
      <c r="J3" s="51">
        <f t="shared" si="1"/>
        <v>9.9201974933802308</v>
      </c>
      <c r="K3" s="51">
        <f t="shared" si="2"/>
        <v>2.0053001780600797</v>
      </c>
      <c r="L3" s="55">
        <f t="shared" si="3"/>
        <v>1.0690600222829787E-2</v>
      </c>
      <c r="M3" s="51">
        <f t="shared" si="4"/>
        <v>1.9946095778372499</v>
      </c>
      <c r="N3" s="94">
        <f t="shared" ref="N3:N66" si="8">10^$J3</f>
        <v>8321420977.9396591</v>
      </c>
      <c r="O3" s="56">
        <f t="shared" ref="O3:O66" si="9">10^K3</f>
        <v>101.22788850278366</v>
      </c>
      <c r="P3" s="57">
        <f t="shared" si="5"/>
        <v>98.766480428444098</v>
      </c>
      <c r="R3" s="47"/>
      <c r="S3" s="47"/>
      <c r="T3" s="47"/>
    </row>
    <row r="4" spans="1:20" ht="12.75" customHeight="1" x14ac:dyDescent="0.35">
      <c r="A4" s="49">
        <f>'New Vestas G30 85L'!O9</f>
        <v>1743862589.7484002</v>
      </c>
      <c r="B4" s="48">
        <f>'New Vestas G30 85L'!T9</f>
        <v>117.59224858897701</v>
      </c>
      <c r="C4" s="50">
        <f t="shared" si="0"/>
        <v>9.2415122610637983</v>
      </c>
      <c r="D4" s="50">
        <f t="shared" si="0"/>
        <v>2.0703786949885523</v>
      </c>
      <c r="E4" s="51">
        <f t="shared" si="6"/>
        <v>85.405548871392512</v>
      </c>
      <c r="F4" s="51">
        <f t="shared" si="6"/>
        <v>4.2864679406625008</v>
      </c>
      <c r="G4" s="52">
        <f t="shared" si="7"/>
        <v>19.133430094781971</v>
      </c>
      <c r="H4" s="59" t="s">
        <v>59</v>
      </c>
      <c r="I4" s="58">
        <f>SUM(D:D)</f>
        <v>85.59778126516828</v>
      </c>
      <c r="J4" s="51">
        <f t="shared" si="1"/>
        <v>9.9158578928108572</v>
      </c>
      <c r="K4" s="51">
        <f t="shared" si="2"/>
        <v>2.0057241917237483</v>
      </c>
      <c r="L4" s="55">
        <f t="shared" si="3"/>
        <v>1.0645699542739319E-2</v>
      </c>
      <c r="M4" s="51">
        <f t="shared" si="4"/>
        <v>1.995078492181009</v>
      </c>
      <c r="N4" s="94">
        <f t="shared" si="8"/>
        <v>8238684896.8508434</v>
      </c>
      <c r="O4" s="56">
        <f t="shared" si="9"/>
        <v>101.32676833996504</v>
      </c>
      <c r="P4" s="57">
        <f t="shared" si="5"/>
        <v>98.873177687383048</v>
      </c>
      <c r="R4" s="47"/>
      <c r="S4" s="47"/>
      <c r="T4" s="47"/>
    </row>
    <row r="5" spans="1:20" ht="12.75" customHeight="1" x14ac:dyDescent="0.35">
      <c r="A5" s="49">
        <f>'New Vestas G30 85L'!O10</f>
        <v>1961845413.4669502</v>
      </c>
      <c r="B5" s="48">
        <f>'New Vestas G30 85L'!T10</f>
        <v>115.98644228767971</v>
      </c>
      <c r="C5" s="50">
        <f t="shared" si="0"/>
        <v>9.2926647835111797</v>
      </c>
      <c r="D5" s="50">
        <f t="shared" si="0"/>
        <v>2.0644072272979317</v>
      </c>
      <c r="E5" s="51">
        <f t="shared" si="6"/>
        <v>86.353618778708878</v>
      </c>
      <c r="F5" s="51">
        <f t="shared" si="6"/>
        <v>4.2617772001199343</v>
      </c>
      <c r="G5" s="52">
        <f t="shared" si="7"/>
        <v>19.183844339937448</v>
      </c>
      <c r="H5" s="59" t="s">
        <v>60</v>
      </c>
      <c r="I5" s="58">
        <f>SUM(E:E)</f>
        <v>3384.1212643479889</v>
      </c>
      <c r="J5" s="51">
        <f t="shared" si="1"/>
        <v>9.9114744916154383</v>
      </c>
      <c r="K5" s="51">
        <f t="shared" si="2"/>
        <v>2.0061524850586965</v>
      </c>
      <c r="L5" s="55">
        <f t="shared" si="3"/>
        <v>1.06003891142557E-2</v>
      </c>
      <c r="M5" s="51">
        <f t="shared" si="4"/>
        <v>1.9955520959444408</v>
      </c>
      <c r="N5" s="94">
        <f t="shared" si="8"/>
        <v>8155948815.7620525</v>
      </c>
      <c r="O5" s="56">
        <f t="shared" si="9"/>
        <v>101.42674424877771</v>
      </c>
      <c r="P5" s="57">
        <f t="shared" si="5"/>
        <v>98.981058981891564</v>
      </c>
      <c r="R5" s="47"/>
      <c r="S5" s="47"/>
      <c r="T5" s="47"/>
    </row>
    <row r="6" spans="1:20" ht="12.75" customHeight="1" x14ac:dyDescent="0.35">
      <c r="A6" s="49">
        <f>'New Vestas G30 85L'!O11</f>
        <v>2615793884.6225996</v>
      </c>
      <c r="B6" s="48">
        <f>'New Vestas G30 85L'!T11</f>
        <v>113.70955275598949</v>
      </c>
      <c r="C6" s="50">
        <f t="shared" si="0"/>
        <v>9.4176035201194797</v>
      </c>
      <c r="D6" s="50">
        <f t="shared" si="0"/>
        <v>2.0557969513626819</v>
      </c>
      <c r="E6" s="51">
        <f t="shared" si="6"/>
        <v>88.691256062166815</v>
      </c>
      <c r="F6" s="51">
        <f t="shared" si="6"/>
        <v>4.2263011052320971</v>
      </c>
      <c r="G6" s="52">
        <f t="shared" si="7"/>
        <v>19.360680605804088</v>
      </c>
      <c r="H6" s="59" t="s">
        <v>61</v>
      </c>
      <c r="I6" s="58">
        <f>SUM(F:F)</f>
        <v>178.77438798716196</v>
      </c>
      <c r="J6" s="51">
        <f t="shared" si="1"/>
        <v>9.9070463965906175</v>
      </c>
      <c r="K6" s="51">
        <f t="shared" si="2"/>
        <v>2.0065851453380312</v>
      </c>
      <c r="L6" s="55">
        <f t="shared" si="3"/>
        <v>1.0554661597819318E-2</v>
      </c>
      <c r="M6" s="51">
        <f t="shared" si="4"/>
        <v>1.9960304837402119</v>
      </c>
      <c r="N6" s="94">
        <f t="shared" si="8"/>
        <v>8073212734.6732635</v>
      </c>
      <c r="O6" s="56">
        <f t="shared" si="9"/>
        <v>101.52783968444776</v>
      </c>
      <c r="P6" s="57">
        <f t="shared" si="5"/>
        <v>99.090149522077141</v>
      </c>
      <c r="R6" s="47"/>
      <c r="S6" s="47"/>
      <c r="T6" s="47"/>
    </row>
    <row r="7" spans="1:20" ht="12.75" customHeight="1" x14ac:dyDescent="0.35">
      <c r="A7" s="49">
        <f>'New Vestas G30 85L'!O12</f>
        <v>2833776708.3411503</v>
      </c>
      <c r="B7" s="48">
        <f>'New Vestas G30 85L'!T12</f>
        <v>110.78554725213468</v>
      </c>
      <c r="C7" s="50">
        <f t="shared" si="0"/>
        <v>9.4523656263786915</v>
      </c>
      <c r="D7" s="50">
        <f t="shared" si="0"/>
        <v>2.0444831073414065</v>
      </c>
      <c r="E7" s="51">
        <f t="shared" si="6"/>
        <v>89.347215934745435</v>
      </c>
      <c r="F7" s="51">
        <f t="shared" si="6"/>
        <v>4.1799111762043726</v>
      </c>
      <c r="G7" s="52">
        <f t="shared" si="7"/>
        <v>19.325201847545806</v>
      </c>
      <c r="H7" s="59" t="s">
        <v>62</v>
      </c>
      <c r="I7" s="58">
        <f>SUM(G:G)</f>
        <v>776.27690473314863</v>
      </c>
      <c r="J7" s="51">
        <f t="shared" si="1"/>
        <v>9.9025726869293962</v>
      </c>
      <c r="K7" s="51">
        <f t="shared" si="2"/>
        <v>2.0070222625319571</v>
      </c>
      <c r="L7" s="55">
        <f t="shared" si="3"/>
        <v>1.0508509463649722E-2</v>
      </c>
      <c r="M7" s="51">
        <f t="shared" si="4"/>
        <v>1.9965137530683075</v>
      </c>
      <c r="N7" s="94">
        <f t="shared" si="8"/>
        <v>7990476653.5844641</v>
      </c>
      <c r="O7" s="56">
        <f t="shared" si="9"/>
        <v>101.63007885104744</v>
      </c>
      <c r="P7" s="57">
        <f t="shared" si="5"/>
        <v>99.200475316138579</v>
      </c>
      <c r="R7" s="47"/>
      <c r="S7" s="47"/>
      <c r="T7" s="47"/>
    </row>
    <row r="8" spans="1:20" ht="12.75" customHeight="1" x14ac:dyDescent="0.35">
      <c r="A8" s="49">
        <f>'New Vestas G30 85L'!O13</f>
        <v>3051759532.0597</v>
      </c>
      <c r="B8" s="48">
        <f>'New Vestas G30 85L'!T13</f>
        <v>110.45000563693822</v>
      </c>
      <c r="C8" s="50">
        <f t="shared" si="0"/>
        <v>9.4845503097500927</v>
      </c>
      <c r="D8" s="50">
        <f t="shared" si="0"/>
        <v>2.0431657423721536</v>
      </c>
      <c r="E8" s="51">
        <f t="shared" si="6"/>
        <v>89.956694578180574</v>
      </c>
      <c r="F8" s="51">
        <f t="shared" si="6"/>
        <v>4.1745262508031535</v>
      </c>
      <c r="G8" s="52">
        <f t="shared" si="7"/>
        <v>19.378508274686588</v>
      </c>
      <c r="H8" s="53" t="s">
        <v>63</v>
      </c>
      <c r="I8" s="58">
        <f>+I5-I3^2/$I$2</f>
        <v>6.5354991141007304</v>
      </c>
      <c r="J8" s="51">
        <f t="shared" si="1"/>
        <v>9.8980524130718699</v>
      </c>
      <c r="K8" s="51">
        <f t="shared" si="2"/>
        <v>2.0074639294200676</v>
      </c>
      <c r="L8" s="55">
        <f t="shared" si="3"/>
        <v>1.0461924985595691E-2</v>
      </c>
      <c r="M8" s="51">
        <f t="shared" si="4"/>
        <v>1.9970020044344718</v>
      </c>
      <c r="N8" s="94">
        <f t="shared" si="8"/>
        <v>7907740572.4956789</v>
      </c>
      <c r="O8" s="56">
        <f t="shared" si="9"/>
        <v>101.73348673345014</v>
      </c>
      <c r="P8" s="57">
        <f t="shared" si="5"/>
        <v>99.312063204038779</v>
      </c>
      <c r="R8" s="47"/>
      <c r="S8" s="47"/>
      <c r="T8" s="47"/>
    </row>
    <row r="9" spans="1:20" ht="12.75" customHeight="1" x14ac:dyDescent="0.35">
      <c r="A9" s="49">
        <f>'New Vestas G30 85L'!O14</f>
        <v>4141673650.6524501</v>
      </c>
      <c r="B9" s="48">
        <f>'New Vestas G30 85L'!T14</f>
        <v>107.11855674320198</v>
      </c>
      <c r="C9" s="50">
        <f t="shared" si="0"/>
        <v>9.6171758750246852</v>
      </c>
      <c r="D9" s="50">
        <f t="shared" si="0"/>
        <v>2.0298647125972509</v>
      </c>
      <c r="E9" s="51">
        <f t="shared" si="6"/>
        <v>92.490071811156824</v>
      </c>
      <c r="F9" s="51">
        <f t="shared" si="6"/>
        <v>4.1203507514475195</v>
      </c>
      <c r="G9" s="52">
        <f t="shared" si="7"/>
        <v>19.521565943554197</v>
      </c>
      <c r="H9" s="59" t="s">
        <v>64</v>
      </c>
      <c r="I9" s="58">
        <f>+I6-I4^2/$I$2</f>
        <v>6.7554876927971463E-2</v>
      </c>
      <c r="J9" s="51">
        <f t="shared" si="1"/>
        <v>9.8934845954955026</v>
      </c>
      <c r="K9" s="51">
        <f t="shared" si="2"/>
        <v>2.0079102417095429</v>
      </c>
      <c r="L9" s="55">
        <f t="shared" si="3"/>
        <v>1.0414900234768865E-2</v>
      </c>
      <c r="M9" s="51">
        <f t="shared" si="4"/>
        <v>1.997495341474774</v>
      </c>
      <c r="N9" s="94">
        <f t="shared" si="8"/>
        <v>7825004491.406867</v>
      </c>
      <c r="O9" s="56">
        <f t="shared" si="9"/>
        <v>101.83808913100046</v>
      </c>
      <c r="P9" s="57">
        <f t="shared" si="5"/>
        <v>99.424940892959825</v>
      </c>
      <c r="R9" s="47"/>
      <c r="S9" s="47"/>
      <c r="T9" s="47"/>
    </row>
    <row r="10" spans="1:20" ht="12.75" customHeight="1" x14ac:dyDescent="0.35">
      <c r="A10" s="49">
        <f>'New Vestas G30 85L'!O15</f>
        <v>871931294.87420011</v>
      </c>
      <c r="B10" s="48">
        <f>'New Vestas G30 85L'!T15</f>
        <v>123.83285370717226</v>
      </c>
      <c r="C10" s="50">
        <f t="shared" si="0"/>
        <v>8.9404822653998171</v>
      </c>
      <c r="D10" s="50">
        <f t="shared" si="0"/>
        <v>2.0928358812821926</v>
      </c>
      <c r="E10" s="51">
        <f t="shared" si="6"/>
        <v>79.932223137928645</v>
      </c>
      <c r="F10" s="51">
        <f t="shared" si="6"/>
        <v>4.3799620259822118</v>
      </c>
      <c r="G10" s="52">
        <f t="shared" si="7"/>
        <v>18.710962080995838</v>
      </c>
      <c r="H10" s="59" t="s">
        <v>65</v>
      </c>
      <c r="I10" s="58">
        <f>+I7-I3*I4/$I$2</f>
        <v>-0.63857050412218541</v>
      </c>
      <c r="J10" s="51">
        <f t="shared" si="1"/>
        <v>9.8888682234411363</v>
      </c>
      <c r="K10" s="51">
        <f t="shared" si="2"/>
        <v>2.0083612981596328</v>
      </c>
      <c r="L10" s="55">
        <f t="shared" si="3"/>
        <v>1.0367427072955555E-2</v>
      </c>
      <c r="M10" s="51">
        <f t="shared" si="4"/>
        <v>1.9979938710866774</v>
      </c>
      <c r="N10" s="94">
        <f t="shared" si="8"/>
        <v>7742268410.3181038</v>
      </c>
      <c r="O10" s="56">
        <f t="shared" si="9"/>
        <v>101.9439126930104</v>
      </c>
      <c r="P10" s="57">
        <f t="shared" si="5"/>
        <v>99.539136994652878</v>
      </c>
      <c r="R10" s="47"/>
      <c r="S10" s="47"/>
      <c r="T10" s="47"/>
    </row>
    <row r="11" spans="1:20" ht="12.75" customHeight="1" x14ac:dyDescent="0.35">
      <c r="A11" s="49">
        <f>'New Vestas G30 85L'!O16</f>
        <v>1089914118.5927498</v>
      </c>
      <c r="B11" s="48">
        <f>'New Vestas G30 85L'!T16</f>
        <v>121.48897208098484</v>
      </c>
      <c r="C11" s="50">
        <f t="shared" si="0"/>
        <v>9.0373922784078733</v>
      </c>
      <c r="D11" s="50">
        <f t="shared" si="0"/>
        <v>2.0845368575084784</v>
      </c>
      <c r="E11" s="51">
        <f t="shared" si="6"/>
        <v>81.674459193826252</v>
      </c>
      <c r="F11" s="51">
        <f t="shared" si="6"/>
        <v>4.3452939103113222</v>
      </c>
      <c r="G11" s="52">
        <f t="shared" si="7"/>
        <v>18.838777300103736</v>
      </c>
      <c r="H11" s="59" t="s">
        <v>66</v>
      </c>
      <c r="I11" s="58">
        <f>+I3/$I$2</f>
        <v>9.0763506221091248</v>
      </c>
      <c r="J11" s="51">
        <f t="shared" si="1"/>
        <v>9.884202253570523</v>
      </c>
      <c r="K11" s="51">
        <f t="shared" si="2"/>
        <v>2.0088172007128238</v>
      </c>
      <c r="L11" s="55">
        <f t="shared" si="3"/>
        <v>1.0319497145800277E-2</v>
      </c>
      <c r="M11" s="51">
        <f t="shared" si="4"/>
        <v>1.9984977035670235</v>
      </c>
      <c r="N11" s="94">
        <f t="shared" si="8"/>
        <v>7659532329.2292624</v>
      </c>
      <c r="O11" s="56">
        <f t="shared" si="9"/>
        <v>102.0509849561993</v>
      </c>
      <c r="P11" s="57">
        <f t="shared" si="5"/>
        <v>99.654681064803967</v>
      </c>
      <c r="R11" s="47"/>
      <c r="S11" s="47"/>
      <c r="T11" s="47"/>
    </row>
    <row r="12" spans="1:20" ht="12.75" customHeight="1" x14ac:dyDescent="0.35">
      <c r="A12" s="49">
        <f>'New Vestas G30 85L'!O17</f>
        <v>1743862589.7484002</v>
      </c>
      <c r="B12" s="48">
        <f>'New Vestas G30 85L'!T17</f>
        <v>115.31834494014291</v>
      </c>
      <c r="C12" s="50">
        <f t="shared" si="0"/>
        <v>9.2415122610637983</v>
      </c>
      <c r="D12" s="50">
        <f t="shared" si="0"/>
        <v>2.0618984007251786</v>
      </c>
      <c r="E12" s="51">
        <f t="shared" si="6"/>
        <v>85.405548871392512</v>
      </c>
      <c r="F12" s="51">
        <f t="shared" si="6"/>
        <v>4.2514250149130488</v>
      </c>
      <c r="G12" s="52">
        <f t="shared" si="7"/>
        <v>19.055059351369575</v>
      </c>
      <c r="H12" s="59" t="s">
        <v>67</v>
      </c>
      <c r="I12" s="58">
        <f>+I4/$I$2</f>
        <v>2.0877507625650802</v>
      </c>
      <c r="J12" s="51">
        <f t="shared" si="1"/>
        <v>9.8794856085509917</v>
      </c>
      <c r="K12" s="51">
        <f t="shared" si="2"/>
        <v>2.0092780546331297</v>
      </c>
      <c r="L12" s="55">
        <f t="shared" si="3"/>
        <v>1.0271101875756243E-2</v>
      </c>
      <c r="M12" s="51">
        <f t="shared" si="4"/>
        <v>1.9990069527573735</v>
      </c>
      <c r="N12" s="94">
        <f t="shared" si="8"/>
        <v>7576796248.140481</v>
      </c>
      <c r="O12" s="56">
        <f t="shared" si="9"/>
        <v>102.15933438420879</v>
      </c>
      <c r="P12" s="57">
        <f t="shared" si="5"/>
        <v>99.771603644548819</v>
      </c>
      <c r="R12" s="47"/>
      <c r="S12" s="47"/>
      <c r="T12" s="47"/>
    </row>
    <row r="13" spans="1:20" ht="12.75" customHeight="1" x14ac:dyDescent="0.35">
      <c r="A13" s="49">
        <f>'New Vestas G30 85L'!O18</f>
        <v>2397811060.9040499</v>
      </c>
      <c r="B13" s="48">
        <f>'New Vestas G30 85L'!T18</f>
        <v>111.80252250868433</v>
      </c>
      <c r="C13" s="50">
        <f t="shared" si="0"/>
        <v>9.3798149592300799</v>
      </c>
      <c r="D13" s="50">
        <f t="shared" si="0"/>
        <v>2.0484516022914017</v>
      </c>
      <c r="E13" s="51">
        <f t="shared" si="6"/>
        <v>87.980928669396391</v>
      </c>
      <c r="F13" s="51">
        <f t="shared" si="6"/>
        <v>4.1961539669302113</v>
      </c>
      <c r="G13" s="52">
        <f t="shared" si="7"/>
        <v>19.214096982431716</v>
      </c>
      <c r="H13" s="59" t="s">
        <v>68</v>
      </c>
      <c r="I13" s="60">
        <f>+I10/I8</f>
        <v>-9.7707993371834653E-2</v>
      </c>
      <c r="J13" s="51">
        <f t="shared" si="1"/>
        <v>9.8747171755623739</v>
      </c>
      <c r="K13" s="51">
        <f t="shared" si="2"/>
        <v>2.0097439686519754</v>
      </c>
      <c r="L13" s="55">
        <f t="shared" si="3"/>
        <v>1.0222232454797073E-2</v>
      </c>
      <c r="M13" s="51">
        <f t="shared" si="4"/>
        <v>1.9995217361971782</v>
      </c>
      <c r="N13" s="94">
        <f t="shared" si="8"/>
        <v>7494060167.0516834</v>
      </c>
      <c r="O13" s="56">
        <f t="shared" si="9"/>
        <v>102.26899040933027</v>
      </c>
      <c r="P13" s="57">
        <f t="shared" si="5"/>
        <v>99.889936304276503</v>
      </c>
      <c r="R13" s="47"/>
      <c r="S13" s="47"/>
      <c r="T13" s="47"/>
    </row>
    <row r="14" spans="1:20" ht="12.75" customHeight="1" x14ac:dyDescent="0.35">
      <c r="A14" s="49">
        <f>'New Vestas G30 85L'!O19</f>
        <v>2615793884.6225996</v>
      </c>
      <c r="B14" s="48">
        <f>'New Vestas G30 85L'!T19</f>
        <v>106.66033323073361</v>
      </c>
      <c r="C14" s="50">
        <f t="shared" si="0"/>
        <v>9.4176035201194797</v>
      </c>
      <c r="D14" s="50">
        <f t="shared" si="0"/>
        <v>2.0280029361820606</v>
      </c>
      <c r="E14" s="51">
        <f t="shared" si="6"/>
        <v>88.691256062166815</v>
      </c>
      <c r="F14" s="51">
        <f t="shared" si="6"/>
        <v>4.1127959091630588</v>
      </c>
      <c r="G14" s="52">
        <f t="shared" si="7"/>
        <v>19.098927590600816</v>
      </c>
      <c r="H14" s="59" t="s">
        <v>69</v>
      </c>
      <c r="I14" s="60">
        <f>+I12-I13*I11</f>
        <v>2.9745827689905657</v>
      </c>
      <c r="J14" s="51">
        <f t="shared" si="1"/>
        <v>9.8698958047210823</v>
      </c>
      <c r="K14" s="51">
        <f t="shared" si="2"/>
        <v>2.0102150551221794</v>
      </c>
      <c r="L14" s="55">
        <f t="shared" si="3"/>
        <v>1.017287983688581E-2</v>
      </c>
      <c r="M14" s="51">
        <f t="shared" si="4"/>
        <v>2.0000421752852935</v>
      </c>
      <c r="N14" s="94">
        <f t="shared" si="8"/>
        <v>7411324085.9628973</v>
      </c>
      <c r="O14" s="56">
        <f t="shared" si="9"/>
        <v>102.37998347659597</v>
      </c>
      <c r="P14" s="57">
        <f t="shared" si="5"/>
        <v>100.00971168987508</v>
      </c>
      <c r="R14" s="47"/>
      <c r="S14" s="47"/>
      <c r="T14" s="47"/>
    </row>
    <row r="15" spans="1:20" ht="12.75" customHeight="1" thickBot="1" x14ac:dyDescent="0.4">
      <c r="A15" s="49">
        <f>'New Vestas G30 85L'!O20</f>
        <v>4141673650.6524501</v>
      </c>
      <c r="B15" s="48">
        <f>'New Vestas G30 85L'!T20</f>
        <v>107.66485392543608</v>
      </c>
      <c r="C15" s="50">
        <f t="shared" si="0"/>
        <v>9.6171758750246852</v>
      </c>
      <c r="D15" s="50">
        <f t="shared" si="0"/>
        <v>2.0320739555048672</v>
      </c>
      <c r="E15" s="51">
        <f t="shared" si="6"/>
        <v>92.490071811156824</v>
      </c>
      <c r="F15" s="51">
        <f t="shared" si="6"/>
        <v>4.129324560641197</v>
      </c>
      <c r="G15" s="52">
        <f t="shared" si="7"/>
        <v>19.542812621147394</v>
      </c>
      <c r="H15" s="61" t="s">
        <v>70</v>
      </c>
      <c r="I15" s="62">
        <f>+I10^2/(I8*I9)</f>
        <v>0.9235964214803456</v>
      </c>
      <c r="J15" s="51">
        <f t="shared" si="1"/>
        <v>9.8650203074156959</v>
      </c>
      <c r="K15" s="51">
        <f t="shared" si="2"/>
        <v>2.0106914301805787</v>
      </c>
      <c r="L15" s="55">
        <f t="shared" si="3"/>
        <v>1.0123034730196762E-2</v>
      </c>
      <c r="M15" s="51">
        <f t="shared" si="4"/>
        <v>2.0005683954503821</v>
      </c>
      <c r="N15" s="94">
        <f t="shared" si="8"/>
        <v>7328588004.8740997</v>
      </c>
      <c r="O15" s="56">
        <f t="shared" si="9"/>
        <v>102.49234509039354</v>
      </c>
      <c r="P15" s="57">
        <f t="shared" si="5"/>
        <v>100.13096357158261</v>
      </c>
      <c r="R15" s="47"/>
      <c r="S15" s="47"/>
      <c r="T15" s="47"/>
    </row>
    <row r="16" spans="1:20" ht="12.75" customHeight="1" x14ac:dyDescent="0.35">
      <c r="A16" s="49">
        <f>'New Vestas G30 85L'!O21</f>
        <v>871931294.87420011</v>
      </c>
      <c r="B16" s="48">
        <f>'New Vestas G30 85L'!T21</f>
        <v>126.05358399617073</v>
      </c>
      <c r="C16" s="50">
        <f t="shared" si="0"/>
        <v>8.9404822653998171</v>
      </c>
      <c r="D16" s="50">
        <f t="shared" si="0"/>
        <v>2.1005551981888417</v>
      </c>
      <c r="E16" s="51">
        <f t="shared" si="6"/>
        <v>79.932223137928645</v>
      </c>
      <c r="F16" s="51">
        <f t="shared" si="6"/>
        <v>4.4123321406381644</v>
      </c>
      <c r="G16" s="52">
        <f t="shared" si="7"/>
        <v>18.779976496900737</v>
      </c>
      <c r="H16" s="63" t="s">
        <v>71</v>
      </c>
      <c r="I16" s="64"/>
      <c r="J16" s="51">
        <f t="shared" si="1"/>
        <v>9.8600894545480831</v>
      </c>
      <c r="K16" s="51">
        <f t="shared" si="2"/>
        <v>2.0111732139198848</v>
      </c>
      <c r="L16" s="55">
        <f t="shared" si="3"/>
        <v>1.0072687589087656E-2</v>
      </c>
      <c r="M16" s="51">
        <f t="shared" si="4"/>
        <v>2.0011005263307973</v>
      </c>
      <c r="N16" s="94">
        <f t="shared" si="8"/>
        <v>7245851923.7852955</v>
      </c>
      <c r="O16" s="56">
        <f t="shared" si="9"/>
        <v>102.60610786378105</v>
      </c>
      <c r="P16" s="57">
        <f t="shared" si="5"/>
        <v>100.25372689562056</v>
      </c>
      <c r="R16" s="47"/>
      <c r="S16" s="47"/>
      <c r="T16" s="47"/>
    </row>
    <row r="17" spans="1:20" ht="12.75" customHeight="1" x14ac:dyDescent="0.35">
      <c r="A17" s="49">
        <f>'New Vestas G30 85L'!O22</f>
        <v>1089914118.5927498</v>
      </c>
      <c r="B17" s="48">
        <f>'New Vestas G30 85L'!T22</f>
        <v>122.3402146342103</v>
      </c>
      <c r="C17" s="50">
        <f t="shared" si="0"/>
        <v>9.0373922784078733</v>
      </c>
      <c r="D17" s="50">
        <f t="shared" si="0"/>
        <v>2.0875692380905999</v>
      </c>
      <c r="E17" s="51">
        <f t="shared" si="6"/>
        <v>81.674459193826252</v>
      </c>
      <c r="F17" s="51">
        <f t="shared" si="6"/>
        <v>4.3579453238221681</v>
      </c>
      <c r="G17" s="52">
        <f t="shared" si="7"/>
        <v>18.866182112961795</v>
      </c>
      <c r="H17" s="53" t="s">
        <v>72</v>
      </c>
      <c r="I17" s="65">
        <f>(+I9-(+I10^2/I8))/($I$2-2)</f>
        <v>1.323444703526116E-4</v>
      </c>
      <c r="J17" s="51">
        <f t="shared" si="1"/>
        <v>9.8551019746734951</v>
      </c>
      <c r="K17" s="51">
        <f t="shared" si="2"/>
        <v>2.0116605305704134</v>
      </c>
      <c r="L17" s="55">
        <f t="shared" si="3"/>
        <v>1.0021828605819424E-2</v>
      </c>
      <c r="M17" s="51">
        <f t="shared" si="4"/>
        <v>2.0016387019645938</v>
      </c>
      <c r="N17" s="94">
        <f t="shared" si="8"/>
        <v>7163115842.6964922</v>
      </c>
      <c r="O17" s="56">
        <f t="shared" si="9"/>
        <v>102.72130557069121</v>
      </c>
      <c r="P17" s="57">
        <f t="shared" si="5"/>
        <v>100.37803783880273</v>
      </c>
      <c r="R17" s="47"/>
      <c r="S17" s="47"/>
      <c r="T17" s="47"/>
    </row>
    <row r="18" spans="1:20" ht="12.75" customHeight="1" x14ac:dyDescent="0.35">
      <c r="A18" s="49">
        <f>'New Vestas G30 85L'!O23</f>
        <v>1307896942.3112998</v>
      </c>
      <c r="B18" s="48">
        <f>'New Vestas G30 85L'!T23</f>
        <v>121.42984020955707</v>
      </c>
      <c r="C18" s="50">
        <f t="shared" si="0"/>
        <v>9.1165735244554984</v>
      </c>
      <c r="D18" s="50">
        <f t="shared" si="0"/>
        <v>2.0843254235258177</v>
      </c>
      <c r="E18" s="51">
        <f t="shared" si="6"/>
        <v>83.11191282680295</v>
      </c>
      <c r="F18" s="51">
        <f t="shared" si="6"/>
        <v>4.3444124711560796</v>
      </c>
      <c r="G18" s="52">
        <f t="shared" si="7"/>
        <v>19.001905972464964</v>
      </c>
      <c r="H18" s="66" t="s">
        <v>53</v>
      </c>
      <c r="I18" s="67">
        <v>0.95</v>
      </c>
      <c r="J18" s="51">
        <f t="shared" si="1"/>
        <v>9.8500565520326422</v>
      </c>
      <c r="K18" s="51">
        <f t="shared" si="2"/>
        <v>2.0121535086923639</v>
      </c>
      <c r="L18" s="55">
        <f t="shared" si="3"/>
        <v>9.9704477020233721E-3</v>
      </c>
      <c r="M18" s="51">
        <f t="shared" si="4"/>
        <v>2.0021830609903404</v>
      </c>
      <c r="N18" s="94">
        <f t="shared" si="8"/>
        <v>7080379761.607686</v>
      </c>
      <c r="O18" s="56">
        <f t="shared" si="9"/>
        <v>102.83797320122775</v>
      </c>
      <c r="P18" s="57">
        <f t="shared" si="5"/>
        <v>100.50393386632237</v>
      </c>
      <c r="R18" s="47"/>
      <c r="S18" s="47"/>
      <c r="T18" s="47"/>
    </row>
    <row r="19" spans="1:20" ht="12.75" customHeight="1" x14ac:dyDescent="0.35">
      <c r="A19" s="49">
        <f>'New Vestas G30 85L'!O24</f>
        <v>1743862589.7484002</v>
      </c>
      <c r="B19" s="48">
        <f>'New Vestas G30 85L'!T24</f>
        <v>120.2080219034444</v>
      </c>
      <c r="C19" s="50">
        <f t="shared" si="0"/>
        <v>9.2415122610637983</v>
      </c>
      <c r="D19" s="50">
        <f t="shared" si="0"/>
        <v>2.079933450629718</v>
      </c>
      <c r="E19" s="51">
        <f t="shared" si="6"/>
        <v>85.405548871392512</v>
      </c>
      <c r="F19" s="51">
        <f t="shared" si="6"/>
        <v>4.3261231590484455</v>
      </c>
      <c r="G19" s="52">
        <f t="shared" si="7"/>
        <v>19.221730486191273</v>
      </c>
      <c r="H19" s="53" t="s">
        <v>73</v>
      </c>
      <c r="I19" s="68">
        <f>_xlfn.T.INV(1-(1-I18)/2,I2-2)</f>
        <v>2.0226909200367595</v>
      </c>
      <c r="J19" s="51">
        <f t="shared" si="1"/>
        <v>9.8449518244680867</v>
      </c>
      <c r="K19" s="51">
        <f t="shared" si="2"/>
        <v>2.0126522813794065</v>
      </c>
      <c r="L19" s="55">
        <f t="shared" si="3"/>
        <v>9.9185345199158427E-3</v>
      </c>
      <c r="M19" s="51">
        <f t="shared" si="4"/>
        <v>2.0027337468594908</v>
      </c>
      <c r="N19" s="94">
        <f t="shared" si="8"/>
        <v>6997643680.5188866</v>
      </c>
      <c r="O19" s="56">
        <f t="shared" si="9"/>
        <v>102.95614702027844</v>
      </c>
      <c r="P19" s="57">
        <f t="shared" si="5"/>
        <v>100.6314537929446</v>
      </c>
      <c r="R19" s="47"/>
      <c r="S19" s="47"/>
      <c r="T19" s="47"/>
    </row>
    <row r="20" spans="1:20" ht="12.75" customHeight="1" x14ac:dyDescent="0.35">
      <c r="A20" s="49">
        <f>'New Vestas G30 85L'!O25</f>
        <v>2179828237.1854997</v>
      </c>
      <c r="B20" s="48">
        <f>'New Vestas G30 85L'!T25</f>
        <v>119.65700580491604</v>
      </c>
      <c r="C20" s="50">
        <f t="shared" si="0"/>
        <v>9.3384222740718545</v>
      </c>
      <c r="D20" s="50">
        <f t="shared" si="0"/>
        <v>2.0779381312264675</v>
      </c>
      <c r="E20" s="51">
        <f t="shared" si="6"/>
        <v>87.206130568881349</v>
      </c>
      <c r="F20" s="51">
        <f t="shared" si="6"/>
        <v>4.3178268772049444</v>
      </c>
      <c r="G20" s="52">
        <f t="shared" si="7"/>
        <v>19.404663728788488</v>
      </c>
      <c r="H20" s="53" t="s">
        <v>74</v>
      </c>
      <c r="I20" s="68">
        <f>_xlfn.F.INV(I18,2,I2-2)</f>
        <v>3.2380961351592941</v>
      </c>
      <c r="J20" s="51">
        <f t="shared" si="1"/>
        <v>9.839786381216733</v>
      </c>
      <c r="K20" s="51">
        <f t="shared" si="2"/>
        <v>2.0131569864743724</v>
      </c>
      <c r="L20" s="55">
        <f t="shared" si="3"/>
        <v>9.8660784132632139E-3</v>
      </c>
      <c r="M20" s="51">
        <f t="shared" si="4"/>
        <v>2.0032909080611092</v>
      </c>
      <c r="N20" s="94">
        <f t="shared" si="8"/>
        <v>6914907599.4301214</v>
      </c>
      <c r="O20" s="56">
        <f t="shared" si="9"/>
        <v>103.07586462968384</v>
      </c>
      <c r="P20" s="57">
        <f t="shared" si="5"/>
        <v>100.76063784784371</v>
      </c>
      <c r="R20" s="47"/>
      <c r="S20" s="47"/>
      <c r="T20" s="47"/>
    </row>
    <row r="21" spans="1:20" ht="12.75" customHeight="1" x14ac:dyDescent="0.35">
      <c r="A21" s="49">
        <f>'New Vestas G30 85L'!O26</f>
        <v>2397811060.9040499</v>
      </c>
      <c r="B21" s="48">
        <f>'New Vestas G30 85L'!T26</f>
        <v>119.15390415001005</v>
      </c>
      <c r="C21" s="50">
        <f t="shared" si="0"/>
        <v>9.3798149592300799</v>
      </c>
      <c r="D21" s="50">
        <f t="shared" si="0"/>
        <v>2.0761082768379739</v>
      </c>
      <c r="E21" s="51">
        <f t="shared" si="6"/>
        <v>87.980928669396391</v>
      </c>
      <c r="F21" s="51">
        <f t="shared" si="6"/>
        <v>4.3102255771551414</v>
      </c>
      <c r="G21" s="52">
        <f t="shared" si="7"/>
        <v>19.47351147206621</v>
      </c>
      <c r="H21" s="53" t="s">
        <v>75</v>
      </c>
      <c r="I21" s="68">
        <f>I19*SQRT(I17)*(($I$8)^(-1/2))</f>
        <v>9.1021302300936906E-3</v>
      </c>
      <c r="J21" s="51">
        <f t="shared" si="1"/>
        <v>9.8345587605694362</v>
      </c>
      <c r="K21" s="51">
        <f t="shared" si="2"/>
        <v>2.013667766797929</v>
      </c>
      <c r="L21" s="55">
        <f t="shared" si="3"/>
        <v>9.8130684381015371E-3</v>
      </c>
      <c r="M21" s="51">
        <f t="shared" si="4"/>
        <v>2.0038546983598273</v>
      </c>
      <c r="N21" s="94">
        <f t="shared" si="8"/>
        <v>6832171518.3412943</v>
      </c>
      <c r="O21" s="56">
        <f t="shared" si="9"/>
        <v>103.19716503422276</v>
      </c>
      <c r="P21" s="57">
        <f t="shared" si="5"/>
        <v>100.89152774334879</v>
      </c>
      <c r="R21" s="47"/>
      <c r="S21" s="47"/>
      <c r="T21" s="47"/>
    </row>
    <row r="22" spans="1:20" ht="12.75" customHeight="1" thickBot="1" x14ac:dyDescent="0.4">
      <c r="A22" s="49">
        <f>'New Vestas G30 85L'!O27</f>
        <v>2615793884.6225996</v>
      </c>
      <c r="B22" s="48">
        <f>'New Vestas G30 85L'!T27</f>
        <v>117.02171141820115</v>
      </c>
      <c r="C22" s="50">
        <f t="shared" si="0"/>
        <v>9.4176035201194797</v>
      </c>
      <c r="D22" s="50">
        <f t="shared" si="0"/>
        <v>2.0682664452876542</v>
      </c>
      <c r="E22" s="51">
        <f t="shared" si="6"/>
        <v>88.691256062166815</v>
      </c>
      <c r="F22" s="51">
        <f t="shared" si="6"/>
        <v>4.2777260887028294</v>
      </c>
      <c r="G22" s="52">
        <f t="shared" si="7"/>
        <v>19.478113355686016</v>
      </c>
      <c r="H22" s="61" t="s">
        <v>76</v>
      </c>
      <c r="I22" s="69">
        <f>I19*SQRT(I17)*(1/I2+I11^2/I8)^(1/2)</f>
        <v>8.2694014334071697E-2</v>
      </c>
      <c r="J22" s="51">
        <f t="shared" si="1"/>
        <v>9.8292674473880517</v>
      </c>
      <c r="K22" s="51">
        <f t="shared" si="2"/>
        <v>2.0141847703911839</v>
      </c>
      <c r="L22" s="55">
        <f t="shared" si="3"/>
        <v>9.759493343218361E-3</v>
      </c>
      <c r="M22" s="51">
        <f t="shared" si="4"/>
        <v>2.0044252770479654</v>
      </c>
      <c r="N22" s="94">
        <f t="shared" si="8"/>
        <v>6749435437.2525091</v>
      </c>
      <c r="O22" s="56">
        <f t="shared" si="9"/>
        <v>103.32008871169924</v>
      </c>
      <c r="P22" s="57">
        <f t="shared" si="5"/>
        <v>101.02416674787941</v>
      </c>
      <c r="R22" s="47"/>
      <c r="S22" s="47"/>
      <c r="T22" s="47"/>
    </row>
    <row r="23" spans="1:20" ht="12.75" customHeight="1" x14ac:dyDescent="0.35">
      <c r="A23" s="49">
        <f>'New Vestas G30 85L'!O28</f>
        <v>2833776708.3411503</v>
      </c>
      <c r="B23" s="48">
        <f>'New Vestas G30 85L'!T28</f>
        <v>115.46449200568877</v>
      </c>
      <c r="C23" s="50">
        <f t="shared" si="0"/>
        <v>9.4523656263786915</v>
      </c>
      <c r="D23" s="50">
        <f t="shared" si="0"/>
        <v>2.0624484491901112</v>
      </c>
      <c r="E23" s="51">
        <f t="shared" si="6"/>
        <v>89.347215934745435</v>
      </c>
      <c r="F23" s="51">
        <f t="shared" si="6"/>
        <v>4.2536936055666947</v>
      </c>
      <c r="G23" s="52">
        <f t="shared" si="7"/>
        <v>19.495016827302646</v>
      </c>
      <c r="H23" s="63" t="s">
        <v>77</v>
      </c>
      <c r="I23" s="70"/>
      <c r="J23" s="51">
        <f t="shared" si="1"/>
        <v>9.8239108704693248</v>
      </c>
      <c r="K23" s="51">
        <f t="shared" si="2"/>
        <v>2.0147081507732545</v>
      </c>
      <c r="L23" s="55">
        <f t="shared" si="3"/>
        <v>9.7053415604065538E-3</v>
      </c>
      <c r="M23" s="51">
        <f t="shared" si="4"/>
        <v>2.005002809212848</v>
      </c>
      <c r="N23" s="94">
        <f t="shared" si="8"/>
        <v>6666699356.1637163</v>
      </c>
      <c r="O23" s="56">
        <f t="shared" si="9"/>
        <v>103.444677687439</v>
      </c>
      <c r="P23" s="57">
        <f t="shared" si="5"/>
        <v>101.15859976338281</v>
      </c>
      <c r="R23" s="47"/>
      <c r="S23" s="47"/>
      <c r="T23" s="47"/>
    </row>
    <row r="24" spans="1:20" ht="12.75" customHeight="1" x14ac:dyDescent="0.35">
      <c r="A24" s="49">
        <f>'New Vestas G30 85L'!O29</f>
        <v>3705708003.2153502</v>
      </c>
      <c r="B24" s="48">
        <f>'New Vestas G30 85L'!T29</f>
        <v>114.19475925699673</v>
      </c>
      <c r="C24" s="50">
        <f t="shared" si="0"/>
        <v>9.5688711954501287</v>
      </c>
      <c r="D24" s="50">
        <f t="shared" si="0"/>
        <v>2.0576461732794136</v>
      </c>
      <c r="E24" s="51">
        <f t="shared" si="6"/>
        <v>91.56329595511518</v>
      </c>
      <c r="F24" s="51">
        <f t="shared" si="6"/>
        <v>4.2339077744114144</v>
      </c>
      <c r="G24" s="52">
        <f t="shared" si="7"/>
        <v>19.689351197921564</v>
      </c>
      <c r="H24" s="66" t="s">
        <v>78</v>
      </c>
      <c r="I24" s="71">
        <f>10^(MAX(C:C))</f>
        <v>8404157059.0284405</v>
      </c>
      <c r="J24" s="51">
        <f t="shared" si="1"/>
        <v>9.818487399744189</v>
      </c>
      <c r="K24" s="51">
        <f t="shared" si="2"/>
        <v>2.0152380672149186</v>
      </c>
      <c r="L24" s="55">
        <f t="shared" si="3"/>
        <v>9.6506011945044837E-3</v>
      </c>
      <c r="M24" s="51">
        <f t="shared" si="4"/>
        <v>2.005587466020414</v>
      </c>
      <c r="N24" s="94">
        <f t="shared" si="8"/>
        <v>6583963275.0749111</v>
      </c>
      <c r="O24" s="56">
        <f t="shared" si="9"/>
        <v>103.57097561353142</v>
      </c>
      <c r="P24" s="57">
        <f t="shared" si="5"/>
        <v>101.29487340760434</v>
      </c>
      <c r="R24" s="47"/>
      <c r="S24" s="47"/>
      <c r="T24" s="47"/>
    </row>
    <row r="25" spans="1:20" ht="12.75" customHeight="1" thickBot="1" x14ac:dyDescent="0.4">
      <c r="A25" s="49">
        <f>'New Vestas G30 85L'!O30</f>
        <v>4141673650.6524501</v>
      </c>
      <c r="B25" s="48">
        <f>'New Vestas G30 85L'!T30</f>
        <v>113.21251317212499</v>
      </c>
      <c r="C25" s="50">
        <f t="shared" si="0"/>
        <v>9.6171758750246852</v>
      </c>
      <c r="D25" s="50">
        <f t="shared" si="0"/>
        <v>2.0538944312804035</v>
      </c>
      <c r="E25" s="51">
        <f t="shared" si="6"/>
        <v>92.490071811156824</v>
      </c>
      <c r="F25" s="51">
        <f t="shared" si="6"/>
        <v>4.2184823348446523</v>
      </c>
      <c r="G25" s="52">
        <f t="shared" si="7"/>
        <v>19.752663974357443</v>
      </c>
      <c r="H25" s="72" t="s">
        <v>79</v>
      </c>
      <c r="I25" s="73">
        <f>10^(MIN(C:C))</f>
        <v>130548950.14871003</v>
      </c>
      <c r="J25" s="51">
        <f t="shared" si="1"/>
        <v>9.8129953432999635</v>
      </c>
      <c r="K25" s="51">
        <f t="shared" si="2"/>
        <v>2.0157746850295686</v>
      </c>
      <c r="L25" s="55">
        <f t="shared" si="3"/>
        <v>9.5952600132406876E-3</v>
      </c>
      <c r="M25" s="51">
        <f t="shared" si="4"/>
        <v>2.0061794250163278</v>
      </c>
      <c r="N25" s="94">
        <f t="shared" si="8"/>
        <v>6501227193.9861078</v>
      </c>
      <c r="O25" s="56">
        <f t="shared" si="9"/>
        <v>103.69902785318283</v>
      </c>
      <c r="P25" s="57">
        <f t="shared" si="5"/>
        <v>101.43303610155695</v>
      </c>
      <c r="R25" s="47"/>
      <c r="S25" s="47"/>
      <c r="T25" s="47"/>
    </row>
    <row r="26" spans="1:20" ht="12.75" customHeight="1" x14ac:dyDescent="0.35">
      <c r="A26" s="49">
        <f>'New Vestas G30 85L'!O31</f>
        <v>261097900.29741973</v>
      </c>
      <c r="B26" s="48">
        <f>'New Vestas G30 85L'!T31</f>
        <v>142.93996264007947</v>
      </c>
      <c r="C26" s="50">
        <f t="shared" si="0"/>
        <v>8.4168033793184982</v>
      </c>
      <c r="D26" s="50">
        <f t="shared" si="0"/>
        <v>2.1551536642545184</v>
      </c>
      <c r="E26" s="51">
        <f t="shared" si="6"/>
        <v>70.842579126107296</v>
      </c>
      <c r="F26" s="51">
        <f t="shared" si="6"/>
        <v>4.6446873165496774</v>
      </c>
      <c r="G26" s="52">
        <f t="shared" si="7"/>
        <v>18.139504644248074</v>
      </c>
      <c r="H26" s="63" t="s">
        <v>80</v>
      </c>
      <c r="I26" s="70"/>
      <c r="J26" s="51">
        <f t="shared" si="1"/>
        <v>9.807432944211838</v>
      </c>
      <c r="K26" s="51">
        <f t="shared" si="2"/>
        <v>2.0163181758828026</v>
      </c>
      <c r="L26" s="55">
        <f t="shared" si="3"/>
        <v>9.5393054369065002E-3</v>
      </c>
      <c r="M26" s="51">
        <f t="shared" si="4"/>
        <v>2.006778870445896</v>
      </c>
      <c r="N26" s="94">
        <f t="shared" si="8"/>
        <v>6418491112.8973198</v>
      </c>
      <c r="O26" s="56">
        <f t="shared" si="9"/>
        <v>103.82888157058271</v>
      </c>
      <c r="P26" s="57">
        <f t="shared" si="5"/>
        <v>101.57313816258639</v>
      </c>
      <c r="R26" s="47" t="s">
        <v>81</v>
      </c>
      <c r="S26" s="47"/>
      <c r="T26" s="47"/>
    </row>
    <row r="27" spans="1:20" ht="12.75" customHeight="1" x14ac:dyDescent="0.35">
      <c r="A27" s="49">
        <f>'New Vestas G30 85L'!O32</f>
        <v>391646850.44612962</v>
      </c>
      <c r="B27" s="48">
        <f>'New Vestas G30 85L'!T32</f>
        <v>134.83928095904344</v>
      </c>
      <c r="C27" s="50">
        <f t="shared" si="0"/>
        <v>8.5928946383741796</v>
      </c>
      <c r="D27" s="50">
        <f t="shared" si="0"/>
        <v>2.129816427945995</v>
      </c>
      <c r="E27" s="51">
        <f t="shared" si="6"/>
        <v>73.837838266199725</v>
      </c>
      <c r="F27" s="51">
        <f t="shared" si="6"/>
        <v>4.5361180167486381</v>
      </c>
      <c r="G27" s="52">
        <f t="shared" si="7"/>
        <v>18.301288164418388</v>
      </c>
      <c r="H27" s="53" t="str">
        <f>"m lower " &amp; TEXT(I18,"##%") &amp; " conf"</f>
        <v>m lower 95% conf</v>
      </c>
      <c r="I27" s="74">
        <f>-I13-I21</f>
        <v>8.8605863141740959E-2</v>
      </c>
      <c r="J27" s="51">
        <f t="shared" si="1"/>
        <v>9.8017983771687955</v>
      </c>
      <c r="K27" s="51">
        <f t="shared" si="2"/>
        <v>2.0168687181220974</v>
      </c>
      <c r="L27" s="55">
        <f t="shared" si="3"/>
        <v>9.4827245278861598E-3</v>
      </c>
      <c r="M27" s="51">
        <f t="shared" si="4"/>
        <v>2.0073859935942111</v>
      </c>
      <c r="N27" s="94">
        <f t="shared" si="8"/>
        <v>6335755031.8085375</v>
      </c>
      <c r="O27" s="56">
        <f t="shared" si="9"/>
        <v>103.96058582671547</v>
      </c>
      <c r="P27" s="57">
        <f t="shared" si="5"/>
        <v>101.715231903462</v>
      </c>
      <c r="R27" s="47"/>
      <c r="S27" s="47"/>
      <c r="T27" s="47"/>
    </row>
    <row r="28" spans="1:20" ht="12.75" customHeight="1" x14ac:dyDescent="0.35">
      <c r="A28" s="49">
        <f>'New Vestas G30 85L'!O33</f>
        <v>522195800.59483945</v>
      </c>
      <c r="B28" s="48">
        <f>'New Vestas G30 85L'!T33</f>
        <v>129.61118143440314</v>
      </c>
      <c r="C28" s="50">
        <f t="shared" si="0"/>
        <v>8.7178333749824795</v>
      </c>
      <c r="D28" s="50">
        <f t="shared" si="0"/>
        <v>2.1126424693261812</v>
      </c>
      <c r="E28" s="51">
        <f t="shared" si="6"/>
        <v>76.000618753958406</v>
      </c>
      <c r="F28" s="51">
        <f t="shared" si="6"/>
        <v>4.4632582032006241</v>
      </c>
      <c r="G28" s="52">
        <f t="shared" si="7"/>
        <v>18.417665028497183</v>
      </c>
      <c r="H28" s="75" t="s">
        <v>82</v>
      </c>
      <c r="I28" s="76">
        <f>-I13</f>
        <v>9.7707993371834653E-2</v>
      </c>
      <c r="J28" s="51">
        <f t="shared" si="1"/>
        <v>9.7960897448777775</v>
      </c>
      <c r="K28" s="51">
        <f t="shared" si="2"/>
        <v>2.0174264971281506</v>
      </c>
      <c r="L28" s="55">
        <f t="shared" si="3"/>
        <v>9.4255039800813876E-3</v>
      </c>
      <c r="M28" s="51">
        <f t="shared" si="4"/>
        <v>2.0080009931480691</v>
      </c>
      <c r="N28" s="94">
        <f t="shared" si="8"/>
        <v>6253018950.7197056</v>
      </c>
      <c r="O28" s="56">
        <f t="shared" si="9"/>
        <v>104.09419168159835</v>
      </c>
      <c r="P28" s="57">
        <f t="shared" si="5"/>
        <v>101.85937173796533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G30 85L'!O34</f>
        <v>783293700.89225924</v>
      </c>
      <c r="B29" s="48">
        <f>'New Vestas G30 85L'!T34</f>
        <v>123.86601712161163</v>
      </c>
      <c r="C29" s="50">
        <f t="shared" si="0"/>
        <v>8.8939246340381608</v>
      </c>
      <c r="D29" s="50">
        <f t="shared" si="0"/>
        <v>2.092952173196887</v>
      </c>
      <c r="E29" s="51">
        <f t="shared" si="6"/>
        <v>79.101895395950834</v>
      </c>
      <c r="F29" s="51">
        <f t="shared" si="6"/>
        <v>4.3804487992895718</v>
      </c>
      <c r="G29" s="52">
        <f t="shared" si="7"/>
        <v>18.614558891059495</v>
      </c>
      <c r="H29" s="77" t="str">
        <f>"m upper " &amp; TEXT(I18,"##%") &amp; " conf"</f>
        <v>m upper 95% conf</v>
      </c>
      <c r="I29" s="74">
        <f>-I13+I21</f>
        <v>0.10681012360192835</v>
      </c>
      <c r="J29" s="51">
        <f t="shared" si="1"/>
        <v>9.7903050742283515</v>
      </c>
      <c r="K29" s="51">
        <f t="shared" si="2"/>
        <v>2.0179917056896226</v>
      </c>
      <c r="L29" s="55">
        <f t="shared" si="3"/>
        <v>9.3676301082755882E-3</v>
      </c>
      <c r="M29" s="51">
        <f t="shared" si="4"/>
        <v>2.0086240755813471</v>
      </c>
      <c r="N29" s="94">
        <f t="shared" si="8"/>
        <v>6170282869.6309195</v>
      </c>
      <c r="O29" s="56">
        <f t="shared" si="9"/>
        <v>104.22975230346549</v>
      </c>
      <c r="P29" s="57">
        <f t="shared" si="5"/>
        <v>102.00561429349062</v>
      </c>
      <c r="R29" s="47"/>
      <c r="S29" s="47"/>
      <c r="T29" s="47"/>
    </row>
    <row r="30" spans="1:20" ht="12.75" customHeight="1" x14ac:dyDescent="0.35">
      <c r="A30" s="49">
        <f>'New Vestas G30 85L'!O35</f>
        <v>1044391601.1896789</v>
      </c>
      <c r="B30" s="48">
        <f>'New Vestas G30 85L'!T35</f>
        <v>116.62711008749434</v>
      </c>
      <c r="C30" s="50">
        <f t="shared" si="0"/>
        <v>9.0188633706464607</v>
      </c>
      <c r="D30" s="50">
        <f t="shared" si="0"/>
        <v>2.0667995143413949</v>
      </c>
      <c r="E30" s="51">
        <f t="shared" si="6"/>
        <v>81.339896498388441</v>
      </c>
      <c r="F30" s="51">
        <f t="shared" si="6"/>
        <v>4.2716602324818256</v>
      </c>
      <c r="G30" s="52">
        <f t="shared" si="7"/>
        <v>18.640182434363499</v>
      </c>
      <c r="H30" s="77" t="str">
        <f>"C lower " &amp; TEXT(I18,"##%") &amp; " conf"</f>
        <v>C lower 95% conf</v>
      </c>
      <c r="I30" s="78">
        <f>10^(I14-I22)</f>
        <v>779.63038116407745</v>
      </c>
      <c r="J30" s="51">
        <f t="shared" si="1"/>
        <v>9.7844423121984718</v>
      </c>
      <c r="K30" s="51">
        <f t="shared" si="2"/>
        <v>2.018564544403179</v>
      </c>
      <c r="L30" s="55">
        <f t="shared" si="3"/>
        <v>9.3090888374929952E-3</v>
      </c>
      <c r="M30" s="51">
        <f t="shared" si="4"/>
        <v>2.0092554555656861</v>
      </c>
      <c r="N30" s="94">
        <f t="shared" si="8"/>
        <v>6087546788.5421257</v>
      </c>
      <c r="O30" s="56">
        <f t="shared" si="9"/>
        <v>104.36732308547214</v>
      </c>
      <c r="P30" s="57">
        <f t="shared" si="5"/>
        <v>102.1540185312179</v>
      </c>
      <c r="R30" s="47"/>
      <c r="S30" s="47"/>
      <c r="T30" s="47"/>
    </row>
    <row r="31" spans="1:20" ht="12.75" customHeight="1" x14ac:dyDescent="0.35">
      <c r="A31" s="49">
        <f>'New Vestas G30 85L'!O36</f>
        <v>261097900.29741973</v>
      </c>
      <c r="B31" s="48">
        <f>'New Vestas G30 85L'!T36</f>
        <v>146.77930375930265</v>
      </c>
      <c r="C31" s="50">
        <f t="shared" si="0"/>
        <v>8.4168033793184982</v>
      </c>
      <c r="D31" s="50">
        <f t="shared" si="0"/>
        <v>2.1666648233131256</v>
      </c>
      <c r="E31" s="51">
        <f t="shared" si="6"/>
        <v>70.842579126107296</v>
      </c>
      <c r="F31" s="51">
        <f t="shared" si="6"/>
        <v>4.6944364565824976</v>
      </c>
      <c r="G31" s="52">
        <f t="shared" si="7"/>
        <v>18.236391806712433</v>
      </c>
      <c r="H31" s="75" t="s">
        <v>83</v>
      </c>
      <c r="I31" s="79">
        <f>10^I14</f>
        <v>943.15434318075427</v>
      </c>
      <c r="J31" s="51">
        <f t="shared" si="1"/>
        <v>9.778499321480103</v>
      </c>
      <c r="K31" s="51">
        <f t="shared" si="2"/>
        <v>2.0191452221008981</v>
      </c>
      <c r="L31" s="55">
        <f t="shared" si="3"/>
        <v>9.2498656924202317E-3</v>
      </c>
      <c r="M31" s="51">
        <f t="shared" si="4"/>
        <v>2.0098953564084781</v>
      </c>
      <c r="N31" s="94">
        <f t="shared" si="8"/>
        <v>6004810707.4533358</v>
      </c>
      <c r="O31" s="56">
        <f t="shared" si="9"/>
        <v>104.50696177054375</v>
      </c>
      <c r="P31" s="57">
        <f t="shared" si="5"/>
        <v>102.30464587447382</v>
      </c>
      <c r="R31" s="47"/>
      <c r="S31" s="47"/>
      <c r="T31" s="47"/>
    </row>
    <row r="32" spans="1:20" ht="12.75" customHeight="1" thickBot="1" x14ac:dyDescent="0.4">
      <c r="A32" s="49">
        <f>'New Vestas G30 85L'!O37</f>
        <v>391646850.44612962</v>
      </c>
      <c r="B32" s="48">
        <f>'New Vestas G30 85L'!T37</f>
        <v>138.46534309984125</v>
      </c>
      <c r="C32" s="50">
        <f t="shared" si="0"/>
        <v>8.5928946383741796</v>
      </c>
      <c r="D32" s="50">
        <f t="shared" si="0"/>
        <v>2.1413410861516664</v>
      </c>
      <c r="E32" s="51">
        <f t="shared" si="6"/>
        <v>73.837838266199725</v>
      </c>
      <c r="F32" s="51">
        <f t="shared" si="6"/>
        <v>4.5853416472411981</v>
      </c>
      <c r="G32" s="52">
        <f t="shared" si="7"/>
        <v>18.400318338122997</v>
      </c>
      <c r="H32" s="61" t="str">
        <f>"C upper " &amp; TEXT(I18,"##%") &amp; " conf"</f>
        <v>C upper 95% conf</v>
      </c>
      <c r="I32" s="80">
        <f>10^(I14+I22)</f>
        <v>1140.9767199330208</v>
      </c>
      <c r="J32" s="51">
        <f t="shared" si="1"/>
        <v>9.7724738758013565</v>
      </c>
      <c r="K32" s="51">
        <f t="shared" si="2"/>
        <v>2.0197339563073395</v>
      </c>
      <c r="L32" s="55">
        <f t="shared" si="3"/>
        <v>9.1899457869713524E-3</v>
      </c>
      <c r="M32" s="51">
        <f t="shared" si="4"/>
        <v>2.010544010520368</v>
      </c>
      <c r="N32" s="94">
        <f t="shared" si="8"/>
        <v>5922074626.3645163</v>
      </c>
      <c r="O32" s="56">
        <f t="shared" si="9"/>
        <v>104.6487285850648</v>
      </c>
      <c r="P32" s="57">
        <f t="shared" si="5"/>
        <v>102.45756034595342</v>
      </c>
      <c r="R32" s="47"/>
      <c r="S32" s="47"/>
      <c r="T32" s="47"/>
    </row>
    <row r="33" spans="1:20" ht="12.75" customHeight="1" x14ac:dyDescent="0.35">
      <c r="A33" s="49">
        <f>'New Vestas G30 85L'!O38</f>
        <v>522195800.59483945</v>
      </c>
      <c r="B33" s="48">
        <f>'New Vestas G30 85L'!T38</f>
        <v>136.13513267246216</v>
      </c>
      <c r="C33" s="50">
        <f t="shared" si="0"/>
        <v>8.7178333749824795</v>
      </c>
      <c r="D33" s="50">
        <f t="shared" si="0"/>
        <v>2.1339702189343659</v>
      </c>
      <c r="E33" s="51">
        <f t="shared" si="6"/>
        <v>76.000618753958406</v>
      </c>
      <c r="F33" s="51">
        <f t="shared" si="6"/>
        <v>4.5538288952987855</v>
      </c>
      <c r="G33" s="52">
        <f t="shared" si="7"/>
        <v>18.603596795844684</v>
      </c>
      <c r="H33" s="63" t="s">
        <v>84</v>
      </c>
      <c r="I33" s="81"/>
      <c r="J33" s="51">
        <f t="shared" si="1"/>
        <v>9.7663636549195409</v>
      </c>
      <c r="K33" s="51">
        <f t="shared" si="2"/>
        <v>2.0203309737287602</v>
      </c>
      <c r="L33" s="55">
        <f t="shared" si="3"/>
        <v>9.129313814094292E-3</v>
      </c>
      <c r="M33" s="51">
        <f t="shared" si="4"/>
        <v>2.0112016599146658</v>
      </c>
      <c r="N33" s="94">
        <f t="shared" si="8"/>
        <v>5839338545.2757416</v>
      </c>
      <c r="O33" s="56">
        <f t="shared" si="9"/>
        <v>104.79268638216043</v>
      </c>
      <c r="P33" s="57">
        <f t="shared" si="5"/>
        <v>102.6128287145402</v>
      </c>
      <c r="R33" s="47"/>
      <c r="S33" s="47"/>
      <c r="T33" s="47"/>
    </row>
    <row r="34" spans="1:20" ht="12.75" customHeight="1" thickBot="1" x14ac:dyDescent="0.4">
      <c r="A34" s="49">
        <f>'New Vestas G30 85L'!O39</f>
        <v>652744750.74354935</v>
      </c>
      <c r="B34" s="48">
        <f>'New Vestas G30 85L'!T39</f>
        <v>127.64856384573423</v>
      </c>
      <c r="C34" s="50">
        <f t="shared" si="0"/>
        <v>8.8147433879905357</v>
      </c>
      <c r="D34" s="50">
        <f t="shared" si="0"/>
        <v>2.1060159329876531</v>
      </c>
      <c r="E34" s="51">
        <f t="shared" si="6"/>
        <v>77.699700996122871</v>
      </c>
      <c r="F34" s="51">
        <f t="shared" si="6"/>
        <v>4.4353031099978546</v>
      </c>
      <c r="G34" s="52">
        <f t="shared" si="7"/>
        <v>18.563990020305635</v>
      </c>
      <c r="H34" s="82" t="str">
        <f>"G27 Fit: S = " &amp; TEXT(I31,"0,00 E+00 ") &amp; " * N ^ -" &amp; TEXT(I28,"0,00")</f>
        <v>G27 Fit: S = 943 E+00  * N ^ -000</v>
      </c>
      <c r="I34" s="62"/>
      <c r="J34" s="51">
        <f t="shared" si="1"/>
        <v>9.7601662392569164</v>
      </c>
      <c r="K34" s="51">
        <f t="shared" si="2"/>
        <v>2.0209365107772466</v>
      </c>
      <c r="L34" s="55">
        <f t="shared" si="3"/>
        <v>9.0679540359357401E-3</v>
      </c>
      <c r="M34" s="51">
        <f t="shared" si="4"/>
        <v>2.011868556741311</v>
      </c>
      <c r="N34" s="94">
        <f t="shared" si="8"/>
        <v>5756602464.1869192</v>
      </c>
      <c r="O34" s="56">
        <f t="shared" si="9"/>
        <v>104.93890079541113</v>
      </c>
      <c r="P34" s="57">
        <f t="shared" si="5"/>
        <v>102.77052065253544</v>
      </c>
      <c r="R34" s="47"/>
      <c r="S34" s="47"/>
      <c r="T34" s="47"/>
    </row>
    <row r="35" spans="1:20" ht="12.75" customHeight="1" thickBot="1" x14ac:dyDescent="0.4">
      <c r="A35" s="49">
        <f>'New Vestas G30 85L'!O40</f>
        <v>913842651.04096913</v>
      </c>
      <c r="B35" s="48">
        <f>'New Vestas G30 85L'!T40</f>
        <v>125.692337807626</v>
      </c>
      <c r="C35" s="50">
        <f t="shared" si="0"/>
        <v>8.9608714236687739</v>
      </c>
      <c r="D35" s="50">
        <f t="shared" si="0"/>
        <v>2.0993088039445751</v>
      </c>
      <c r="E35" s="51">
        <f t="shared" si="6"/>
        <v>80.297216671523643</v>
      </c>
      <c r="F35" s="51">
        <f t="shared" si="6"/>
        <v>4.4070974543192021</v>
      </c>
      <c r="G35" s="52">
        <f t="shared" si="7"/>
        <v>18.811636270723216</v>
      </c>
      <c r="H35" s="82" t="str">
        <f>"G27 Fit: N = " &amp; TEXT((1/I31)^(-1/I28),"0,00 E+00 ") &amp; " * S ^ -" &amp; TEXT(1/I28,"0,00")</f>
        <v>G27 Fit: N = 278 E+28  * S ^ -010</v>
      </c>
      <c r="I35" s="84"/>
      <c r="J35" s="51">
        <f t="shared" si="1"/>
        <v>9.7538791041481581</v>
      </c>
      <c r="K35" s="51">
        <f t="shared" si="2"/>
        <v>2.0215508141327811</v>
      </c>
      <c r="L35" s="55">
        <f t="shared" si="3"/>
        <v>9.0058502745051002E-3</v>
      </c>
      <c r="M35" s="51">
        <f t="shared" si="4"/>
        <v>2.012544963858276</v>
      </c>
      <c r="N35" s="94">
        <f t="shared" si="8"/>
        <v>5673866383.0981436</v>
      </c>
      <c r="O35" s="56">
        <f t="shared" si="9"/>
        <v>105.08744040391878</v>
      </c>
      <c r="P35" s="57">
        <f t="shared" si="5"/>
        <v>102.93070890418512</v>
      </c>
      <c r="R35" s="47"/>
      <c r="S35" s="47"/>
      <c r="T35" s="47"/>
    </row>
    <row r="36" spans="1:20" ht="12.75" customHeight="1" x14ac:dyDescent="0.35">
      <c r="A36" s="49">
        <f>'New Vestas G30 85L'!O41</f>
        <v>1044391601.1896789</v>
      </c>
      <c r="B36" s="48">
        <f>'New Vestas G30 85L'!T41</f>
        <v>124.16763221579347</v>
      </c>
      <c r="C36" s="50">
        <f t="shared" si="0"/>
        <v>9.0188633706464607</v>
      </c>
      <c r="D36" s="50">
        <f t="shared" si="0"/>
        <v>2.0940083995272856</v>
      </c>
      <c r="E36" s="51">
        <f t="shared" si="6"/>
        <v>81.339896498388441</v>
      </c>
      <c r="F36" s="51">
        <f t="shared" si="6"/>
        <v>4.3848711772908242</v>
      </c>
      <c r="G36" s="52">
        <f t="shared" si="7"/>
        <v>18.885575652322654</v>
      </c>
      <c r="H36" s="83"/>
      <c r="I36" s="83"/>
      <c r="J36" s="51">
        <f t="shared" si="1"/>
        <v>9.7474996136652585</v>
      </c>
      <c r="K36" s="51">
        <f t="shared" si="2"/>
        <v>2.0221741413465999</v>
      </c>
      <c r="L36" s="55">
        <f t="shared" si="3"/>
        <v>8.9429859030045935E-3</v>
      </c>
      <c r="M36" s="51">
        <f t="shared" si="4"/>
        <v>2.0132311554435951</v>
      </c>
      <c r="N36" s="94">
        <f t="shared" si="8"/>
        <v>5591130302.0093498</v>
      </c>
      <c r="O36" s="56">
        <f t="shared" si="9"/>
        <v>105.23837690974322</v>
      </c>
      <c r="P36" s="57">
        <f t="shared" si="5"/>
        <v>103.09346946648843</v>
      </c>
      <c r="R36" s="47"/>
      <c r="S36" s="47"/>
      <c r="T36" s="47"/>
    </row>
    <row r="37" spans="1:20" ht="12.75" customHeight="1" x14ac:dyDescent="0.35">
      <c r="A37" s="49">
        <f>'New Vestas G30 85L'!O42</f>
        <v>130548950.14870986</v>
      </c>
      <c r="B37" s="48">
        <f>'New Vestas G30 85L'!T42</f>
        <v>149.57811851645184</v>
      </c>
      <c r="C37" s="50">
        <f t="shared" si="0"/>
        <v>8.1157733836545169</v>
      </c>
      <c r="D37" s="50">
        <f t="shared" si="0"/>
        <v>2.1748680661045463</v>
      </c>
      <c r="E37" s="51">
        <f t="shared" si="6"/>
        <v>65.865777614835082</v>
      </c>
      <c r="F37" s="51">
        <f t="shared" si="6"/>
        <v>4.730051104961329</v>
      </c>
      <c r="G37" s="52">
        <f t="shared" si="7"/>
        <v>17.650736363851451</v>
      </c>
      <c r="H37" s="95">
        <f>1/I28</f>
        <v>10.23457718750225</v>
      </c>
      <c r="I37" s="85">
        <f>I31-I30</f>
        <v>163.52396201667682</v>
      </c>
      <c r="J37" s="51">
        <f t="shared" si="1"/>
        <v>9.7410250139820977</v>
      </c>
      <c r="K37" s="51">
        <f t="shared" si="2"/>
        <v>2.0228067614895275</v>
      </c>
      <c r="L37" s="55">
        <f t="shared" si="3"/>
        <v>8.8793438380252911E-3</v>
      </c>
      <c r="M37" s="51">
        <f t="shared" si="4"/>
        <v>2.0139274176515021</v>
      </c>
      <c r="N37" s="94">
        <f t="shared" si="8"/>
        <v>5508394220.9205437</v>
      </c>
      <c r="O37" s="56">
        <f t="shared" si="9"/>
        <v>105.39178532883594</v>
      </c>
      <c r="P37" s="57">
        <f t="shared" si="5"/>
        <v>103.25888178336247</v>
      </c>
      <c r="R37" s="47"/>
      <c r="S37" s="47"/>
      <c r="T37" s="47"/>
    </row>
    <row r="38" spans="1:20" ht="12.75" customHeight="1" x14ac:dyDescent="0.35">
      <c r="A38" s="49">
        <f>'New Vestas G30 85L'!O43</f>
        <v>261097900.29741973</v>
      </c>
      <c r="B38" s="48">
        <f>'New Vestas G30 85L'!T43</f>
        <v>146.47767934153356</v>
      </c>
      <c r="C38" s="50">
        <f t="shared" si="0"/>
        <v>8.4168033793184982</v>
      </c>
      <c r="D38" s="50">
        <f t="shared" si="0"/>
        <v>2.1657714507833314</v>
      </c>
      <c r="E38" s="51">
        <f t="shared" si="6"/>
        <v>70.842579126107296</v>
      </c>
      <c r="F38" s="51">
        <f t="shared" si="6"/>
        <v>4.690565977028136</v>
      </c>
      <c r="G38" s="52">
        <f t="shared" si="7"/>
        <v>18.228872465784672</v>
      </c>
      <c r="H38" s="95">
        <f>((1/I27)-(1/I29))/2</f>
        <v>0.96176322466166653</v>
      </c>
      <c r="I38" s="85">
        <f>I32-I31</f>
        <v>197.82237675226656</v>
      </c>
      <c r="J38" s="51">
        <f t="shared" si="1"/>
        <v>9.7344524262368743</v>
      </c>
      <c r="K38" s="51">
        <f t="shared" si="2"/>
        <v>2.0234489558493736</v>
      </c>
      <c r="L38" s="55">
        <f t="shared" si="3"/>
        <v>8.814906532846634E-3</v>
      </c>
      <c r="M38" s="51">
        <f t="shared" si="4"/>
        <v>2.0146340493165269</v>
      </c>
      <c r="N38" s="94">
        <f t="shared" si="8"/>
        <v>5425658139.8317366</v>
      </c>
      <c r="O38" s="56">
        <f t="shared" si="9"/>
        <v>105.54774419671367</v>
      </c>
      <c r="P38" s="57">
        <f t="shared" si="5"/>
        <v>103.42702895435647</v>
      </c>
      <c r="R38" s="47"/>
      <c r="S38" s="47"/>
      <c r="T38" s="47"/>
    </row>
    <row r="39" spans="1:20" ht="12.75" customHeight="1" x14ac:dyDescent="0.35">
      <c r="A39" s="49">
        <f>'New Vestas G30 85L'!O44</f>
        <v>391646850.44612962</v>
      </c>
      <c r="B39" s="48">
        <f>'New Vestas G30 85L'!T44</f>
        <v>140.53517091794299</v>
      </c>
      <c r="C39" s="50">
        <f t="shared" si="0"/>
        <v>8.5928946383741796</v>
      </c>
      <c r="D39" s="50">
        <f t="shared" si="0"/>
        <v>2.1477850261919325</v>
      </c>
      <c r="E39" s="51">
        <f t="shared" si="6"/>
        <v>73.837838266199725</v>
      </c>
      <c r="F39" s="51">
        <f t="shared" si="6"/>
        <v>4.6129805187342798</v>
      </c>
      <c r="G39" s="52">
        <f t="shared" si="7"/>
        <v>18.455690435945002</v>
      </c>
      <c r="H39" s="86"/>
      <c r="I39" s="86"/>
      <c r="J39" s="51">
        <f t="shared" si="1"/>
        <v>9.7277788388460635</v>
      </c>
      <c r="K39" s="51">
        <f t="shared" si="2"/>
        <v>2.0241010186819213</v>
      </c>
      <c r="L39" s="55">
        <f t="shared" si="3"/>
        <v>8.7496559721215138E-3</v>
      </c>
      <c r="M39" s="51">
        <f t="shared" si="4"/>
        <v>2.0153513627097999</v>
      </c>
      <c r="N39" s="94">
        <f t="shared" si="8"/>
        <v>5342922058.7429409</v>
      </c>
      <c r="O39" s="56">
        <f t="shared" si="9"/>
        <v>105.70633579025898</v>
      </c>
      <c r="P39" s="57">
        <f t="shared" si="5"/>
        <v>103.59799795923212</v>
      </c>
      <c r="R39" s="47"/>
      <c r="S39" s="47"/>
      <c r="T39" s="47"/>
    </row>
    <row r="40" spans="1:20" ht="12.75" customHeight="1" x14ac:dyDescent="0.35">
      <c r="A40" s="49">
        <f>'New Vestas G30 85L'!O45</f>
        <v>522195800.59483945</v>
      </c>
      <c r="B40" s="48">
        <f>'New Vestas G30 85L'!T45</f>
        <v>133.81755271061729</v>
      </c>
      <c r="C40" s="50">
        <f t="shared" si="0"/>
        <v>8.7178333749824795</v>
      </c>
      <c r="D40" s="50">
        <f t="shared" si="0"/>
        <v>2.1265130831282777</v>
      </c>
      <c r="E40" s="51">
        <f t="shared" si="6"/>
        <v>76.000618753958406</v>
      </c>
      <c r="F40" s="51">
        <f t="shared" si="6"/>
        <v>4.5220578927157336</v>
      </c>
      <c r="G40" s="52">
        <f t="shared" si="7"/>
        <v>18.538586728432591</v>
      </c>
      <c r="H40" s="86" t="b">
        <f>H37=H38</f>
        <v>0</v>
      </c>
      <c r="I40" s="86"/>
      <c r="J40" s="51">
        <f t="shared" si="1"/>
        <v>9.7210010992185882</v>
      </c>
      <c r="K40" s="51">
        <f t="shared" si="2"/>
        <v>2.0247632580205184</v>
      </c>
      <c r="L40" s="55">
        <f t="shared" si="3"/>
        <v>8.6835736682830452E-3</v>
      </c>
      <c r="M40" s="51">
        <f t="shared" si="4"/>
        <v>2.0160796843522353</v>
      </c>
      <c r="N40" s="94">
        <f t="shared" si="8"/>
        <v>5260185977.6541481</v>
      </c>
      <c r="O40" s="56">
        <f t="shared" si="9"/>
        <v>105.86764636718027</v>
      </c>
      <c r="P40" s="57">
        <f t="shared" si="5"/>
        <v>103.7718798998628</v>
      </c>
      <c r="R40" s="47"/>
      <c r="S40" s="47"/>
      <c r="T40" s="47"/>
    </row>
    <row r="41" spans="1:20" ht="12.75" customHeight="1" x14ac:dyDescent="0.35">
      <c r="A41" s="49">
        <f>'New Vestas G30 85L'!O46</f>
        <v>783293700.89225924</v>
      </c>
      <c r="B41" s="48">
        <f>'New Vestas G30 85L'!T46</f>
        <v>130.7171135332004</v>
      </c>
      <c r="C41" s="50">
        <f t="shared" si="0"/>
        <v>8.8939246340381608</v>
      </c>
      <c r="D41" s="50">
        <f t="shared" si="0"/>
        <v>2.1163324492981648</v>
      </c>
      <c r="E41" s="51">
        <f t="shared" si="6"/>
        <v>79.101895395950834</v>
      </c>
      <c r="F41" s="51">
        <f t="shared" si="6"/>
        <v>4.4788630359523696</v>
      </c>
      <c r="G41" s="52">
        <f t="shared" si="7"/>
        <v>18.822501304627263</v>
      </c>
      <c r="H41" s="114">
        <f>1/I31</f>
        <v>1.0602718497033431E-3</v>
      </c>
      <c r="I41" s="86"/>
      <c r="J41" s="51">
        <f t="shared" si="1"/>
        <v>9.7141159048131041</v>
      </c>
      <c r="K41" s="51">
        <f t="shared" si="2"/>
        <v>2.0254359965498532</v>
      </c>
      <c r="L41" s="55">
        <f t="shared" si="3"/>
        <v>8.6166406600713813E-3</v>
      </c>
      <c r="M41" s="51">
        <f t="shared" si="4"/>
        <v>2.016819355889782</v>
      </c>
      <c r="N41" s="94">
        <f t="shared" si="8"/>
        <v>5177449896.5653601</v>
      </c>
      <c r="O41" s="56">
        <f t="shared" si="9"/>
        <v>106.03176642484142</v>
      </c>
      <c r="P41" s="57">
        <f t="shared" si="5"/>
        <v>103.9487702610655</v>
      </c>
      <c r="R41" s="47"/>
      <c r="S41" s="47"/>
      <c r="T41" s="47"/>
    </row>
    <row r="42" spans="1:20" ht="12.75" customHeight="1" x14ac:dyDescent="0.35">
      <c r="A42" s="49">
        <f>'New Vestas G30 85L'!O47</f>
        <v>1044391601.1896789</v>
      </c>
      <c r="B42" s="48">
        <f>'New Vestas G30 85L'!T47</f>
        <v>122.36315241384239</v>
      </c>
      <c r="C42" s="50">
        <f t="shared" si="0"/>
        <v>9.0188633706464607</v>
      </c>
      <c r="D42" s="50">
        <f t="shared" si="0"/>
        <v>2.0876506570859386</v>
      </c>
      <c r="E42" s="51">
        <f t="shared" si="6"/>
        <v>81.339896498388441</v>
      </c>
      <c r="F42" s="51">
        <f t="shared" si="6"/>
        <v>4.3582852660313511</v>
      </c>
      <c r="G42" s="52">
        <f t="shared" si="7"/>
        <v>18.828236041898386</v>
      </c>
      <c r="H42" s="86"/>
      <c r="I42" s="86"/>
      <c r="J42" s="51">
        <f t="shared" si="1"/>
        <v>9.7071197934749094</v>
      </c>
      <c r="K42" s="51">
        <f t="shared" si="2"/>
        <v>2.0261195725501144</v>
      </c>
      <c r="L42" s="55">
        <f t="shared" si="3"/>
        <v>8.5488375136543535E-3</v>
      </c>
      <c r="M42" s="51">
        <f t="shared" si="4"/>
        <v>2.0175707350364602</v>
      </c>
      <c r="N42" s="94">
        <f t="shared" si="8"/>
        <v>5094713815.4765511</v>
      </c>
      <c r="O42" s="56">
        <f t="shared" si="9"/>
        <v>106.19879098036539</v>
      </c>
      <c r="P42" s="57">
        <f t="shared" si="5"/>
        <v>104.12876919215158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9.7000091329817266</v>
      </c>
      <c r="K43" s="51">
        <f t="shared" si="2"/>
        <v>2.0268143409184516</v>
      </c>
      <c r="L43" s="55">
        <f t="shared" si="3"/>
        <v>8.4801443269047656E-3</v>
      </c>
      <c r="M43" s="51">
        <f t="shared" si="4"/>
        <v>2.0183341965915469</v>
      </c>
      <c r="N43" s="94">
        <f t="shared" si="8"/>
        <v>5011977734.3877735</v>
      </c>
      <c r="O43" s="56">
        <f t="shared" si="9"/>
        <v>106.36881987413649</v>
      </c>
      <c r="P43" s="57">
        <f t="shared" si="5"/>
        <v>104.31198181118478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/>
      <c r="I44" s="86"/>
      <c r="J44" s="51">
        <f t="shared" si="1"/>
        <v>9.6927801097192816</v>
      </c>
      <c r="K44" s="51">
        <f t="shared" si="2"/>
        <v>2.0275206742754635</v>
      </c>
      <c r="L44" s="55">
        <f t="shared" si="3"/>
        <v>8.4105407375026035E-3</v>
      </c>
      <c r="M44" s="51">
        <f t="shared" si="4"/>
        <v>2.0191101335379606</v>
      </c>
      <c r="N44" s="94">
        <f t="shared" si="8"/>
        <v>4929241653.2989721</v>
      </c>
      <c r="O44" s="56">
        <f t="shared" si="9"/>
        <v>106.54195809908161</v>
      </c>
      <c r="P44" s="57">
        <f t="shared" si="5"/>
        <v>104.49851853415512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83</v>
      </c>
      <c r="I45" s="86">
        <f>(1/I31)^(-1/I28)</f>
        <v>2.7771347313484284E+30</v>
      </c>
      <c r="J45" s="51">
        <f t="shared" si="1"/>
        <v>9.6854287163983503</v>
      </c>
      <c r="K45" s="51">
        <f t="shared" si="2"/>
        <v>2.0282389641653387</v>
      </c>
      <c r="L45" s="55">
        <f t="shared" si="3"/>
        <v>8.3400059356576583E-3</v>
      </c>
      <c r="M45" s="51">
        <f t="shared" si="4"/>
        <v>2.0198989582296809</v>
      </c>
      <c r="N45" s="94">
        <f t="shared" si="8"/>
        <v>4846505572.2101641</v>
      </c>
      <c r="O45" s="56">
        <f t="shared" si="9"/>
        <v>106.71831615838859</v>
      </c>
      <c r="P45" s="57">
        <f t="shared" si="5"/>
        <v>104.6884954315297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 t="s">
        <v>82</v>
      </c>
      <c r="I46" s="86">
        <f>1/I28</f>
        <v>10.23457718750225</v>
      </c>
      <c r="J46" s="51">
        <f t="shared" si="1"/>
        <v>9.6779507387141805</v>
      </c>
      <c r="K46" s="51">
        <f t="shared" si="2"/>
        <v>2.0289696223593383</v>
      </c>
      <c r="L46" s="55">
        <f t="shared" si="3"/>
        <v>8.2685186823979271E-3</v>
      </c>
      <c r="M46" s="51">
        <f t="shared" si="4"/>
        <v>2.0207011036769402</v>
      </c>
      <c r="N46" s="94">
        <f t="shared" si="8"/>
        <v>4763769491.1213818</v>
      </c>
      <c r="O46" s="56">
        <f t="shared" si="9"/>
        <v>106.8980104546558</v>
      </c>
      <c r="P46" s="57">
        <f t="shared" si="5"/>
        <v>104.88203461493075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 t="s">
        <v>159</v>
      </c>
      <c r="I47" s="86">
        <f>1/I27</f>
        <v>11.285934864155895</v>
      </c>
      <c r="J47" s="51">
        <f t="shared" si="1"/>
        <v>9.6703417408371202</v>
      </c>
      <c r="K47" s="51">
        <f t="shared" si="2"/>
        <v>2.0297130822734761</v>
      </c>
      <c r="L47" s="55">
        <f t="shared" si="3"/>
        <v>8.1960573345501754E-3</v>
      </c>
      <c r="M47" s="51">
        <f t="shared" si="4"/>
        <v>2.0215170249389258</v>
      </c>
      <c r="N47" s="94">
        <f t="shared" si="8"/>
        <v>4681033410.0325747</v>
      </c>
      <c r="O47" s="56">
        <f t="shared" si="9"/>
        <v>107.08116371383049</v>
      </c>
      <c r="P47" s="57">
        <f t="shared" si="5"/>
        <v>105.07926465701019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 t="s">
        <v>160</v>
      </c>
      <c r="I48" s="86">
        <f>1/I29</f>
        <v>9.3624084148325615</v>
      </c>
      <c r="J48" s="51">
        <f t="shared" si="1"/>
        <v>9.6625970496093672</v>
      </c>
      <c r="K48" s="51">
        <f t="shared" si="2"/>
        <v>2.0304698005126247</v>
      </c>
      <c r="L48" s="55">
        <f t="shared" si="3"/>
        <v>8.1225998777546757E-3</v>
      </c>
      <c r="M48" s="51">
        <f t="shared" si="4"/>
        <v>2.0223472006348699</v>
      </c>
      <c r="N48" s="94">
        <f t="shared" si="8"/>
        <v>4598297328.9437819</v>
      </c>
      <c r="O48" s="56">
        <f t="shared" si="9"/>
        <v>107.26790544772425</v>
      </c>
      <c r="P48" s="57">
        <f t="shared" si="5"/>
        <v>105.28032104796289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9.6547117373068634</v>
      </c>
      <c r="K49" s="51">
        <f t="shared" si="2"/>
        <v>2.0312402585548126</v>
      </c>
      <c r="L49" s="55">
        <f t="shared" si="3"/>
        <v>8.0481239691155074E-3</v>
      </c>
      <c r="M49" s="51">
        <f t="shared" si="4"/>
        <v>2.0231921345856971</v>
      </c>
      <c r="N49" s="94">
        <f t="shared" si="8"/>
        <v>4515561247.8549843</v>
      </c>
      <c r="O49" s="56">
        <f t="shared" si="9"/>
        <v>107.45837245937993</v>
      </c>
      <c r="P49" s="57">
        <f t="shared" si="5"/>
        <v>105.48534669253304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9.6466806028071108</v>
      </c>
      <c r="K50" s="51">
        <f t="shared" si="2"/>
        <v>2.0320249645912827</v>
      </c>
      <c r="L50" s="55">
        <f t="shared" si="3"/>
        <v>7.9726069913993274E-3</v>
      </c>
      <c r="M50" s="51">
        <f t="shared" si="4"/>
        <v>2.0240523575998832</v>
      </c>
      <c r="N50" s="94">
        <f t="shared" si="8"/>
        <v>4432825166.76618</v>
      </c>
      <c r="O50" s="56">
        <f t="shared" si="9"/>
        <v>107.65270939612913</v>
      </c>
      <c r="P50" s="57">
        <f t="shared" si="5"/>
        <v>105.69449245185169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9.6384981509826684</v>
      </c>
      <c r="K51" s="51">
        <f t="shared" si="2"/>
        <v>2.0328244555399104</v>
      </c>
      <c r="L51" s="55">
        <f t="shared" si="3"/>
        <v>7.8960261210708742E-3</v>
      </c>
      <c r="M51" s="51">
        <f t="shared" si="4"/>
        <v>2.0249284294188397</v>
      </c>
      <c r="N51" s="94">
        <f t="shared" si="8"/>
        <v>4350089085.6773748</v>
      </c>
      <c r="O51" s="56">
        <f t="shared" si="9"/>
        <v>107.85106935582189</v>
      </c>
      <c r="P51" s="57">
        <f t="shared" si="5"/>
        <v>105.90791773498366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9.6301585701158743</v>
      </c>
      <c r="K52" s="51">
        <f t="shared" si="2"/>
        <v>2.0336392992519672</v>
      </c>
      <c r="L52" s="55">
        <f t="shared" si="3"/>
        <v>7.8183584129065658E-3</v>
      </c>
      <c r="M52" s="51">
        <f t="shared" si="4"/>
        <v>2.0258209408390608</v>
      </c>
      <c r="N52" s="94">
        <f t="shared" si="8"/>
        <v>4267353004.5885925</v>
      </c>
      <c r="O52" s="56">
        <f t="shared" si="9"/>
        <v>108.05361455246486</v>
      </c>
      <c r="P52" s="57">
        <f t="shared" si="5"/>
        <v>106.12579114568783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9.6216557071022883</v>
      </c>
      <c r="K53" s="51">
        <f t="shared" si="2"/>
        <v>2.0344700969349403</v>
      </c>
      <c r="L53" s="55">
        <f t="shared" si="3"/>
        <v>7.7395809044753681E-3</v>
      </c>
      <c r="M53" s="51">
        <f t="shared" si="4"/>
        <v>2.0267305160304647</v>
      </c>
      <c r="N53" s="94">
        <f t="shared" si="8"/>
        <v>4184616923.4997888</v>
      </c>
      <c r="O53" s="56">
        <f t="shared" si="9"/>
        <v>108.26051704836543</v>
      </c>
      <c r="P53" s="57">
        <f t="shared" si="5"/>
        <v>106.34829119061007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9.6129830401778786</v>
      </c>
      <c r="K54" s="51">
        <f t="shared" si="2"/>
        <v>2.0353174858173064</v>
      </c>
      <c r="L54" s="55">
        <f t="shared" si="3"/>
        <v>7.659670744440618E-3</v>
      </c>
      <c r="M54" s="51">
        <f t="shared" si="4"/>
        <v>2.0276578150728657</v>
      </c>
      <c r="N54" s="94">
        <f t="shared" si="8"/>
        <v>4101880842.4109879</v>
      </c>
      <c r="O54" s="56">
        <f t="shared" si="9"/>
        <v>108.47195956089125</v>
      </c>
      <c r="P54" s="57">
        <f t="shared" si="5"/>
        <v>106.57560705595392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9.6041336488671281</v>
      </c>
      <c r="K55" s="51">
        <f t="shared" si="2"/>
        <v>2.0361821420848423</v>
      </c>
      <c r="L55" s="55">
        <f t="shared" si="3"/>
        <v>7.5786053494431346E-3</v>
      </c>
      <c r="M55" s="51">
        <f t="shared" si="4"/>
        <v>2.0286035367353992</v>
      </c>
      <c r="N55" s="94">
        <f t="shared" si="8"/>
        <v>4019144761.3222041</v>
      </c>
      <c r="O55" s="56">
        <f t="shared" si="9"/>
        <v>108.68813635312644</v>
      </c>
      <c r="P55" s="57">
        <f t="shared" si="5"/>
        <v>106.80793946061644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9.5951001808051561</v>
      </c>
      <c r="K56" s="51">
        <f t="shared" si="2"/>
        <v>2.0370647841223661</v>
      </c>
      <c r="L56" s="55">
        <f t="shared" si="3"/>
        <v>7.4963625953086534E-3</v>
      </c>
      <c r="M56" s="51">
        <f t="shared" si="4"/>
        <v>2.0295684215270575</v>
      </c>
      <c r="N56" s="94">
        <f t="shared" si="8"/>
        <v>3936408680.2333975</v>
      </c>
      <c r="O56" s="56">
        <f t="shared" si="9"/>
        <v>108.90925421907805</v>
      </c>
      <c r="P56" s="57">
        <f t="shared" si="5"/>
        <v>107.0455015948812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9.5858748150353819</v>
      </c>
      <c r="K57" s="51">
        <f t="shared" si="2"/>
        <v>2.037966176099852</v>
      </c>
      <c r="L57" s="55">
        <f t="shared" si="3"/>
        <v>7.4129210495221956E-3</v>
      </c>
      <c r="M57" s="51">
        <f t="shared" si="4"/>
        <v>2.0305532550503296</v>
      </c>
      <c r="N57" s="94">
        <f t="shared" si="8"/>
        <v>3853672599.1445913</v>
      </c>
      <c r="O57" s="56">
        <f t="shared" si="9"/>
        <v>109.13553357569464</v>
      </c>
      <c r="P57" s="57">
        <f t="shared" si="5"/>
        <v>107.28852015502696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9.5764492213236441</v>
      </c>
      <c r="K58" s="51">
        <f t="shared" si="2"/>
        <v>2.0388871319477637</v>
      </c>
      <c r="L58" s="55">
        <f t="shared" si="3"/>
        <v>7.3282602533787794E-3</v>
      </c>
      <c r="M58" s="51">
        <f t="shared" si="4"/>
        <v>2.0315588716943851</v>
      </c>
      <c r="N58" s="94">
        <f t="shared" si="8"/>
        <v>3770936518.0557995</v>
      </c>
      <c r="O58" s="56">
        <f t="shared" si="9"/>
        <v>109.36720967585066</v>
      </c>
      <c r="P58" s="57">
        <f t="shared" si="5"/>
        <v>107.53723648568273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9.5668145149584198</v>
      </c>
      <c r="K59" s="51">
        <f t="shared" si="2"/>
        <v>2.0398285197734367</v>
      </c>
      <c r="L59" s="55">
        <f t="shared" si="3"/>
        <v>7.2423610640196291E-3</v>
      </c>
      <c r="M59" s="51">
        <f t="shared" si="4"/>
        <v>2.0325861587094169</v>
      </c>
      <c r="N59" s="94">
        <f t="shared" si="8"/>
        <v>3688200436.9670029</v>
      </c>
      <c r="O59" s="56">
        <f t="shared" si="9"/>
        <v>109.60453395868231</v>
      </c>
      <c r="P59" s="57">
        <f t="shared" si="5"/>
        <v>107.79190784348775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9.5569612064225478</v>
      </c>
      <c r="K60" s="51">
        <f t="shared" si="2"/>
        <v>2.0407912667785504</v>
      </c>
      <c r="L60" s="55">
        <f t="shared" si="3"/>
        <v>7.1552060687755676E-3</v>
      </c>
      <c r="M60" s="51">
        <f t="shared" si="4"/>
        <v>2.033636060709775</v>
      </c>
      <c r="N60" s="94">
        <f t="shared" si="8"/>
        <v>3605464355.8782067</v>
      </c>
      <c r="O60" s="56">
        <f t="shared" si="9"/>
        <v>109.84777555629935</v>
      </c>
      <c r="P60" s="57">
        <f t="shared" si="5"/>
        <v>108.05280879761513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9.5468791452219079</v>
      </c>
      <c r="K61" s="51">
        <f t="shared" si="2"/>
        <v>2.0417763647475171</v>
      </c>
      <c r="L61" s="55">
        <f t="shared" si="3"/>
        <v>7.0667800869653749E-3</v>
      </c>
      <c r="M61" s="51">
        <f t="shared" si="4"/>
        <v>2.0347095846605519</v>
      </c>
      <c r="N61" s="94">
        <f t="shared" si="8"/>
        <v>3522728274.7894106</v>
      </c>
      <c r="O61" s="56">
        <f t="shared" si="9"/>
        <v>110.09722297904221</v>
      </c>
      <c r="P61" s="57">
        <f t="shared" si="5"/>
        <v>108.3202327850784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9.5365574570376346</v>
      </c>
      <c r="K62" s="51">
        <f t="shared" si="2"/>
        <v>2.0427848761882119</v>
      </c>
      <c r="L62" s="55">
        <f t="shared" si="3"/>
        <v>6.9770707776656143E-3</v>
      </c>
      <c r="M62" s="51">
        <f t="shared" si="4"/>
        <v>2.0358078054105464</v>
      </c>
      <c r="N62" s="94">
        <f t="shared" si="8"/>
        <v>3439992193.7006011</v>
      </c>
      <c r="O62" s="56">
        <f t="shared" si="9"/>
        <v>110.35318600519376</v>
      </c>
      <c r="P62" s="57">
        <f t="shared" si="5"/>
        <v>108.59449384150952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9.5259844732263712</v>
      </c>
      <c r="K63" s="51">
        <f t="shared" si="2"/>
        <v>2.0438179412203636</v>
      </c>
      <c r="L63" s="55">
        <f t="shared" si="3"/>
        <v>6.8860693761400695E-3</v>
      </c>
      <c r="M63" s="51">
        <f t="shared" si="4"/>
        <v>2.0369318718442235</v>
      </c>
      <c r="N63" s="94">
        <f t="shared" si="8"/>
        <v>3357256112.6118135</v>
      </c>
      <c r="O63" s="56">
        <f t="shared" si="9"/>
        <v>110.61599780554155</v>
      </c>
      <c r="P63" s="57">
        <f t="shared" si="5"/>
        <v>108.87592853136465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9.5151476515225841</v>
      </c>
      <c r="K64" s="51">
        <f t="shared" si="2"/>
        <v>2.0448767853235692</v>
      </c>
      <c r="L64" s="55">
        <f t="shared" si="3"/>
        <v>6.7937715867944833E-3</v>
      </c>
      <c r="M64" s="51">
        <f t="shared" si="4"/>
        <v>2.0380830137367747</v>
      </c>
      <c r="N64" s="94">
        <f t="shared" si="8"/>
        <v>3274520031.5230093</v>
      </c>
      <c r="O64" s="56">
        <f t="shared" si="9"/>
        <v>110.88601733857567</v>
      </c>
      <c r="P64" s="57">
        <f t="shared" si="5"/>
        <v>109.1648981053925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9.504033486591668</v>
      </c>
      <c r="K65" s="51">
        <f t="shared" si="2"/>
        <v>2.0459627280769723</v>
      </c>
      <c r="L65" s="55">
        <f t="shared" si="3"/>
        <v>6.700178666964633E-3</v>
      </c>
      <c r="M65" s="51">
        <f t="shared" si="4"/>
        <v>2.0392625494100076</v>
      </c>
      <c r="N65" s="94">
        <f t="shared" si="8"/>
        <v>3191783950.4342237</v>
      </c>
      <c r="O65" s="56">
        <f t="shared" si="9"/>
        <v>111.16363205861988</v>
      </c>
      <c r="P65" s="57">
        <f t="shared" si="5"/>
        <v>109.46179091781417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9.4926274088339664</v>
      </c>
      <c r="K66" s="51">
        <f t="shared" ref="K66:K129" si="11">+$I$14+$I$13*J66</f>
        <v>2.0470771930469205</v>
      </c>
      <c r="L66" s="55">
        <f t="shared" ref="L66:L129" si="12">SQRT(2*$I$20*$I$17)*SQRT((1/$I$2)+((J66-$I$11)^2/$I$8))</f>
        <v>6.6052987438752408E-3</v>
      </c>
      <c r="M66" s="51">
        <f t="shared" ref="M66:M102" si="13">+$I$14+$I$13*J66-L66</f>
        <v>2.0404718943030451</v>
      </c>
      <c r="N66" s="94">
        <f t="shared" si="8"/>
        <v>3109047869.3454132</v>
      </c>
      <c r="O66" s="56">
        <f t="shared" si="9"/>
        <v>111.44926098709109</v>
      </c>
      <c r="P66" s="57">
        <f t="shared" ref="P66:P102" si="14">10^M66</f>
        <v>109.76702514117997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9.4809136695377543</v>
      </c>
      <c r="K67" s="51">
        <f t="shared" si="11"/>
        <v>2.0482217190084344</v>
      </c>
      <c r="L67" s="55">
        <f t="shared" si="12"/>
        <v>6.5091484171370083E-3</v>
      </c>
      <c r="M67" s="51">
        <f t="shared" si="13"/>
        <v>2.0417125705912973</v>
      </c>
      <c r="N67" s="94">
        <f t="shared" ref="N67:N101" si="15">10^$J67</f>
        <v>3026311788.2566166</v>
      </c>
      <c r="O67" s="56">
        <f t="shared" ref="O67:O102" si="16">10^K67</f>
        <v>111.74335820670242</v>
      </c>
      <c r="P67" s="57">
        <f t="shared" si="14"/>
        <v>110.08105182350262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9.4688752101099354</v>
      </c>
      <c r="K68" s="51">
        <f t="shared" si="11"/>
        <v>2.0493979727224145</v>
      </c>
      <c r="L68" s="55">
        <f t="shared" si="12"/>
        <v>6.4117547116931848E-3</v>
      </c>
      <c r="M68" s="51">
        <f t="shared" si="13"/>
        <v>2.0429862180107214</v>
      </c>
      <c r="N68" s="94">
        <f t="shared" si="15"/>
        <v>2943575707.1678228</v>
      </c>
      <c r="O68" s="56">
        <f t="shared" si="16"/>
        <v>112.04641685022266</v>
      </c>
      <c r="P68" s="57">
        <f t="shared" si="14"/>
        <v>110.40435834028811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9.4564935126598222</v>
      </c>
      <c r="K69" s="51">
        <f t="shared" si="11"/>
        <v>2.0506077635348023</v>
      </c>
      <c r="L69" s="55">
        <f t="shared" si="12"/>
        <v>6.3131574618374049E-3</v>
      </c>
      <c r="M69" s="51">
        <f t="shared" si="13"/>
        <v>2.044294606072965</v>
      </c>
      <c r="N69" s="94">
        <f t="shared" si="15"/>
        <v>2860839626.0790238</v>
      </c>
      <c r="O69" s="56">
        <f t="shared" si="16"/>
        <v>112.35897366991382</v>
      </c>
      <c r="P69" s="57">
        <f t="shared" si="14"/>
        <v>110.73747230384528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9.4437484286513573</v>
      </c>
      <c r="K70" s="51">
        <f t="shared" si="11"/>
        <v>2.0518530601186251</v>
      </c>
      <c r="L70" s="55">
        <f t="shared" si="12"/>
        <v>6.2134122266098817E-3</v>
      </c>
      <c r="M70" s="51">
        <f t="shared" si="13"/>
        <v>2.0456396478920151</v>
      </c>
      <c r="N70" s="94">
        <f t="shared" si="15"/>
        <v>2778103544.9902272</v>
      </c>
      <c r="O70" s="56">
        <f t="shared" si="16"/>
        <v>112.68161429174457</v>
      </c>
      <c r="P70" s="57">
        <f t="shared" si="14"/>
        <v>111.08096600421619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9.4306179816436391</v>
      </c>
      <c r="K71" s="51">
        <f t="shared" si="11"/>
        <v>2.0531360097478242</v>
      </c>
      <c r="L71" s="55">
        <f t="shared" si="12"/>
        <v>6.1125938615453198E-3</v>
      </c>
      <c r="M71" s="51">
        <f t="shared" si="13"/>
        <v>2.047023415886279</v>
      </c>
      <c r="N71" s="94">
        <f t="shared" si="15"/>
        <v>2695367463.9014273</v>
      </c>
      <c r="O71" s="56">
        <f t="shared" si="16"/>
        <v>113.01497928085644</v>
      </c>
      <c r="P71" s="57">
        <f t="shared" si="14"/>
        <v>111.4354614708547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9.4170781392706289</v>
      </c>
      <c r="K72" s="51">
        <f t="shared" si="11"/>
        <v>2.0544589605766621</v>
      </c>
      <c r="L72" s="55">
        <f t="shared" si="12"/>
        <v>6.0108009026236097E-3</v>
      </c>
      <c r="M72" s="51">
        <f t="shared" si="13"/>
        <v>2.0484481596740385</v>
      </c>
      <c r="N72" s="94">
        <f t="shared" si="15"/>
        <v>2612631382.8126354</v>
      </c>
      <c r="O72" s="56">
        <f t="shared" si="16"/>
        <v>113.35977117280503</v>
      </c>
      <c r="P72" s="57">
        <f t="shared" si="14"/>
        <v>111.8016362626099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9.4031025485179267</v>
      </c>
      <c r="K73" s="51">
        <f t="shared" si="11"/>
        <v>2.0558244875052947</v>
      </c>
      <c r="L73" s="55">
        <f t="shared" si="12"/>
        <v>5.9081609568413145E-3</v>
      </c>
      <c r="M73" s="51">
        <f t="shared" si="13"/>
        <v>2.0499163265484532</v>
      </c>
      <c r="N73" s="94">
        <f t="shared" si="15"/>
        <v>2529895301.723835</v>
      </c>
      <c r="O73" s="56">
        <f t="shared" si="16"/>
        <v>113.71676266045998</v>
      </c>
      <c r="P73" s="57">
        <f t="shared" si="14"/>
        <v>112.18023011679668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9.3886622269707622</v>
      </c>
      <c r="K74" s="51">
        <f t="shared" si="11"/>
        <v>2.0572354223473122</v>
      </c>
      <c r="L74" s="55">
        <f t="shared" si="12"/>
        <v>5.8048373418133391E-3</v>
      </c>
      <c r="M74" s="51">
        <f t="shared" si="13"/>
        <v>2.051430585005499</v>
      </c>
      <c r="N74" s="94">
        <f t="shared" si="15"/>
        <v>2447159220.6350374</v>
      </c>
      <c r="O74" s="56">
        <f t="shared" si="16"/>
        <v>114.08680617136147</v>
      </c>
      <c r="P74" s="57">
        <f t="shared" si="14"/>
        <v>112.57205261773011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9.3737252009424861</v>
      </c>
      <c r="K75" s="51">
        <f t="shared" si="11"/>
        <v>2.0586948891874779</v>
      </c>
      <c r="L75" s="55">
        <f t="shared" si="12"/>
        <v>5.7010372761735579E-3</v>
      </c>
      <c r="M75" s="51">
        <f t="shared" si="13"/>
        <v>2.0529938519113045</v>
      </c>
      <c r="N75" s="94">
        <f t="shared" si="15"/>
        <v>2364423139.5462394</v>
      </c>
      <c r="O75" s="56">
        <f t="shared" si="16"/>
        <v>114.47084512777286</v>
      </c>
      <c r="P75" s="57">
        <f t="shared" si="14"/>
        <v>112.97799208331001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9.3582560791247662</v>
      </c>
      <c r="K76" s="51">
        <f t="shared" si="11"/>
        <v>2.0602063460395117</v>
      </c>
      <c r="L76" s="55">
        <f t="shared" si="12"/>
        <v>5.5970219953074734E-3</v>
      </c>
      <c r="M76" s="51">
        <f t="shared" si="13"/>
        <v>2.054609324044204</v>
      </c>
      <c r="N76" s="94">
        <f t="shared" si="15"/>
        <v>2281687058.4574428</v>
      </c>
      <c r="O76" s="56">
        <f t="shared" si="16"/>
        <v>114.86992725572372</v>
      </c>
      <c r="P76" s="57">
        <f t="shared" si="14"/>
        <v>113.39902591826738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9.342215547461926</v>
      </c>
      <c r="K77" s="51">
        <f t="shared" si="11"/>
        <v>2.0617736342009052</v>
      </c>
      <c r="L77" s="55">
        <f t="shared" si="12"/>
        <v>5.4931192549722823E-3</v>
      </c>
      <c r="M77" s="51">
        <f t="shared" si="13"/>
        <v>2.0562805149459331</v>
      </c>
      <c r="N77" s="94">
        <f t="shared" si="15"/>
        <v>2198950977.3686504</v>
      </c>
      <c r="O77" s="56">
        <f t="shared" si="16"/>
        <v>115.2852204055999</v>
      </c>
      <c r="P77" s="57">
        <f t="shared" si="14"/>
        <v>113.83623274918503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9.3255597671106596</v>
      </c>
      <c r="K78" s="51">
        <f t="shared" si="11"/>
        <v>2.0634010370770692</v>
      </c>
      <c r="L78" s="55">
        <f t="shared" si="12"/>
        <v>5.3897387897897213E-3</v>
      </c>
      <c r="M78" s="51">
        <f t="shared" si="13"/>
        <v>2.0580112982872794</v>
      </c>
      <c r="N78" s="94">
        <f t="shared" si="15"/>
        <v>2116214896.27985</v>
      </c>
      <c r="O78" s="56">
        <f t="shared" si="16"/>
        <v>115.71803147306294</v>
      </c>
      <c r="P78" s="57">
        <f t="shared" si="14"/>
        <v>114.29080674625401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9.3082396522785693</v>
      </c>
      <c r="K79" s="51">
        <f t="shared" si="11"/>
        <v>2.0650933507422828</v>
      </c>
      <c r="L79" s="55">
        <f t="shared" si="12"/>
        <v>5.2873914139615532E-3</v>
      </c>
      <c r="M79" s="51">
        <f t="shared" si="13"/>
        <v>2.0598059593283211</v>
      </c>
      <c r="N79" s="94">
        <f t="shared" si="15"/>
        <v>2033478815.1910567</v>
      </c>
      <c r="O79" s="56">
        <f t="shared" si="16"/>
        <v>116.16982917619745</v>
      </c>
      <c r="P79" s="57">
        <f t="shared" si="14"/>
        <v>114.76407466016515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9.2901999979814338</v>
      </c>
      <c r="K80" s="51">
        <f t="shared" si="11"/>
        <v>2.0668559691647777</v>
      </c>
      <c r="L80" s="55">
        <f t="shared" si="12"/>
        <v>5.1867125842430858E-3</v>
      </c>
      <c r="M80" s="51">
        <f t="shared" si="13"/>
        <v>2.0616692565805343</v>
      </c>
      <c r="N80" s="94">
        <f t="shared" si="15"/>
        <v>1950742734.1022525</v>
      </c>
      <c r="O80" s="56">
        <f t="shared" si="16"/>
        <v>116.64227166826257</v>
      </c>
      <c r="P80" s="57">
        <f t="shared" si="14"/>
        <v>115.25751627495191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9.2713784186616799</v>
      </c>
      <c r="K81" s="51">
        <f t="shared" si="11"/>
        <v>2.0686949879121994</v>
      </c>
      <c r="L81" s="55">
        <f t="shared" si="12"/>
        <v>5.0884913811390783E-3</v>
      </c>
      <c r="M81" s="51">
        <f t="shared" si="13"/>
        <v>2.0636064965310603</v>
      </c>
      <c r="N81" s="94">
        <f t="shared" si="15"/>
        <v>1868006653.0134628</v>
      </c>
      <c r="O81" s="56">
        <f t="shared" si="16"/>
        <v>117.13724026758264</v>
      </c>
      <c r="P81" s="57">
        <f t="shared" si="14"/>
        <v>115.77278922237684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9.2517040462122235</v>
      </c>
      <c r="K82" s="51">
        <f t="shared" si="11"/>
        <v>2.070617331365086</v>
      </c>
      <c r="L82" s="55">
        <f t="shared" si="12"/>
        <v>4.9937059856532138E-3</v>
      </c>
      <c r="M82" s="51">
        <f t="shared" si="13"/>
        <v>2.0656236253794327</v>
      </c>
      <c r="N82" s="94">
        <f t="shared" si="15"/>
        <v>1785270571.9246657</v>
      </c>
      <c r="O82" s="56">
        <f t="shared" si="16"/>
        <v>117.65688099946628</v>
      </c>
      <c r="P82" s="57">
        <f t="shared" si="14"/>
        <v>116.31175945608487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9.2310959188391308</v>
      </c>
      <c r="K83" s="51">
        <f t="shared" si="11"/>
        <v>2.0726309101378622</v>
      </c>
      <c r="L83" s="55">
        <f t="shared" si="12"/>
        <v>4.9035668052632604E-3</v>
      </c>
      <c r="M83" s="51">
        <f t="shared" si="13"/>
        <v>2.0677273433325989</v>
      </c>
      <c r="N83" s="94">
        <f t="shared" si="15"/>
        <v>1702534490.8358624</v>
      </c>
      <c r="O83" s="56">
        <f t="shared" si="16"/>
        <v>118.20365621777964</v>
      </c>
      <c r="P83" s="57">
        <f t="shared" si="14"/>
        <v>116.87653919836643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9.2094609682573392</v>
      </c>
      <c r="K84" s="51">
        <f t="shared" si="11"/>
        <v>2.0747448177459078</v>
      </c>
      <c r="L84" s="55">
        <f t="shared" si="12"/>
        <v>4.8195683876715396E-3</v>
      </c>
      <c r="M84" s="51">
        <f t="shared" si="13"/>
        <v>2.0699252493582363</v>
      </c>
      <c r="N84" s="94">
        <f t="shared" si="15"/>
        <v>1619798409.747061</v>
      </c>
      <c r="O84" s="56">
        <f t="shared" si="16"/>
        <v>118.78040937842964</v>
      </c>
      <c r="P84" s="57">
        <f t="shared" si="14"/>
        <v>117.46953493113664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9.1866914787186857</v>
      </c>
      <c r="K85" s="51">
        <f t="shared" si="11"/>
        <v>2.0769695788788303</v>
      </c>
      <c r="L85" s="55">
        <f t="shared" si="12"/>
        <v>4.7435510927522108E-3</v>
      </c>
      <c r="M85" s="51">
        <f t="shared" si="13"/>
        <v>2.072226027786078</v>
      </c>
      <c r="N85" s="94">
        <f t="shared" si="15"/>
        <v>1537062328.6582696</v>
      </c>
      <c r="O85" s="56">
        <f t="shared" si="16"/>
        <v>119.39044718458527</v>
      </c>
      <c r="P85" s="57">
        <f t="shared" si="14"/>
        <v>118.09350912970565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9.1626618423040753</v>
      </c>
      <c r="K86" s="51">
        <f t="shared" si="11"/>
        <v>2.079317466434357</v>
      </c>
      <c r="L86" s="55">
        <f t="shared" si="12"/>
        <v>4.6777731082363284E-3</v>
      </c>
      <c r="M86" s="51">
        <f t="shared" si="13"/>
        <v>2.0746396933261209</v>
      </c>
      <c r="N86" s="94">
        <f t="shared" si="15"/>
        <v>1454326247.569473</v>
      </c>
      <c r="O86" s="56">
        <f t="shared" si="16"/>
        <v>120.03764498735879</v>
      </c>
      <c r="P86" s="57">
        <f t="shared" si="14"/>
        <v>118.75166111888412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9.1372243628102936</v>
      </c>
      <c r="K87" s="51">
        <f t="shared" si="11"/>
        <v>2.0818029115121313</v>
      </c>
      <c r="L87" s="55">
        <f t="shared" si="12"/>
        <v>4.6249927666919327E-3</v>
      </c>
      <c r="M87" s="51">
        <f t="shared" si="13"/>
        <v>2.0771779187454391</v>
      </c>
      <c r="N87" s="94">
        <f t="shared" si="15"/>
        <v>1371590166.4806705</v>
      </c>
      <c r="O87" s="56">
        <f t="shared" si="16"/>
        <v>120.72658378232718</v>
      </c>
      <c r="P87" s="57">
        <f t="shared" si="14"/>
        <v>119.44773494222969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9.1102037524999187</v>
      </c>
      <c r="K88" s="51">
        <f t="shared" si="11"/>
        <v>2.0844430411252404</v>
      </c>
      <c r="L88" s="55">
        <f t="shared" si="12"/>
        <v>4.5885603503195748E-3</v>
      </c>
      <c r="M88" s="51">
        <f t="shared" si="13"/>
        <v>2.0798544807749209</v>
      </c>
      <c r="N88" s="94">
        <f t="shared" si="15"/>
        <v>1288854085.3918765</v>
      </c>
      <c r="O88" s="56">
        <f t="shared" si="16"/>
        <v>121.46273084268815</v>
      </c>
      <c r="P88" s="57">
        <f t="shared" si="14"/>
        <v>120.18616588771928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9.0813898004331133</v>
      </c>
      <c r="K89" s="51">
        <f t="shared" si="11"/>
        <v>2.0872583945628005</v>
      </c>
      <c r="L89" s="55">
        <f t="shared" si="12"/>
        <v>4.5725180468293358E-3</v>
      </c>
      <c r="M89" s="51">
        <f t="shared" si="13"/>
        <v>2.082685876515971</v>
      </c>
      <c r="N89" s="94">
        <f t="shared" si="15"/>
        <v>1206118004.3030787</v>
      </c>
      <c r="O89" s="56">
        <f t="shared" si="16"/>
        <v>122.25268172888632</v>
      </c>
      <c r="P89" s="57">
        <f t="shared" si="14"/>
        <v>120.97228292905267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9.0505274311909574</v>
      </c>
      <c r="K90" s="51">
        <f t="shared" si="11"/>
        <v>2.0902738947321522</v>
      </c>
      <c r="L90" s="55">
        <f t="shared" si="12"/>
        <v>4.5817073764753457E-3</v>
      </c>
      <c r="M90" s="51">
        <f t="shared" si="13"/>
        <v>2.0856921873556766</v>
      </c>
      <c r="N90" s="94">
        <f t="shared" si="15"/>
        <v>1123381923.2142808</v>
      </c>
      <c r="O90" s="56">
        <f t="shared" si="16"/>
        <v>123.1044904122251</v>
      </c>
      <c r="P90" s="57">
        <f t="shared" si="14"/>
        <v>121.81259281038552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9.0173029533528464</v>
      </c>
      <c r="K91" s="51">
        <f t="shared" si="11"/>
        <v>2.0935201917925408</v>
      </c>
      <c r="L91" s="55">
        <f t="shared" si="12"/>
        <v>4.6218870190022163E-3</v>
      </c>
      <c r="M91" s="51">
        <f t="shared" si="13"/>
        <v>2.0888983047735388</v>
      </c>
      <c r="N91" s="94">
        <f t="shared" si="15"/>
        <v>1040645842.1254835</v>
      </c>
      <c r="O91" s="56">
        <f t="shared" si="16"/>
        <v>124.02812885738614</v>
      </c>
      <c r="P91" s="57">
        <f t="shared" si="14"/>
        <v>122.7151845289314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8.981324598713508</v>
      </c>
      <c r="K92" s="51">
        <f t="shared" si="11"/>
        <v>2.097035564629171</v>
      </c>
      <c r="L92" s="55">
        <f t="shared" si="12"/>
        <v>4.6998733747757419E-3</v>
      </c>
      <c r="M92" s="51">
        <f t="shared" si="13"/>
        <v>2.0923356912543953</v>
      </c>
      <c r="N92" s="94">
        <f t="shared" si="15"/>
        <v>957909761.03668416</v>
      </c>
      <c r="O92" s="56">
        <f t="shared" si="16"/>
        <v>125.03614188533409</v>
      </c>
      <c r="P92" s="57">
        <f t="shared" si="14"/>
        <v>123.69031378150001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8.9420942481743673</v>
      </c>
      <c r="K93" s="51">
        <f t="shared" si="11"/>
        <v>2.1008686834596237</v>
      </c>
      <c r="L93" s="55">
        <f t="shared" si="12"/>
        <v>4.8237353869221809E-3</v>
      </c>
      <c r="M93" s="51">
        <f t="shared" si="13"/>
        <v>2.0960449480727017</v>
      </c>
      <c r="N93" s="94">
        <f t="shared" si="15"/>
        <v>875173679.94788766</v>
      </c>
      <c r="O93" s="56">
        <f t="shared" si="16"/>
        <v>126.14460566192683</v>
      </c>
      <c r="P93" s="57">
        <f t="shared" si="14"/>
        <v>124.75126210787965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8.8989650733652983</v>
      </c>
      <c r="K94" s="51">
        <f t="shared" si="11"/>
        <v>2.1050827485860011</v>
      </c>
      <c r="L94" s="55">
        <f t="shared" si="12"/>
        <v>5.0031094717525645E-3</v>
      </c>
      <c r="M94" s="51">
        <f t="shared" si="13"/>
        <v>2.1000796391142487</v>
      </c>
      <c r="N94" s="94">
        <f t="shared" si="15"/>
        <v>792437598.85908866</v>
      </c>
      <c r="O94" s="56">
        <f t="shared" si="16"/>
        <v>127.37457518854629</v>
      </c>
      <c r="P94" s="57">
        <f t="shared" si="14"/>
        <v>125.91562894636849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8.8510757340136657</v>
      </c>
      <c r="K95" s="51">
        <f t="shared" si="11"/>
        <v>2.1097619198379518</v>
      </c>
      <c r="L95" s="55">
        <f t="shared" si="12"/>
        <v>5.2497583927398088E-3</v>
      </c>
      <c r="M95" s="51">
        <f t="shared" si="13"/>
        <v>2.104512161445212</v>
      </c>
      <c r="N95" s="94">
        <f t="shared" si="15"/>
        <v>709701517.77029347</v>
      </c>
      <c r="O95" s="56">
        <f t="shared" si="16"/>
        <v>128.75435270442111</v>
      </c>
      <c r="P95" s="57">
        <f t="shared" si="14"/>
        <v>127.20733711553814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8.7972435997266505</v>
      </c>
      <c r="K96" s="51">
        <f t="shared" si="11"/>
        <v>2.1150217496580592</v>
      </c>
      <c r="L96" s="55">
        <f t="shared" si="12"/>
        <v>5.5785988913674821E-3</v>
      </c>
      <c r="M96" s="51">
        <f t="shared" si="13"/>
        <v>2.1094431507666918</v>
      </c>
      <c r="N96" s="94">
        <f t="shared" si="15"/>
        <v>626965436.68149495</v>
      </c>
      <c r="O96" s="56">
        <f t="shared" si="16"/>
        <v>130.32320432501362</v>
      </c>
      <c r="P96" s="57">
        <f t="shared" si="14"/>
        <v>128.65988259663553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8.7357819638091865</v>
      </c>
      <c r="K97" s="51">
        <f t="shared" si="11"/>
        <v>2.121027042772905</v>
      </c>
      <c r="L97" s="55">
        <f t="shared" si="12"/>
        <v>6.0096201076601675E-3</v>
      </c>
      <c r="M97" s="51">
        <f t="shared" si="13"/>
        <v>2.115017422665245</v>
      </c>
      <c r="N97" s="94">
        <f t="shared" si="15"/>
        <v>544229355.59269702</v>
      </c>
      <c r="O97" s="56">
        <f t="shared" si="16"/>
        <v>132.13779115623137</v>
      </c>
      <c r="P97" s="57">
        <f t="shared" si="14"/>
        <v>130.32190588632068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8.6641653762890645</v>
      </c>
      <c r="K98" s="51">
        <f t="shared" si="11"/>
        <v>2.1280245558316344</v>
      </c>
      <c r="L98" s="55">
        <f t="shared" si="12"/>
        <v>6.571562688375155E-3</v>
      </c>
      <c r="M98" s="51">
        <f t="shared" si="13"/>
        <v>2.1214529931432593</v>
      </c>
      <c r="N98" s="94">
        <f t="shared" si="15"/>
        <v>461493274.50390035</v>
      </c>
      <c r="O98" s="56">
        <f t="shared" si="16"/>
        <v>134.28408857555408</v>
      </c>
      <c r="P98" s="57">
        <f t="shared" si="14"/>
        <v>132.26745375575624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8.5783608897765493</v>
      </c>
      <c r="K99" s="51">
        <f t="shared" si="11"/>
        <v>2.1364083400310729</v>
      </c>
      <c r="L99" s="55">
        <f t="shared" si="12"/>
        <v>7.3094023595515287E-3</v>
      </c>
      <c r="M99" s="51">
        <f t="shared" si="13"/>
        <v>2.1290989376715213</v>
      </c>
      <c r="N99" s="94">
        <f t="shared" si="15"/>
        <v>378757193.41510338</v>
      </c>
      <c r="O99" s="56">
        <f t="shared" si="16"/>
        <v>136.90154205155798</v>
      </c>
      <c r="P99" s="57">
        <f t="shared" si="14"/>
        <v>134.61669926701882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8.4713226861935311</v>
      </c>
      <c r="K100" s="51">
        <f t="shared" si="11"/>
        <v>2.1468668281172958</v>
      </c>
      <c r="L100" s="55">
        <f t="shared" si="12"/>
        <v>8.3012543764131915E-3</v>
      </c>
      <c r="M100" s="51">
        <f t="shared" si="13"/>
        <v>2.1385655737408826</v>
      </c>
      <c r="N100" s="94">
        <f t="shared" si="15"/>
        <v>296021112.32630491</v>
      </c>
      <c r="O100" s="56">
        <f t="shared" si="16"/>
        <v>140.2383612285081</v>
      </c>
      <c r="P100" s="57">
        <f t="shared" si="14"/>
        <v>137.58325303337918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8.3289603768790244</v>
      </c>
      <c r="K101" s="51">
        <f t="shared" si="11"/>
        <v>2.1607767636921964</v>
      </c>
      <c r="L101" s="55">
        <f t="shared" si="12"/>
        <v>9.7036243318347048E-3</v>
      </c>
      <c r="M101" s="51">
        <f t="shared" si="13"/>
        <v>2.1510731393603617</v>
      </c>
      <c r="N101" s="94">
        <f t="shared" si="15"/>
        <v>213285031.23750836</v>
      </c>
      <c r="O101" s="56">
        <f t="shared" si="16"/>
        <v>144.80273463376278</v>
      </c>
      <c r="P101" s="57">
        <f t="shared" si="14"/>
        <v>141.60322333008457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8.1157733836545187</v>
      </c>
      <c r="K102" s="51">
        <f t="shared" si="11"/>
        <v>2.1816068370131378</v>
      </c>
      <c r="L102" s="55">
        <f t="shared" si="12"/>
        <v>1.1912675248750726E-2</v>
      </c>
      <c r="M102" s="51">
        <f t="shared" si="13"/>
        <v>2.169694161764387</v>
      </c>
      <c r="N102" s="94">
        <f>10^$J102</f>
        <v>130548950.14871049</v>
      </c>
      <c r="O102" s="56">
        <f t="shared" si="16"/>
        <v>151.91716142810455</v>
      </c>
      <c r="P102" s="57">
        <f t="shared" si="14"/>
        <v>147.80671392622043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9.9244941600156871</v>
      </c>
      <c r="K104" s="51">
        <f t="shared" si="11"/>
        <v>2.0048803593849414</v>
      </c>
      <c r="L104" s="55">
        <f t="shared" si="12"/>
        <v>1.0735098309805829E-2</v>
      </c>
      <c r="M104" s="51">
        <f>+$I$14+$I$13*J104+L104</f>
        <v>2.0156154576947474</v>
      </c>
      <c r="N104" s="94">
        <f t="shared" ref="N104:N167" si="17">10^$J104</f>
        <v>8404157059.0284405</v>
      </c>
      <c r="O104" s="56">
        <f t="shared" ref="O104:O167" si="18">10^K104</f>
        <v>101.13008200050822</v>
      </c>
      <c r="P104" s="57">
        <f t="shared" ref="P104:P167" si="19">10^M104</f>
        <v>103.6610151820497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9.9201974933802308</v>
      </c>
      <c r="K105" s="51">
        <f t="shared" si="11"/>
        <v>2.0053001780600797</v>
      </c>
      <c r="L105" s="55">
        <f t="shared" si="12"/>
        <v>1.0690600222829787E-2</v>
      </c>
      <c r="M105" s="51">
        <f t="shared" ref="M105:M168" si="21">+$I$14+$I$13*J105+L105</f>
        <v>2.0159907782829096</v>
      </c>
      <c r="N105" s="94">
        <f t="shared" si="17"/>
        <v>8321420977.9396591</v>
      </c>
      <c r="O105" s="56">
        <f t="shared" si="18"/>
        <v>101.22788850278366</v>
      </c>
      <c r="P105" s="57">
        <f t="shared" si="19"/>
        <v>103.75063853931677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9.9158578928108572</v>
      </c>
      <c r="K106" s="51">
        <f t="shared" si="11"/>
        <v>2.0057241917237483</v>
      </c>
      <c r="L106" s="55">
        <f t="shared" si="12"/>
        <v>1.0645699542739319E-2</v>
      </c>
      <c r="M106" s="51">
        <f t="shared" si="21"/>
        <v>2.0163698912664878</v>
      </c>
      <c r="N106" s="94">
        <f t="shared" si="17"/>
        <v>8238684896.8508434</v>
      </c>
      <c r="O106" s="56">
        <f t="shared" si="18"/>
        <v>101.32676833996504</v>
      </c>
      <c r="P106" s="57">
        <f t="shared" si="19"/>
        <v>103.84124615356731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9.9114744916154383</v>
      </c>
      <c r="K107" s="51">
        <f t="shared" si="11"/>
        <v>2.0061524850586965</v>
      </c>
      <c r="L107" s="55">
        <f t="shared" si="12"/>
        <v>1.06003891142557E-2</v>
      </c>
      <c r="M107" s="51">
        <f t="shared" si="21"/>
        <v>2.0167528741729521</v>
      </c>
      <c r="N107" s="94">
        <f t="shared" si="17"/>
        <v>8155948815.7620525</v>
      </c>
      <c r="O107" s="56">
        <f t="shared" si="18"/>
        <v>101.42674424877771</v>
      </c>
      <c r="P107" s="57">
        <f t="shared" si="19"/>
        <v>103.93285902092664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9.9070463965906175</v>
      </c>
      <c r="K108" s="51">
        <f t="shared" si="11"/>
        <v>2.0065851453380312</v>
      </c>
      <c r="L108" s="55">
        <f t="shared" si="12"/>
        <v>1.0554661597819318E-2</v>
      </c>
      <c r="M108" s="51">
        <f t="shared" si="21"/>
        <v>2.0171398069358504</v>
      </c>
      <c r="N108" s="94">
        <f t="shared" si="17"/>
        <v>8073212734.6732635</v>
      </c>
      <c r="O108" s="56">
        <f t="shared" si="18"/>
        <v>101.52783968444776</v>
      </c>
      <c r="P108" s="57">
        <f t="shared" si="19"/>
        <v>104.02549880797525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9.9025726869293962</v>
      </c>
      <c r="K109" s="51">
        <f t="shared" si="11"/>
        <v>2.0070222625319571</v>
      </c>
      <c r="L109" s="55">
        <f t="shared" si="12"/>
        <v>1.0508509463649722E-2</v>
      </c>
      <c r="M109" s="51">
        <f t="shared" si="21"/>
        <v>2.0175307719956068</v>
      </c>
      <c r="N109" s="94">
        <f t="shared" si="17"/>
        <v>7990476653.5844641</v>
      </c>
      <c r="O109" s="56">
        <f t="shared" si="18"/>
        <v>101.63007885104744</v>
      </c>
      <c r="P109" s="57">
        <f t="shared" si="19"/>
        <v>104.11918788044139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9.8980524130718699</v>
      </c>
      <c r="K110" s="51">
        <f t="shared" si="11"/>
        <v>2.0074639294200676</v>
      </c>
      <c r="L110" s="55">
        <f t="shared" si="12"/>
        <v>1.0461924985595691E-2</v>
      </c>
      <c r="M110" s="51">
        <f t="shared" si="21"/>
        <v>2.0179258544056631</v>
      </c>
      <c r="N110" s="94">
        <f t="shared" si="17"/>
        <v>7907740572.4956789</v>
      </c>
      <c r="O110" s="56">
        <f t="shared" si="18"/>
        <v>101.73348673345014</v>
      </c>
      <c r="P110" s="57">
        <f t="shared" si="19"/>
        <v>104.21394933343977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9.8934845954955026</v>
      </c>
      <c r="K111" s="51">
        <f t="shared" si="11"/>
        <v>2.0079102417095429</v>
      </c>
      <c r="L111" s="55">
        <f t="shared" si="12"/>
        <v>1.0414900234768865E-2</v>
      </c>
      <c r="M111" s="51">
        <f t="shared" si="21"/>
        <v>2.0183251419443118</v>
      </c>
      <c r="N111" s="94">
        <f t="shared" si="17"/>
        <v>7825004491.406867</v>
      </c>
      <c r="O111" s="56">
        <f t="shared" si="18"/>
        <v>101.83808913100046</v>
      </c>
      <c r="P111" s="57">
        <f t="shared" si="19"/>
        <v>104.30980702335982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9.8888682234411363</v>
      </c>
      <c r="K112" s="51">
        <f t="shared" si="11"/>
        <v>2.0083612981596328</v>
      </c>
      <c r="L112" s="55">
        <f t="shared" si="12"/>
        <v>1.0367427072955555E-2</v>
      </c>
      <c r="M112" s="51">
        <f t="shared" si="21"/>
        <v>2.0187287252325885</v>
      </c>
      <c r="N112" s="94">
        <f t="shared" si="17"/>
        <v>7742268410.3181038</v>
      </c>
      <c r="O112" s="56">
        <f t="shared" si="18"/>
        <v>101.9439126930104</v>
      </c>
      <c r="P112" s="57">
        <f t="shared" si="19"/>
        <v>104.40678560151082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9.884202253570523</v>
      </c>
      <c r="K113" s="51">
        <f t="shared" si="11"/>
        <v>2.0088172007128238</v>
      </c>
      <c r="L113" s="55">
        <f t="shared" si="12"/>
        <v>1.0319497145800277E-2</v>
      </c>
      <c r="M113" s="51">
        <f t="shared" si="21"/>
        <v>2.0191366978586243</v>
      </c>
      <c r="N113" s="94">
        <f t="shared" si="17"/>
        <v>7659532329.2292624</v>
      </c>
      <c r="O113" s="56">
        <f t="shared" si="18"/>
        <v>102.0509849561993</v>
      </c>
      <c r="P113" s="57">
        <f t="shared" si="19"/>
        <v>104.50491054964185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9.8794856085509917</v>
      </c>
      <c r="K114" s="51">
        <f t="shared" si="11"/>
        <v>2.0092780546331297</v>
      </c>
      <c r="L114" s="55">
        <f t="shared" si="12"/>
        <v>1.0271101875756243E-2</v>
      </c>
      <c r="M114" s="51">
        <f t="shared" si="21"/>
        <v>2.0195491565088859</v>
      </c>
      <c r="N114" s="94">
        <f t="shared" si="17"/>
        <v>7576796248.140481</v>
      </c>
      <c r="O114" s="56">
        <f t="shared" si="18"/>
        <v>102.15933438420879</v>
      </c>
      <c r="P114" s="57">
        <f t="shared" si="19"/>
        <v>104.60420821746308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9.8747171755623739</v>
      </c>
      <c r="K115" s="51">
        <f t="shared" si="11"/>
        <v>2.0097439686519754</v>
      </c>
      <c r="L115" s="55">
        <f t="shared" si="12"/>
        <v>1.0222232454797073E-2</v>
      </c>
      <c r="M115" s="51">
        <f t="shared" si="21"/>
        <v>2.0199662011067723</v>
      </c>
      <c r="N115" s="94">
        <f t="shared" si="17"/>
        <v>7494060167.0516834</v>
      </c>
      <c r="O115" s="56">
        <f t="shared" si="18"/>
        <v>102.26899040933027</v>
      </c>
      <c r="P115" s="57">
        <f t="shared" si="19"/>
        <v>104.70470586230533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9.8698958047210823</v>
      </c>
      <c r="K116" s="51">
        <f t="shared" si="11"/>
        <v>2.0102150551221794</v>
      </c>
      <c r="L116" s="55">
        <f t="shared" si="12"/>
        <v>1.017287983688581E-2</v>
      </c>
      <c r="M116" s="51">
        <f t="shared" si="21"/>
        <v>2.0203879349590652</v>
      </c>
      <c r="N116" s="94">
        <f t="shared" si="17"/>
        <v>7411324085.9628973</v>
      </c>
      <c r="O116" s="56">
        <f t="shared" si="18"/>
        <v>102.37998347659597</v>
      </c>
      <c r="P116" s="57">
        <f t="shared" si="19"/>
        <v>104.80643169106567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9.8650203074156959</v>
      </c>
      <c r="K117" s="51">
        <f t="shared" si="11"/>
        <v>2.0106914301805787</v>
      </c>
      <c r="L117" s="55">
        <f t="shared" si="12"/>
        <v>1.0123034730196762E-2</v>
      </c>
      <c r="M117" s="51">
        <f t="shared" si="21"/>
        <v>2.0208144649107753</v>
      </c>
      <c r="N117" s="94">
        <f t="shared" si="17"/>
        <v>7328588004.8740997</v>
      </c>
      <c r="O117" s="56">
        <f t="shared" si="18"/>
        <v>102.49234509039354</v>
      </c>
      <c r="P117" s="57">
        <f t="shared" si="19"/>
        <v>104.9094149045977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9.8600894545480831</v>
      </c>
      <c r="K118" s="51">
        <f t="shared" si="11"/>
        <v>2.0111732139198848</v>
      </c>
      <c r="L118" s="55">
        <f t="shared" si="12"/>
        <v>1.0072687589087656E-2</v>
      </c>
      <c r="M118" s="51">
        <f t="shared" si="21"/>
        <v>2.0212459015089723</v>
      </c>
      <c r="N118" s="94">
        <f t="shared" si="17"/>
        <v>7245851923.7852955</v>
      </c>
      <c r="O118" s="56">
        <f t="shared" si="18"/>
        <v>102.60610786378105</v>
      </c>
      <c r="P118" s="57">
        <f t="shared" si="19"/>
        <v>105.0136857447219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9.8551019746734951</v>
      </c>
      <c r="K119" s="51">
        <f t="shared" si="11"/>
        <v>2.0116605305704134</v>
      </c>
      <c r="L119" s="55">
        <f t="shared" si="12"/>
        <v>1.0021828605819424E-2</v>
      </c>
      <c r="M119" s="51">
        <f t="shared" si="21"/>
        <v>2.021682359176233</v>
      </c>
      <c r="N119" s="94">
        <f t="shared" si="17"/>
        <v>7163115842.6964922</v>
      </c>
      <c r="O119" s="56">
        <f t="shared" si="18"/>
        <v>102.72130557069121</v>
      </c>
      <c r="P119" s="57">
        <f t="shared" si="19"/>
        <v>105.11927554404141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9.8500565520326422</v>
      </c>
      <c r="K120" s="51">
        <f t="shared" si="11"/>
        <v>2.0121535086923639</v>
      </c>
      <c r="L120" s="55">
        <f t="shared" si="12"/>
        <v>9.9704477020233721E-3</v>
      </c>
      <c r="M120" s="51">
        <f t="shared" si="21"/>
        <v>2.0221239563943874</v>
      </c>
      <c r="N120" s="94">
        <f t="shared" si="17"/>
        <v>7080379761.607686</v>
      </c>
      <c r="O120" s="56">
        <f t="shared" si="18"/>
        <v>102.83797320122775</v>
      </c>
      <c r="P120" s="57">
        <f t="shared" si="19"/>
        <v>105.22621677876639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9.8449518244680867</v>
      </c>
      <c r="K121" s="51">
        <f t="shared" si="11"/>
        <v>2.0126522813794065</v>
      </c>
      <c r="L121" s="55">
        <f t="shared" si="12"/>
        <v>9.9185345199158427E-3</v>
      </c>
      <c r="M121" s="51">
        <f t="shared" si="21"/>
        <v>2.0225708158993223</v>
      </c>
      <c r="N121" s="94">
        <f t="shared" si="17"/>
        <v>6997643680.5188866</v>
      </c>
      <c r="O121" s="56">
        <f t="shared" si="18"/>
        <v>102.95614702027844</v>
      </c>
      <c r="P121" s="57">
        <f t="shared" si="19"/>
        <v>105.33454312476975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9.839786381216733</v>
      </c>
      <c r="K122" s="51">
        <f t="shared" si="11"/>
        <v>2.0131569864743724</v>
      </c>
      <c r="L122" s="55">
        <f t="shared" si="12"/>
        <v>9.8660784132632139E-3</v>
      </c>
      <c r="M122" s="51">
        <f t="shared" si="21"/>
        <v>2.0230230648876355</v>
      </c>
      <c r="N122" s="94">
        <f t="shared" si="17"/>
        <v>6914907599.4301214</v>
      </c>
      <c r="O122" s="56">
        <f t="shared" si="18"/>
        <v>103.07586462968384</v>
      </c>
      <c r="P122" s="57">
        <f t="shared" si="19"/>
        <v>105.44428951711194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9.8345587605694362</v>
      </c>
      <c r="K123" s="51">
        <f t="shared" si="11"/>
        <v>2.013667766797929</v>
      </c>
      <c r="L123" s="55">
        <f t="shared" si="12"/>
        <v>9.8130684381015371E-3</v>
      </c>
      <c r="M123" s="51">
        <f t="shared" si="21"/>
        <v>2.0234808352360307</v>
      </c>
      <c r="N123" s="94">
        <f t="shared" si="17"/>
        <v>6832171518.3412943</v>
      </c>
      <c r="O123" s="56">
        <f t="shared" si="18"/>
        <v>103.19716503422276</v>
      </c>
      <c r="P123" s="57">
        <f t="shared" si="19"/>
        <v>105.55549221329629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9.8292674473880517</v>
      </c>
      <c r="K124" s="51">
        <f t="shared" si="11"/>
        <v>2.0141847703911839</v>
      </c>
      <c r="L124" s="55">
        <f t="shared" si="12"/>
        <v>9.759493343218361E-3</v>
      </c>
      <c r="M124" s="51">
        <f t="shared" si="21"/>
        <v>2.0239442637344025</v>
      </c>
      <c r="N124" s="94">
        <f t="shared" si="17"/>
        <v>6749435437.2525091</v>
      </c>
      <c r="O124" s="56">
        <f t="shared" si="18"/>
        <v>103.32008871169924</v>
      </c>
      <c r="P124" s="57">
        <f t="shared" si="19"/>
        <v>105.66818886053807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9.8239108704693248</v>
      </c>
      <c r="K125" s="51">
        <f t="shared" si="11"/>
        <v>2.0147081507732545</v>
      </c>
      <c r="L125" s="55">
        <f t="shared" si="12"/>
        <v>9.7053415604065538E-3</v>
      </c>
      <c r="M125" s="51">
        <f t="shared" si="21"/>
        <v>2.024413492333661</v>
      </c>
      <c r="N125" s="94">
        <f t="shared" si="17"/>
        <v>6666699356.1637163</v>
      </c>
      <c r="O125" s="56">
        <f t="shared" si="18"/>
        <v>103.444677687439</v>
      </c>
      <c r="P125" s="57">
        <f t="shared" si="19"/>
        <v>105.78241856735933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9.818487399744189</v>
      </c>
      <c r="K126" s="51">
        <f t="shared" si="11"/>
        <v>2.0152380672149186</v>
      </c>
      <c r="L126" s="55">
        <f t="shared" si="12"/>
        <v>9.6506011945044837E-3</v>
      </c>
      <c r="M126" s="51">
        <f t="shared" si="21"/>
        <v>2.0248886684094232</v>
      </c>
      <c r="N126" s="94">
        <f t="shared" si="17"/>
        <v>6583963275.0749111</v>
      </c>
      <c r="O126" s="56">
        <f t="shared" si="18"/>
        <v>103.57097561353142</v>
      </c>
      <c r="P126" s="57">
        <f t="shared" si="19"/>
        <v>105.89822197984437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9.8129953432999635</v>
      </c>
      <c r="K127" s="51">
        <f t="shared" si="11"/>
        <v>2.0157746850295686</v>
      </c>
      <c r="L127" s="55">
        <f t="shared" si="12"/>
        <v>9.5952600132406876E-3</v>
      </c>
      <c r="M127" s="51">
        <f t="shared" si="21"/>
        <v>2.0253699450428093</v>
      </c>
      <c r="N127" s="94">
        <f t="shared" si="17"/>
        <v>6501227193.9861078</v>
      </c>
      <c r="O127" s="56">
        <f t="shared" si="18"/>
        <v>103.69902785318283</v>
      </c>
      <c r="P127" s="57">
        <f t="shared" si="19"/>
        <v>106.01564136292411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9.807432944211838</v>
      </c>
      <c r="K128" s="51">
        <f t="shared" si="11"/>
        <v>2.0163181758828026</v>
      </c>
      <c r="L128" s="55">
        <f t="shared" si="12"/>
        <v>9.5393054369065002E-3</v>
      </c>
      <c r="M128" s="51">
        <f t="shared" si="21"/>
        <v>2.0258574813197092</v>
      </c>
      <c r="N128" s="94">
        <f t="shared" si="17"/>
        <v>6418491112.8973198</v>
      </c>
      <c r="O128" s="56">
        <f t="shared" si="18"/>
        <v>103.82888157058271</v>
      </c>
      <c r="P128" s="57">
        <f t="shared" si="19"/>
        <v>106.13472068709768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9.8017983771687955</v>
      </c>
      <c r="K129" s="51">
        <f t="shared" si="11"/>
        <v>2.0168687181220974</v>
      </c>
      <c r="L129" s="55">
        <f t="shared" si="12"/>
        <v>9.4827245278861598E-3</v>
      </c>
      <c r="M129" s="51">
        <f t="shared" si="21"/>
        <v>2.0263514426499838</v>
      </c>
      <c r="N129" s="94">
        <f t="shared" si="17"/>
        <v>6335755031.8085375</v>
      </c>
      <c r="O129" s="56">
        <f t="shared" si="18"/>
        <v>103.96058582671547</v>
      </c>
      <c r="P129" s="57">
        <f t="shared" si="19"/>
        <v>106.25550572102679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9.7960897448777775</v>
      </c>
      <c r="K130" s="51">
        <f t="shared" ref="K130:K193" si="22">+$I$14+$I$13*J130</f>
        <v>2.0174264971281506</v>
      </c>
      <c r="L130" s="55">
        <f t="shared" ref="L130:L193" si="23">SQRT(2*$I$20*$I$17)*SQRT((1/$I$2)+((J130-$I$11)^2/$I$8))</f>
        <v>9.4255039800813876E-3</v>
      </c>
      <c r="M130" s="51">
        <f t="shared" si="21"/>
        <v>2.026852001108232</v>
      </c>
      <c r="N130" s="94">
        <f t="shared" si="17"/>
        <v>6253018950.7197056</v>
      </c>
      <c r="O130" s="56">
        <f t="shared" si="18"/>
        <v>104.09419168159835</v>
      </c>
      <c r="P130" s="57">
        <f t="shared" si="19"/>
        <v>106.37804413049075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9.7903050742283515</v>
      </c>
      <c r="K131" s="51">
        <f t="shared" si="22"/>
        <v>2.0179917056896226</v>
      </c>
      <c r="L131" s="55">
        <f t="shared" si="23"/>
        <v>9.3676301082755882E-3</v>
      </c>
      <c r="M131" s="51">
        <f t="shared" si="21"/>
        <v>2.0273593357978981</v>
      </c>
      <c r="N131" s="94">
        <f t="shared" si="17"/>
        <v>6170282869.6309195</v>
      </c>
      <c r="O131" s="56">
        <f t="shared" si="18"/>
        <v>104.22975230346549</v>
      </c>
      <c r="P131" s="57">
        <f t="shared" si="19"/>
        <v>106.50238558423194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9.7844423121984718</v>
      </c>
      <c r="K132" s="51">
        <f t="shared" si="22"/>
        <v>2.018564544403179</v>
      </c>
      <c r="L132" s="55">
        <f t="shared" si="23"/>
        <v>9.3090888374929952E-3</v>
      </c>
      <c r="M132" s="51">
        <f t="shared" si="21"/>
        <v>2.0278736332406719</v>
      </c>
      <c r="N132" s="94">
        <f t="shared" si="17"/>
        <v>6087546788.5421257</v>
      </c>
      <c r="O132" s="56">
        <f t="shared" si="18"/>
        <v>104.36732308547214</v>
      </c>
      <c r="P132" s="57">
        <f t="shared" si="19"/>
        <v>106.62858186727726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9.778499321480103</v>
      </c>
      <c r="K133" s="51">
        <f t="shared" si="22"/>
        <v>2.0191452221008981</v>
      </c>
      <c r="L133" s="55">
        <f t="shared" si="23"/>
        <v>9.2498656924202317E-3</v>
      </c>
      <c r="M133" s="51">
        <f t="shared" si="21"/>
        <v>2.0283950877933181</v>
      </c>
      <c r="N133" s="94">
        <f t="shared" si="17"/>
        <v>6004810707.4533358</v>
      </c>
      <c r="O133" s="56">
        <f t="shared" si="18"/>
        <v>104.50696177054375</v>
      </c>
      <c r="P133" s="57">
        <f t="shared" si="19"/>
        <v>106.75668700237371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9.7724738758013565</v>
      </c>
      <c r="K134" s="51">
        <f t="shared" si="22"/>
        <v>2.0197339563073395</v>
      </c>
      <c r="L134" s="55">
        <f t="shared" si="23"/>
        <v>9.1899457869713524E-3</v>
      </c>
      <c r="M134" s="51">
        <f t="shared" si="21"/>
        <v>2.0289239020943111</v>
      </c>
      <c r="N134" s="94">
        <f t="shared" si="17"/>
        <v>5922074626.3645163</v>
      </c>
      <c r="O134" s="56">
        <f t="shared" si="18"/>
        <v>104.6487285850648</v>
      </c>
      <c r="P134" s="57">
        <f t="shared" si="19"/>
        <v>106.88675738025303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9.7663636549195409</v>
      </c>
      <c r="K135" s="51">
        <f t="shared" si="22"/>
        <v>2.0203309737287602</v>
      </c>
      <c r="L135" s="55">
        <f t="shared" si="23"/>
        <v>9.129313814094292E-3</v>
      </c>
      <c r="M135" s="51">
        <f t="shared" si="21"/>
        <v>2.0294602875428547</v>
      </c>
      <c r="N135" s="94">
        <f t="shared" si="17"/>
        <v>5839338545.2757416</v>
      </c>
      <c r="O135" s="56">
        <f t="shared" si="18"/>
        <v>104.79268638216043</v>
      </c>
      <c r="P135" s="57">
        <f t="shared" si="19"/>
        <v>107.01885189949699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9.7601662392569164</v>
      </c>
      <c r="K136" s="51">
        <f t="shared" si="22"/>
        <v>2.0209365107772466</v>
      </c>
      <c r="L136" s="55">
        <f t="shared" si="23"/>
        <v>9.0679540359357401E-3</v>
      </c>
      <c r="M136" s="51">
        <f t="shared" si="21"/>
        <v>2.0300044648131821</v>
      </c>
      <c r="N136" s="94">
        <f t="shared" si="17"/>
        <v>5756602464.1869192</v>
      </c>
      <c r="O136" s="56">
        <f t="shared" si="18"/>
        <v>104.93890079541113</v>
      </c>
      <c r="P136" s="57">
        <f t="shared" si="19"/>
        <v>107.15303211687552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9.7538791041481581</v>
      </c>
      <c r="K137" s="51">
        <f t="shared" si="22"/>
        <v>2.0215508141327811</v>
      </c>
      <c r="L137" s="55">
        <f t="shared" si="23"/>
        <v>9.0058502745051002E-3</v>
      </c>
      <c r="M137" s="51">
        <f t="shared" si="21"/>
        <v>2.0305566644072863</v>
      </c>
      <c r="N137" s="94">
        <f t="shared" si="17"/>
        <v>5673866383.0981436</v>
      </c>
      <c r="O137" s="56">
        <f t="shared" si="18"/>
        <v>105.08744040391878</v>
      </c>
      <c r="P137" s="57">
        <f t="shared" si="19"/>
        <v>107.28936240910471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9.7474996136652585</v>
      </c>
      <c r="K138" s="51">
        <f t="shared" si="22"/>
        <v>2.0221741413465999</v>
      </c>
      <c r="L138" s="55">
        <f t="shared" si="23"/>
        <v>8.9429859030045935E-3</v>
      </c>
      <c r="M138" s="51">
        <f t="shared" si="21"/>
        <v>2.0311171272496047</v>
      </c>
      <c r="N138" s="94">
        <f t="shared" si="17"/>
        <v>5591130302.0093498</v>
      </c>
      <c r="O138" s="56">
        <f t="shared" si="18"/>
        <v>105.23837690974322</v>
      </c>
      <c r="P138" s="57">
        <f t="shared" si="19"/>
        <v>107.42791014708507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9.7410250139820977</v>
      </c>
      <c r="K139" s="51">
        <f t="shared" si="22"/>
        <v>2.0228067614895275</v>
      </c>
      <c r="L139" s="55">
        <f t="shared" si="23"/>
        <v>8.8793438380252911E-3</v>
      </c>
      <c r="M139" s="51">
        <f t="shared" si="21"/>
        <v>2.031686105327553</v>
      </c>
      <c r="N139" s="94">
        <f t="shared" si="17"/>
        <v>5508394220.9205437</v>
      </c>
      <c r="O139" s="56">
        <f t="shared" si="18"/>
        <v>105.39178532883594</v>
      </c>
      <c r="P139" s="57">
        <f t="shared" si="19"/>
        <v>107.5687458837959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9.7344524262368743</v>
      </c>
      <c r="K140" s="51">
        <f t="shared" si="22"/>
        <v>2.0234489558493736</v>
      </c>
      <c r="L140" s="55">
        <f t="shared" si="23"/>
        <v>8.814906532846634E-3</v>
      </c>
      <c r="M140" s="51">
        <f t="shared" si="21"/>
        <v>2.0322638623822202</v>
      </c>
      <c r="N140" s="94">
        <f t="shared" si="17"/>
        <v>5425658139.8317366</v>
      </c>
      <c r="O140" s="56">
        <f t="shared" si="18"/>
        <v>105.54774419671367</v>
      </c>
      <c r="P140" s="57">
        <f t="shared" si="19"/>
        <v>107.71194355714556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9.7277788388460635</v>
      </c>
      <c r="K141" s="51">
        <f t="shared" si="22"/>
        <v>2.0241010186819213</v>
      </c>
      <c r="L141" s="55">
        <f t="shared" si="23"/>
        <v>8.7496559721215138E-3</v>
      </c>
      <c r="M141" s="51">
        <f t="shared" si="21"/>
        <v>2.0328506746540427</v>
      </c>
      <c r="N141" s="94">
        <f t="shared" si="17"/>
        <v>5342922058.7429409</v>
      </c>
      <c r="O141" s="56">
        <f t="shared" si="18"/>
        <v>105.70633579025898</v>
      </c>
      <c r="P141" s="57">
        <f t="shared" si="19"/>
        <v>107.85758070923447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9.7210010992185882</v>
      </c>
      <c r="K142" s="51">
        <f t="shared" si="22"/>
        <v>2.0247632580205184</v>
      </c>
      <c r="L142" s="55">
        <f t="shared" si="23"/>
        <v>8.6835736682830452E-3</v>
      </c>
      <c r="M142" s="51">
        <f t="shared" si="21"/>
        <v>2.0334468316888015</v>
      </c>
      <c r="N142" s="94">
        <f t="shared" si="17"/>
        <v>5260185977.6541481</v>
      </c>
      <c r="O142" s="56">
        <f t="shared" si="18"/>
        <v>105.86764636718027</v>
      </c>
      <c r="P142" s="57">
        <f t="shared" si="19"/>
        <v>108.00573872364778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9.7141159048131041</v>
      </c>
      <c r="K143" s="51">
        <f t="shared" si="22"/>
        <v>2.0254359965498532</v>
      </c>
      <c r="L143" s="55">
        <f t="shared" si="23"/>
        <v>8.6166406600713813E-3</v>
      </c>
      <c r="M143" s="51">
        <f t="shared" si="21"/>
        <v>2.0340526372099244</v>
      </c>
      <c r="N143" s="94">
        <f t="shared" si="17"/>
        <v>5177449896.5653601</v>
      </c>
      <c r="O143" s="56">
        <f t="shared" si="18"/>
        <v>106.03176642484142</v>
      </c>
      <c r="P143" s="57">
        <f t="shared" si="19"/>
        <v>108.15650308258776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9.7071197934749094</v>
      </c>
      <c r="K144" s="51">
        <f t="shared" si="22"/>
        <v>2.0261195725501144</v>
      </c>
      <c r="L144" s="55">
        <f t="shared" si="23"/>
        <v>8.5488375136543535E-3</v>
      </c>
      <c r="M144" s="51">
        <f t="shared" si="21"/>
        <v>2.0346684100637686</v>
      </c>
      <c r="N144" s="94">
        <f t="shared" si="17"/>
        <v>5094713815.4765511</v>
      </c>
      <c r="O144" s="56">
        <f t="shared" si="18"/>
        <v>106.19879098036539</v>
      </c>
      <c r="P144" s="57">
        <f t="shared" si="19"/>
        <v>108.30996364587203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9.7000091329817266</v>
      </c>
      <c r="K145" s="51">
        <f t="shared" si="22"/>
        <v>2.0268143409184516</v>
      </c>
      <c r="L145" s="55">
        <f t="shared" si="23"/>
        <v>8.4801443269047656E-3</v>
      </c>
      <c r="M145" s="51">
        <f t="shared" si="21"/>
        <v>2.0352944852453563</v>
      </c>
      <c r="N145" s="94">
        <f t="shared" si="17"/>
        <v>5011977734.3877735</v>
      </c>
      <c r="O145" s="56">
        <f t="shared" si="18"/>
        <v>106.36881987413649</v>
      </c>
      <c r="P145" s="57">
        <f t="shared" si="19"/>
        <v>108.46621495406518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9.6927801097192816</v>
      </c>
      <c r="K146" s="51">
        <f t="shared" si="22"/>
        <v>2.0275206742754635</v>
      </c>
      <c r="L146" s="55">
        <f t="shared" si="23"/>
        <v>8.4105407375026035E-3</v>
      </c>
      <c r="M146" s="51">
        <f t="shared" si="21"/>
        <v>2.0359312150129663</v>
      </c>
      <c r="N146" s="94">
        <f t="shared" si="17"/>
        <v>4929241653.2989721</v>
      </c>
      <c r="O146" s="56">
        <f t="shared" si="18"/>
        <v>106.54195809908161</v>
      </c>
      <c r="P146" s="57">
        <f t="shared" si="19"/>
        <v>108.6253565582976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9.6854287163983503</v>
      </c>
      <c r="K147" s="51">
        <f t="shared" si="22"/>
        <v>2.0282389641653387</v>
      </c>
      <c r="L147" s="55">
        <f t="shared" si="23"/>
        <v>8.3400059356576583E-3</v>
      </c>
      <c r="M147" s="51">
        <f t="shared" si="21"/>
        <v>2.0365789701009964</v>
      </c>
      <c r="N147" s="94">
        <f t="shared" si="17"/>
        <v>4846505572.2101641</v>
      </c>
      <c r="O147" s="56">
        <f t="shared" si="18"/>
        <v>106.71831615838859</v>
      </c>
      <c r="P147" s="57">
        <f t="shared" si="19"/>
        <v>108.78749337963774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9.6779507387141805</v>
      </c>
      <c r="K148" s="51">
        <f t="shared" si="22"/>
        <v>2.0289696223593383</v>
      </c>
      <c r="L148" s="55">
        <f t="shared" si="23"/>
        <v>8.2685186823979271E-3</v>
      </c>
      <c r="M148" s="51">
        <f t="shared" si="21"/>
        <v>2.0372381410417364</v>
      </c>
      <c r="N148" s="94">
        <f t="shared" si="17"/>
        <v>4763769491.1213818</v>
      </c>
      <c r="O148" s="56">
        <f t="shared" si="18"/>
        <v>106.8980104546558</v>
      </c>
      <c r="P148" s="57">
        <f t="shared" si="19"/>
        <v>108.95273610125948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9.6703417408371202</v>
      </c>
      <c r="K149" s="51">
        <f t="shared" si="22"/>
        <v>2.0297130822734761</v>
      </c>
      <c r="L149" s="55">
        <f t="shared" si="23"/>
        <v>8.1960573345501754E-3</v>
      </c>
      <c r="M149" s="51">
        <f t="shared" si="21"/>
        <v>2.0379091396080264</v>
      </c>
      <c r="N149" s="94">
        <f t="shared" si="17"/>
        <v>4681033410.0325747</v>
      </c>
      <c r="O149" s="56">
        <f t="shared" si="18"/>
        <v>107.08116371383049</v>
      </c>
      <c r="P149" s="57">
        <f t="shared" si="19"/>
        <v>109.12120159705751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9.6625970496093672</v>
      </c>
      <c r="K150" s="51">
        <f t="shared" si="22"/>
        <v>2.0304698005126247</v>
      </c>
      <c r="L150" s="55">
        <f t="shared" si="23"/>
        <v>8.1225998777546757E-3</v>
      </c>
      <c r="M150" s="51">
        <f t="shared" si="21"/>
        <v>2.0385924003903795</v>
      </c>
      <c r="N150" s="94">
        <f t="shared" si="17"/>
        <v>4598297328.9437819</v>
      </c>
      <c r="O150" s="56">
        <f t="shared" si="18"/>
        <v>107.26790544772425</v>
      </c>
      <c r="P150" s="57">
        <f t="shared" si="19"/>
        <v>109.29301340086056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9.6547117373068634</v>
      </c>
      <c r="K151" s="51">
        <f t="shared" si="22"/>
        <v>2.0312402585548126</v>
      </c>
      <c r="L151" s="55">
        <f t="shared" si="23"/>
        <v>8.0481239691155074E-3</v>
      </c>
      <c r="M151" s="51">
        <f t="shared" si="21"/>
        <v>2.0392883825239281</v>
      </c>
      <c r="N151" s="94">
        <f t="shared" si="17"/>
        <v>4515561247.8549843</v>
      </c>
      <c r="O151" s="56">
        <f t="shared" si="18"/>
        <v>107.45837245937993</v>
      </c>
      <c r="P151" s="57">
        <f t="shared" si="19"/>
        <v>109.46830222093983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9.6466806028071108</v>
      </c>
      <c r="K152" s="51">
        <f t="shared" si="22"/>
        <v>2.0320249645912827</v>
      </c>
      <c r="L152" s="55">
        <f t="shared" si="23"/>
        <v>7.9726069913993274E-3</v>
      </c>
      <c r="M152" s="51">
        <f t="shared" si="21"/>
        <v>2.0399975715826821</v>
      </c>
      <c r="N152" s="94">
        <f t="shared" si="17"/>
        <v>4432825166.76618</v>
      </c>
      <c r="O152" s="56">
        <f t="shared" si="18"/>
        <v>107.65270939612913</v>
      </c>
      <c r="P152" s="57">
        <f t="shared" si="19"/>
        <v>109.64720650517098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9.6384981509826684</v>
      </c>
      <c r="K153" s="51">
        <f t="shared" si="22"/>
        <v>2.0328244555399104</v>
      </c>
      <c r="L153" s="55">
        <f t="shared" si="23"/>
        <v>7.8960261210708742E-3</v>
      </c>
      <c r="M153" s="51">
        <f t="shared" si="21"/>
        <v>2.0407204816609812</v>
      </c>
      <c r="N153" s="94">
        <f t="shared" si="17"/>
        <v>4350089085.6773748</v>
      </c>
      <c r="O153" s="56">
        <f t="shared" si="18"/>
        <v>107.85106935582189</v>
      </c>
      <c r="P153" s="57">
        <f t="shared" si="19"/>
        <v>109.82987306294706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9.6301585701158743</v>
      </c>
      <c r="K154" s="51">
        <f t="shared" si="22"/>
        <v>2.0336392992519672</v>
      </c>
      <c r="L154" s="55">
        <f t="shared" si="23"/>
        <v>7.8183584129065658E-3</v>
      </c>
      <c r="M154" s="51">
        <f t="shared" si="21"/>
        <v>2.0414576576648735</v>
      </c>
      <c r="N154" s="94">
        <f t="shared" si="17"/>
        <v>4267353004.5885925</v>
      </c>
      <c r="O154" s="56">
        <f t="shared" si="18"/>
        <v>108.05361455246486</v>
      </c>
      <c r="P154" s="57">
        <f t="shared" si="19"/>
        <v>110.01645775082693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9.6216557071022883</v>
      </c>
      <c r="K155" s="51">
        <f t="shared" si="22"/>
        <v>2.0344700969349403</v>
      </c>
      <c r="L155" s="55">
        <f t="shared" si="23"/>
        <v>7.7395809044753681E-3</v>
      </c>
      <c r="M155" s="51">
        <f t="shared" si="21"/>
        <v>2.0422096778394159</v>
      </c>
      <c r="N155" s="94">
        <f t="shared" si="17"/>
        <v>4184616923.4997888</v>
      </c>
      <c r="O155" s="56">
        <f t="shared" si="18"/>
        <v>108.26051704836543</v>
      </c>
      <c r="P155" s="57">
        <f t="shared" si="19"/>
        <v>110.20712622991584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9.6129830401778786</v>
      </c>
      <c r="K156" s="51">
        <f t="shared" si="22"/>
        <v>2.0353174858173064</v>
      </c>
      <c r="L156" s="55">
        <f t="shared" si="23"/>
        <v>7.659670744440618E-3</v>
      </c>
      <c r="M156" s="51">
        <f t="shared" si="21"/>
        <v>2.0429771565617472</v>
      </c>
      <c r="N156" s="94">
        <f t="shared" si="17"/>
        <v>4101880842.4109879</v>
      </c>
      <c r="O156" s="56">
        <f t="shared" si="18"/>
        <v>108.47195956089125</v>
      </c>
      <c r="P156" s="57">
        <f t="shared" si="19"/>
        <v>110.40205480417472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9.6041336488671281</v>
      </c>
      <c r="K157" s="51">
        <f t="shared" si="22"/>
        <v>2.0361821420848423</v>
      </c>
      <c r="L157" s="55">
        <f t="shared" si="23"/>
        <v>7.5786053494431346E-3</v>
      </c>
      <c r="M157" s="51">
        <f t="shared" si="21"/>
        <v>2.0437607474342854</v>
      </c>
      <c r="N157" s="94">
        <f t="shared" si="17"/>
        <v>4019144761.3222041</v>
      </c>
      <c r="O157" s="56">
        <f t="shared" si="18"/>
        <v>108.68813635312644</v>
      </c>
      <c r="P157" s="57">
        <f t="shared" si="19"/>
        <v>110.60143135025739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9.5951001808051561</v>
      </c>
      <c r="K158" s="51">
        <f t="shared" si="22"/>
        <v>2.0370647841223661</v>
      </c>
      <c r="L158" s="55">
        <f t="shared" si="23"/>
        <v>7.4963625953086534E-3</v>
      </c>
      <c r="M158" s="51">
        <f t="shared" si="21"/>
        <v>2.0445611467176747</v>
      </c>
      <c r="N158" s="94">
        <f t="shared" si="17"/>
        <v>3936408680.2333975</v>
      </c>
      <c r="O158" s="56">
        <f t="shared" si="18"/>
        <v>108.90925421907805</v>
      </c>
      <c r="P158" s="57">
        <f t="shared" si="19"/>
        <v>110.80545635112385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9.5858748150353819</v>
      </c>
      <c r="K159" s="51">
        <f t="shared" si="22"/>
        <v>2.037966176099852</v>
      </c>
      <c r="L159" s="55">
        <f t="shared" si="23"/>
        <v>7.4129210495221956E-3</v>
      </c>
      <c r="M159" s="51">
        <f t="shared" si="21"/>
        <v>2.0453790971493744</v>
      </c>
      <c r="N159" s="94">
        <f t="shared" si="17"/>
        <v>3853672599.1445913</v>
      </c>
      <c r="O159" s="56">
        <f t="shared" si="18"/>
        <v>109.13553357569464</v>
      </c>
      <c r="P159" s="57">
        <f t="shared" si="19"/>
        <v>111.01434404763302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9.5764492213236441</v>
      </c>
      <c r="K160" s="51">
        <f t="shared" si="22"/>
        <v>2.0388871319477637</v>
      </c>
      <c r="L160" s="55">
        <f t="shared" si="23"/>
        <v>7.3282602533787794E-3</v>
      </c>
      <c r="M160" s="51">
        <f t="shared" si="21"/>
        <v>2.0462153922011423</v>
      </c>
      <c r="N160" s="94">
        <f t="shared" si="17"/>
        <v>3770936518.0557995</v>
      </c>
      <c r="O160" s="56">
        <f t="shared" si="18"/>
        <v>109.36720967585066</v>
      </c>
      <c r="P160" s="57">
        <f t="shared" si="19"/>
        <v>111.22832372462878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9.5668145149584198</v>
      </c>
      <c r="K161" s="51">
        <f t="shared" si="22"/>
        <v>2.0398285197734367</v>
      </c>
      <c r="L161" s="55">
        <f t="shared" si="23"/>
        <v>7.2423610640196291E-3</v>
      </c>
      <c r="M161" s="51">
        <f t="shared" si="21"/>
        <v>2.0470708808374565</v>
      </c>
      <c r="N161" s="94">
        <f t="shared" si="17"/>
        <v>3688200436.9670029</v>
      </c>
      <c r="O161" s="56">
        <f t="shared" si="18"/>
        <v>109.60453395868231</v>
      </c>
      <c r="P161" s="57">
        <f t="shared" si="19"/>
        <v>111.44764115078904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9.5569612064225478</v>
      </c>
      <c r="K162" s="51">
        <f t="shared" si="22"/>
        <v>2.0407912667785504</v>
      </c>
      <c r="L162" s="55">
        <f t="shared" si="23"/>
        <v>7.1552060687755676E-3</v>
      </c>
      <c r="M162" s="51">
        <f t="shared" si="21"/>
        <v>2.0479464728473258</v>
      </c>
      <c r="N162" s="94">
        <f t="shared" si="17"/>
        <v>3605464355.8782067</v>
      </c>
      <c r="O162" s="56">
        <f t="shared" si="18"/>
        <v>109.84777555629935</v>
      </c>
      <c r="P162" s="57">
        <f t="shared" si="19"/>
        <v>111.67256019478359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9.5468791452219079</v>
      </c>
      <c r="K163" s="51">
        <f t="shared" si="22"/>
        <v>2.0417763647475171</v>
      </c>
      <c r="L163" s="55">
        <f t="shared" si="23"/>
        <v>7.0667800869653749E-3</v>
      </c>
      <c r="M163" s="51">
        <f t="shared" si="21"/>
        <v>2.0488431448344824</v>
      </c>
      <c r="N163" s="94">
        <f t="shared" si="17"/>
        <v>3522728274.7894106</v>
      </c>
      <c r="O163" s="56">
        <f t="shared" si="18"/>
        <v>110.09722297904221</v>
      </c>
      <c r="P163" s="57">
        <f t="shared" si="19"/>
        <v>111.90336464423402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9.5365574570376346</v>
      </c>
      <c r="K164" s="51">
        <f t="shared" si="22"/>
        <v>2.0427848761882119</v>
      </c>
      <c r="L164" s="55">
        <f t="shared" si="23"/>
        <v>6.9770707776656143E-3</v>
      </c>
      <c r="M164" s="51">
        <f t="shared" si="21"/>
        <v>2.0497619469658774</v>
      </c>
      <c r="N164" s="94">
        <f t="shared" si="17"/>
        <v>3439992193.7006011</v>
      </c>
      <c r="O164" s="56">
        <f t="shared" si="18"/>
        <v>110.35318600519376</v>
      </c>
      <c r="P164" s="57">
        <f t="shared" si="19"/>
        <v>112.14036025868928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9.5259844732263712</v>
      </c>
      <c r="K165" s="51">
        <f t="shared" si="22"/>
        <v>2.0438179412203636</v>
      </c>
      <c r="L165" s="55">
        <f t="shared" si="23"/>
        <v>6.8860693761400695E-3</v>
      </c>
      <c r="M165" s="51">
        <f t="shared" si="21"/>
        <v>2.0507040105965038</v>
      </c>
      <c r="N165" s="94">
        <f t="shared" si="17"/>
        <v>3357256112.6118135</v>
      </c>
      <c r="O165" s="56">
        <f t="shared" si="18"/>
        <v>110.61599780554155</v>
      </c>
      <c r="P165" s="57">
        <f t="shared" si="19"/>
        <v>112.38387709355511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9.5151476515225841</v>
      </c>
      <c r="K166" s="51">
        <f t="shared" si="22"/>
        <v>2.0448767853235692</v>
      </c>
      <c r="L166" s="55">
        <f t="shared" si="23"/>
        <v>6.7937715867944833E-3</v>
      </c>
      <c r="M166" s="51">
        <f t="shared" si="21"/>
        <v>2.0516705569103637</v>
      </c>
      <c r="N166" s="94">
        <f t="shared" si="17"/>
        <v>3274520031.5230093</v>
      </c>
      <c r="O166" s="56">
        <f t="shared" si="18"/>
        <v>110.88601733857567</v>
      </c>
      <c r="P166" s="57">
        <f t="shared" si="19"/>
        <v>112.63427213883426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9.504033486591668</v>
      </c>
      <c r="K167" s="51">
        <f t="shared" si="22"/>
        <v>2.0459627280769723</v>
      </c>
      <c r="L167" s="55">
        <f t="shared" si="23"/>
        <v>6.700178666964633E-3</v>
      </c>
      <c r="M167" s="51">
        <f t="shared" si="21"/>
        <v>2.052662906743937</v>
      </c>
      <c r="N167" s="94">
        <f t="shared" si="17"/>
        <v>3191783950.4342237</v>
      </c>
      <c r="O167" s="56">
        <f t="shared" si="18"/>
        <v>111.16363205861988</v>
      </c>
      <c r="P167" s="57">
        <f t="shared" si="19"/>
        <v>112.8919323249731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9.4926274088339664</v>
      </c>
      <c r="K168" s="51">
        <f t="shared" si="22"/>
        <v>2.0470771930469205</v>
      </c>
      <c r="L168" s="55">
        <f t="shared" si="23"/>
        <v>6.6052987438752408E-3</v>
      </c>
      <c r="M168" s="51">
        <f t="shared" si="21"/>
        <v>2.0536824917907959</v>
      </c>
      <c r="N168" s="94">
        <f t="shared" ref="N168:N204" si="24">10^$J168</f>
        <v>3109047869.3454132</v>
      </c>
      <c r="O168" s="56">
        <f t="shared" ref="O168:O204" si="25">10^K168</f>
        <v>111.44926098709109</v>
      </c>
      <c r="P168" s="57">
        <f t="shared" ref="P168:P204" si="26">10^M168</f>
        <v>113.15727795841433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9.4809136695377543</v>
      </c>
      <c r="K169" s="51">
        <f t="shared" si="22"/>
        <v>2.0482217190084344</v>
      </c>
      <c r="L169" s="55">
        <f t="shared" si="23"/>
        <v>6.5091484171370083E-3</v>
      </c>
      <c r="M169" s="51">
        <f t="shared" ref="M169:M204" si="28">+$I$14+$I$13*J169+L169</f>
        <v>2.0547308674255715</v>
      </c>
      <c r="N169" s="94">
        <f t="shared" si="24"/>
        <v>3026311788.2566166</v>
      </c>
      <c r="O169" s="56">
        <f t="shared" si="25"/>
        <v>111.74335820670242</v>
      </c>
      <c r="P169" s="57">
        <f t="shared" si="26"/>
        <v>113.43076666211053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9.4688752101099354</v>
      </c>
      <c r="K170" s="51">
        <f t="shared" si="22"/>
        <v>2.0493979727224145</v>
      </c>
      <c r="L170" s="55">
        <f t="shared" si="23"/>
        <v>6.4117547116931848E-3</v>
      </c>
      <c r="M170" s="51">
        <f t="shared" si="28"/>
        <v>2.0558097274341076</v>
      </c>
      <c r="N170" s="94">
        <f t="shared" si="24"/>
        <v>2943575707.1678228</v>
      </c>
      <c r="O170" s="56">
        <f t="shared" si="25"/>
        <v>112.04641685022266</v>
      </c>
      <c r="P170" s="57">
        <f t="shared" si="26"/>
        <v>113.71289791186233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9.4564935126598222</v>
      </c>
      <c r="K171" s="51">
        <f t="shared" si="22"/>
        <v>2.0506077635348023</v>
      </c>
      <c r="L171" s="55">
        <f t="shared" si="23"/>
        <v>6.3131574618374049E-3</v>
      </c>
      <c r="M171" s="51">
        <f t="shared" si="28"/>
        <v>2.0569209209966397</v>
      </c>
      <c r="N171" s="94">
        <f t="shared" si="24"/>
        <v>2860839626.0790238</v>
      </c>
      <c r="O171" s="56">
        <f t="shared" si="25"/>
        <v>112.35897366991382</v>
      </c>
      <c r="P171" s="57">
        <f t="shared" si="26"/>
        <v>114.00421827867574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9.4437484286513573</v>
      </c>
      <c r="K172" s="51">
        <f t="shared" si="22"/>
        <v>2.0518530601186251</v>
      </c>
      <c r="L172" s="55">
        <f t="shared" si="23"/>
        <v>6.2134122266098817E-3</v>
      </c>
      <c r="M172" s="51">
        <f t="shared" si="28"/>
        <v>2.0580664723452351</v>
      </c>
      <c r="N172" s="94">
        <f t="shared" si="24"/>
        <v>2778103544.9902272</v>
      </c>
      <c r="O172" s="56">
        <f t="shared" si="25"/>
        <v>112.68161429174457</v>
      </c>
      <c r="P172" s="57">
        <f t="shared" si="26"/>
        <v>114.30532751138985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9.4306179816436391</v>
      </c>
      <c r="K173" s="51">
        <f t="shared" si="22"/>
        <v>2.0531360097478242</v>
      </c>
      <c r="L173" s="55">
        <f t="shared" si="23"/>
        <v>6.1125938615453198E-3</v>
      </c>
      <c r="M173" s="51">
        <f t="shared" si="28"/>
        <v>2.0592486036093693</v>
      </c>
      <c r="N173" s="94">
        <f t="shared" si="24"/>
        <v>2695367463.9014273</v>
      </c>
      <c r="O173" s="56">
        <f t="shared" si="25"/>
        <v>113.01497928085644</v>
      </c>
      <c r="P173" s="57">
        <f t="shared" si="26"/>
        <v>114.61688562390844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9.4170781392706289</v>
      </c>
      <c r="K174" s="51">
        <f t="shared" si="22"/>
        <v>2.0544589605766621</v>
      </c>
      <c r="L174" s="55">
        <f t="shared" si="23"/>
        <v>6.0108009026236097E-3</v>
      </c>
      <c r="M174" s="51">
        <f t="shared" si="28"/>
        <v>2.0604697614792857</v>
      </c>
      <c r="N174" s="94">
        <f t="shared" si="24"/>
        <v>2612631382.8126354</v>
      </c>
      <c r="O174" s="56">
        <f t="shared" si="25"/>
        <v>113.35977117280503</v>
      </c>
      <c r="P174" s="57">
        <f t="shared" si="26"/>
        <v>114.93962118914273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9.4031025485179267</v>
      </c>
      <c r="K175" s="51">
        <f t="shared" si="22"/>
        <v>2.0558244875052947</v>
      </c>
      <c r="L175" s="55">
        <f t="shared" si="23"/>
        <v>5.9081609568413145E-3</v>
      </c>
      <c r="M175" s="51">
        <f t="shared" si="28"/>
        <v>2.0617326484621361</v>
      </c>
      <c r="N175" s="94">
        <f t="shared" si="24"/>
        <v>2529895301.723835</v>
      </c>
      <c r="O175" s="56">
        <f t="shared" si="25"/>
        <v>113.71676266045998</v>
      </c>
      <c r="P175" s="57">
        <f t="shared" si="26"/>
        <v>115.27434108943896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9.3886622269707622</v>
      </c>
      <c r="K176" s="51">
        <f t="shared" si="22"/>
        <v>2.0572354223473122</v>
      </c>
      <c r="L176" s="55">
        <f t="shared" si="23"/>
        <v>5.8048373418133391E-3</v>
      </c>
      <c r="M176" s="51">
        <f t="shared" si="28"/>
        <v>2.0630402596891253</v>
      </c>
      <c r="N176" s="94">
        <f t="shared" si="24"/>
        <v>2447159220.6350374</v>
      </c>
      <c r="O176" s="56">
        <f t="shared" si="25"/>
        <v>114.08680617136147</v>
      </c>
      <c r="P176" s="57">
        <f t="shared" si="26"/>
        <v>115.62194203369998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9.3737252009424861</v>
      </c>
      <c r="K177" s="51">
        <f t="shared" si="22"/>
        <v>2.0586948891874779</v>
      </c>
      <c r="L177" s="55">
        <f t="shared" si="23"/>
        <v>5.7010372761735579E-3</v>
      </c>
      <c r="M177" s="51">
        <f t="shared" si="28"/>
        <v>2.0643959264636513</v>
      </c>
      <c r="N177" s="94">
        <f t="shared" si="24"/>
        <v>2364423139.5462394</v>
      </c>
      <c r="O177" s="56">
        <f t="shared" si="25"/>
        <v>114.47084512777286</v>
      </c>
      <c r="P177" s="57">
        <f t="shared" si="26"/>
        <v>115.98342422835751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9.3582560791247662</v>
      </c>
      <c r="K178" s="51">
        <f t="shared" si="22"/>
        <v>2.0602063460395117</v>
      </c>
      <c r="L178" s="55">
        <f t="shared" si="23"/>
        <v>5.5970219953074734E-3</v>
      </c>
      <c r="M178" s="51">
        <f t="shared" si="28"/>
        <v>2.0658033680348193</v>
      </c>
      <c r="N178" s="94">
        <f t="shared" si="24"/>
        <v>2281687058.4574428</v>
      </c>
      <c r="O178" s="56">
        <f t="shared" si="25"/>
        <v>114.86992725572372</v>
      </c>
      <c r="P178" s="57">
        <f t="shared" si="26"/>
        <v>116.3599076877932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9.342215547461926</v>
      </c>
      <c r="K179" s="51">
        <f t="shared" si="22"/>
        <v>2.0617736342009052</v>
      </c>
      <c r="L179" s="55">
        <f t="shared" si="23"/>
        <v>5.4931192549722823E-3</v>
      </c>
      <c r="M179" s="51">
        <f t="shared" si="28"/>
        <v>2.0672667534558773</v>
      </c>
      <c r="N179" s="94">
        <f t="shared" si="24"/>
        <v>2198950977.3686504</v>
      </c>
      <c r="O179" s="56">
        <f t="shared" si="25"/>
        <v>115.2852204055999</v>
      </c>
      <c r="P179" s="57">
        <f t="shared" si="26"/>
        <v>116.75265179629625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9.3255597671106596</v>
      </c>
      <c r="K180" s="51">
        <f t="shared" si="22"/>
        <v>2.0634010370770692</v>
      </c>
      <c r="L180" s="55">
        <f t="shared" si="23"/>
        <v>5.3897387897897213E-3</v>
      </c>
      <c r="M180" s="51">
        <f t="shared" si="28"/>
        <v>2.0687907758668591</v>
      </c>
      <c r="N180" s="94">
        <f t="shared" si="24"/>
        <v>2116214896.27985</v>
      </c>
      <c r="O180" s="56">
        <f t="shared" si="25"/>
        <v>115.71803147306294</v>
      </c>
      <c r="P180" s="57">
        <f t="shared" si="26"/>
        <v>117.1630788968919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9.3082396522785693</v>
      </c>
      <c r="K181" s="51">
        <f t="shared" si="22"/>
        <v>2.0650933507422828</v>
      </c>
      <c r="L181" s="55">
        <f t="shared" si="23"/>
        <v>5.2873914139615532E-3</v>
      </c>
      <c r="M181" s="51">
        <f t="shared" si="28"/>
        <v>2.0703807421562446</v>
      </c>
      <c r="N181" s="94">
        <f t="shared" si="24"/>
        <v>2033478815.1910567</v>
      </c>
      <c r="O181" s="56">
        <f t="shared" si="25"/>
        <v>116.16982917619745</v>
      </c>
      <c r="P181" s="57">
        <f t="shared" si="26"/>
        <v>117.59280289401566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9.2901999979814338</v>
      </c>
      <c r="K182" s="51">
        <f t="shared" si="22"/>
        <v>2.0668559691647777</v>
      </c>
      <c r="L182" s="55">
        <f t="shared" si="23"/>
        <v>5.1867125842430858E-3</v>
      </c>
      <c r="M182" s="51">
        <f t="shared" si="28"/>
        <v>2.072042681749021</v>
      </c>
      <c r="N182" s="94">
        <f t="shared" si="24"/>
        <v>1950742734.1022525</v>
      </c>
      <c r="O182" s="56">
        <f t="shared" si="25"/>
        <v>116.64227166826257</v>
      </c>
      <c r="P182" s="57">
        <f t="shared" si="26"/>
        <v>118.04366413272713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9.2713784186616799</v>
      </c>
      <c r="K183" s="51">
        <f t="shared" si="22"/>
        <v>2.0686949879121994</v>
      </c>
      <c r="L183" s="55">
        <f t="shared" si="23"/>
        <v>5.0884913811390783E-3</v>
      </c>
      <c r="M183" s="51">
        <f t="shared" si="28"/>
        <v>2.0737834792933385</v>
      </c>
      <c r="N183" s="94">
        <f t="shared" si="24"/>
        <v>1868006653.0134628</v>
      </c>
      <c r="O183" s="56">
        <f t="shared" si="25"/>
        <v>117.13724026758264</v>
      </c>
      <c r="P183" s="57">
        <f t="shared" si="26"/>
        <v>118.51777217831193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9.2517040462122235</v>
      </c>
      <c r="K184" s="51">
        <f t="shared" si="22"/>
        <v>2.070617331365086</v>
      </c>
      <c r="L184" s="55">
        <f t="shared" si="23"/>
        <v>4.9937059856532138E-3</v>
      </c>
      <c r="M184" s="51">
        <f t="shared" si="28"/>
        <v>2.0756110373507393</v>
      </c>
      <c r="N184" s="94">
        <f t="shared" si="24"/>
        <v>1785270571.9246657</v>
      </c>
      <c r="O184" s="56">
        <f t="shared" si="25"/>
        <v>117.65688099946628</v>
      </c>
      <c r="P184" s="57">
        <f t="shared" si="26"/>
        <v>119.01755859646551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9.2310959188391308</v>
      </c>
      <c r="K185" s="51">
        <f t="shared" si="22"/>
        <v>2.0726309101378622</v>
      </c>
      <c r="L185" s="55">
        <f t="shared" si="23"/>
        <v>4.9035668052632604E-3</v>
      </c>
      <c r="M185" s="51">
        <f t="shared" si="28"/>
        <v>2.0775344769431254</v>
      </c>
      <c r="N185" s="94">
        <f t="shared" si="24"/>
        <v>1702534490.8358624</v>
      </c>
      <c r="O185" s="56">
        <f t="shared" si="25"/>
        <v>118.20365621777964</v>
      </c>
      <c r="P185" s="57">
        <f t="shared" si="26"/>
        <v>119.54584246832582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9.2094609682573392</v>
      </c>
      <c r="K186" s="51">
        <f t="shared" si="22"/>
        <v>2.0747448177459078</v>
      </c>
      <c r="L186" s="55">
        <f t="shared" si="23"/>
        <v>4.8195683876715396E-3</v>
      </c>
      <c r="M186" s="51">
        <f t="shared" si="28"/>
        <v>2.0795643861335793</v>
      </c>
      <c r="N186" s="94">
        <f t="shared" si="24"/>
        <v>1619798409.747061</v>
      </c>
      <c r="O186" s="56">
        <f t="shared" si="25"/>
        <v>118.78040937842964</v>
      </c>
      <c r="P186" s="57">
        <f t="shared" si="26"/>
        <v>120.10591222973893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9.1866914787186857</v>
      </c>
      <c r="K187" s="51">
        <f t="shared" si="22"/>
        <v>2.0769695788788303</v>
      </c>
      <c r="L187" s="55">
        <f t="shared" si="23"/>
        <v>4.7435510927522108E-3</v>
      </c>
      <c r="M187" s="51">
        <f t="shared" si="28"/>
        <v>2.0817131299715825</v>
      </c>
      <c r="N187" s="94">
        <f t="shared" si="24"/>
        <v>1537062328.6582696</v>
      </c>
      <c r="O187" s="56">
        <f t="shared" si="25"/>
        <v>119.39044718458527</v>
      </c>
      <c r="P187" s="57">
        <f t="shared" si="26"/>
        <v>120.70162859907533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9.1626618423040753</v>
      </c>
      <c r="K188" s="51">
        <f t="shared" si="22"/>
        <v>2.079317466434357</v>
      </c>
      <c r="L188" s="55">
        <f t="shared" si="23"/>
        <v>4.6777731082363284E-3</v>
      </c>
      <c r="M188" s="51">
        <f t="shared" si="28"/>
        <v>2.0839952395425931</v>
      </c>
      <c r="N188" s="94">
        <f t="shared" si="24"/>
        <v>1454326247.569473</v>
      </c>
      <c r="O188" s="56">
        <f t="shared" si="25"/>
        <v>120.03764498735879</v>
      </c>
      <c r="P188" s="57">
        <f t="shared" si="26"/>
        <v>121.3375550147973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9.1372243628102936</v>
      </c>
      <c r="K189" s="51">
        <f t="shared" si="22"/>
        <v>2.0818029115121313</v>
      </c>
      <c r="L189" s="55">
        <f t="shared" si="23"/>
        <v>4.6249927666919327E-3</v>
      </c>
      <c r="M189" s="51">
        <f t="shared" si="28"/>
        <v>2.0864279042788234</v>
      </c>
      <c r="N189" s="94">
        <f t="shared" si="24"/>
        <v>1371590166.4806705</v>
      </c>
      <c r="O189" s="56">
        <f t="shared" si="25"/>
        <v>120.72658378232718</v>
      </c>
      <c r="P189" s="57">
        <f t="shared" si="26"/>
        <v>122.01912442124049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9.1102037524999187</v>
      </c>
      <c r="K190" s="51">
        <f t="shared" si="22"/>
        <v>2.0844430411252404</v>
      </c>
      <c r="L190" s="55">
        <f t="shared" si="23"/>
        <v>4.5885603503195748E-3</v>
      </c>
      <c r="M190" s="51">
        <f t="shared" si="28"/>
        <v>2.0890316014755599</v>
      </c>
      <c r="N190" s="94">
        <f t="shared" si="24"/>
        <v>1288854085.3918765</v>
      </c>
      <c r="O190" s="56">
        <f t="shared" si="25"/>
        <v>121.46273084268815</v>
      </c>
      <c r="P190" s="57">
        <f t="shared" si="26"/>
        <v>122.75285491298617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9.0813898004331133</v>
      </c>
      <c r="K191" s="51">
        <f t="shared" si="22"/>
        <v>2.0872583945628005</v>
      </c>
      <c r="L191" s="55">
        <f t="shared" si="23"/>
        <v>4.5725180468293358E-3</v>
      </c>
      <c r="M191" s="51">
        <f t="shared" si="28"/>
        <v>2.0918309126096299</v>
      </c>
      <c r="N191" s="94">
        <f t="shared" si="24"/>
        <v>1206118004.3030787</v>
      </c>
      <c r="O191" s="56">
        <f t="shared" si="25"/>
        <v>122.25268172888632</v>
      </c>
      <c r="P191" s="57">
        <f t="shared" si="26"/>
        <v>123.54663256764084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9.0505274311909574</v>
      </c>
      <c r="K192" s="51">
        <f t="shared" si="22"/>
        <v>2.0902738947321522</v>
      </c>
      <c r="L192" s="55">
        <f t="shared" si="23"/>
        <v>4.5817073764753457E-3</v>
      </c>
      <c r="M192" s="51">
        <f t="shared" si="28"/>
        <v>2.0948556021086278</v>
      </c>
      <c r="N192" s="94">
        <f t="shared" si="24"/>
        <v>1123381923.2142808</v>
      </c>
      <c r="O192" s="56">
        <f t="shared" si="25"/>
        <v>123.1044904122251</v>
      </c>
      <c r="P192" s="57">
        <f t="shared" si="26"/>
        <v>124.41008938413752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9.0173029533528464</v>
      </c>
      <c r="K193" s="51">
        <f t="shared" si="22"/>
        <v>2.0935201917925408</v>
      </c>
      <c r="L193" s="55">
        <f t="shared" si="23"/>
        <v>4.6218870190022163E-3</v>
      </c>
      <c r="M193" s="51">
        <f t="shared" si="28"/>
        <v>2.0981420788115428</v>
      </c>
      <c r="N193" s="94">
        <f t="shared" si="24"/>
        <v>1040645842.1254835</v>
      </c>
      <c r="O193" s="56">
        <f t="shared" si="25"/>
        <v>124.02812885738614</v>
      </c>
      <c r="P193" s="57">
        <f t="shared" si="26"/>
        <v>125.35512053308828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8.981324598713508</v>
      </c>
      <c r="K194" s="51">
        <f t="shared" ref="K194:K204" si="29">+$I$14+$I$13*J194</f>
        <v>2.097035564629171</v>
      </c>
      <c r="L194" s="55">
        <f t="shared" ref="L194:L204" si="30">SQRT(2*$I$20*$I$17)*SQRT((1/$I$2)+((J194-$I$11)^2/$I$8))</f>
        <v>4.6998733747757419E-3</v>
      </c>
      <c r="M194" s="51">
        <f t="shared" si="28"/>
        <v>2.1017354380039466</v>
      </c>
      <c r="N194" s="94">
        <f t="shared" si="24"/>
        <v>957909761.03668416</v>
      </c>
      <c r="O194" s="56">
        <f t="shared" si="25"/>
        <v>125.03614188533409</v>
      </c>
      <c r="P194" s="57">
        <f t="shared" si="26"/>
        <v>126.39661344207644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8.9420942481743673</v>
      </c>
      <c r="K195" s="51">
        <f t="shared" si="29"/>
        <v>2.1008686834596237</v>
      </c>
      <c r="L195" s="55">
        <f t="shared" si="30"/>
        <v>4.8237353869221809E-3</v>
      </c>
      <c r="M195" s="51">
        <f t="shared" si="28"/>
        <v>2.1056924188465458</v>
      </c>
      <c r="N195" s="94">
        <f t="shared" si="24"/>
        <v>875173679.94788766</v>
      </c>
      <c r="O195" s="56">
        <f t="shared" si="25"/>
        <v>126.14460566192683</v>
      </c>
      <c r="P195" s="57">
        <f t="shared" si="26"/>
        <v>127.55351143335602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8.8989650733652983</v>
      </c>
      <c r="K196" s="51">
        <f t="shared" si="29"/>
        <v>2.1050827485860011</v>
      </c>
      <c r="L196" s="55">
        <f t="shared" si="30"/>
        <v>5.0031094717525645E-3</v>
      </c>
      <c r="M196" s="51">
        <f t="shared" si="28"/>
        <v>2.1100858580577535</v>
      </c>
      <c r="N196" s="94">
        <f t="shared" si="24"/>
        <v>792437598.85908866</v>
      </c>
      <c r="O196" s="56">
        <f t="shared" si="25"/>
        <v>127.37457518854629</v>
      </c>
      <c r="P196" s="57">
        <f t="shared" si="26"/>
        <v>128.8504257987949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8.8510757340136657</v>
      </c>
      <c r="K197" s="51">
        <f t="shared" si="29"/>
        <v>2.1097619198379518</v>
      </c>
      <c r="L197" s="55">
        <f t="shared" si="30"/>
        <v>5.2497583927398088E-3</v>
      </c>
      <c r="M197" s="51">
        <f t="shared" si="28"/>
        <v>2.1150116782306916</v>
      </c>
      <c r="N197" s="94">
        <f t="shared" si="24"/>
        <v>709701517.77029347</v>
      </c>
      <c r="O197" s="56">
        <f t="shared" si="25"/>
        <v>128.75435270442111</v>
      </c>
      <c r="P197" s="57">
        <f t="shared" si="26"/>
        <v>130.32018212343763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8.7972435997266505</v>
      </c>
      <c r="K198" s="51">
        <f t="shared" si="29"/>
        <v>2.1150217496580592</v>
      </c>
      <c r="L198" s="55">
        <f t="shared" si="30"/>
        <v>5.5785988913674821E-3</v>
      </c>
      <c r="M198" s="51">
        <f t="shared" si="28"/>
        <v>2.1206003485494267</v>
      </c>
      <c r="N198" s="94">
        <f t="shared" si="24"/>
        <v>626965436.68149495</v>
      </c>
      <c r="O198" s="56">
        <f t="shared" si="25"/>
        <v>130.32320432501362</v>
      </c>
      <c r="P198" s="57">
        <f t="shared" si="26"/>
        <v>132.0080295641697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8.7357819638091865</v>
      </c>
      <c r="K199" s="51">
        <f t="shared" si="29"/>
        <v>2.121027042772905</v>
      </c>
      <c r="L199" s="55">
        <f t="shared" si="30"/>
        <v>6.0096201076601675E-3</v>
      </c>
      <c r="M199" s="51">
        <f t="shared" si="28"/>
        <v>2.127036662880565</v>
      </c>
      <c r="N199" s="94">
        <f t="shared" si="24"/>
        <v>544229355.59269702</v>
      </c>
      <c r="O199" s="56">
        <f t="shared" si="25"/>
        <v>132.13779115623137</v>
      </c>
      <c r="P199" s="57">
        <f t="shared" si="26"/>
        <v>133.97897869049319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8.6641653762890645</v>
      </c>
      <c r="K200" s="51">
        <f t="shared" si="29"/>
        <v>2.1280245558316344</v>
      </c>
      <c r="L200" s="55">
        <f t="shared" si="30"/>
        <v>6.571562688375155E-3</v>
      </c>
      <c r="M200" s="51">
        <f t="shared" si="28"/>
        <v>2.1345961185200095</v>
      </c>
      <c r="N200" s="94">
        <f t="shared" si="24"/>
        <v>461493274.50390035</v>
      </c>
      <c r="O200" s="56">
        <f t="shared" si="25"/>
        <v>134.28408857555408</v>
      </c>
      <c r="P200" s="57">
        <f t="shared" si="26"/>
        <v>136.33147030913122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8.5783608897765493</v>
      </c>
      <c r="K201" s="51">
        <f t="shared" si="29"/>
        <v>2.1364083400310729</v>
      </c>
      <c r="L201" s="55">
        <f t="shared" si="30"/>
        <v>7.3094023595515287E-3</v>
      </c>
      <c r="M201" s="51">
        <f t="shared" si="28"/>
        <v>2.1437177423906246</v>
      </c>
      <c r="N201" s="94">
        <f t="shared" si="24"/>
        <v>378757193.41510338</v>
      </c>
      <c r="O201" s="56">
        <f t="shared" si="25"/>
        <v>136.90154205155798</v>
      </c>
      <c r="P201" s="57">
        <f t="shared" si="26"/>
        <v>139.22516536316775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8.4713226861935311</v>
      </c>
      <c r="K202" s="51">
        <f t="shared" si="29"/>
        <v>2.1468668281172958</v>
      </c>
      <c r="L202" s="55">
        <f t="shared" si="30"/>
        <v>8.3012543764131915E-3</v>
      </c>
      <c r="M202" s="51">
        <f t="shared" si="28"/>
        <v>2.1551680824937089</v>
      </c>
      <c r="N202" s="94">
        <f t="shared" si="24"/>
        <v>296021112.32630491</v>
      </c>
      <c r="O202" s="56">
        <f t="shared" si="25"/>
        <v>140.2383612285081</v>
      </c>
      <c r="P202" s="57">
        <f t="shared" si="26"/>
        <v>142.94470821449588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8.3289603768790244</v>
      </c>
      <c r="K203" s="51">
        <f t="shared" si="29"/>
        <v>2.1607767636921964</v>
      </c>
      <c r="L203" s="55">
        <f t="shared" si="30"/>
        <v>9.7036243318347048E-3</v>
      </c>
      <c r="M203" s="51">
        <f t="shared" si="28"/>
        <v>2.1704803880240311</v>
      </c>
      <c r="N203" s="94">
        <f t="shared" si="24"/>
        <v>213285031.23750836</v>
      </c>
      <c r="O203" s="56">
        <f t="shared" si="25"/>
        <v>144.80273463376278</v>
      </c>
      <c r="P203" s="57">
        <f t="shared" si="26"/>
        <v>148.07453858969572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8.1157733836545187</v>
      </c>
      <c r="K204" s="51">
        <f t="shared" si="29"/>
        <v>2.1816068370131378</v>
      </c>
      <c r="L204" s="55">
        <f t="shared" si="30"/>
        <v>1.1912675248750726E-2</v>
      </c>
      <c r="M204" s="51">
        <f t="shared" si="28"/>
        <v>2.1935195122618887</v>
      </c>
      <c r="N204" s="97">
        <f t="shared" si="24"/>
        <v>130548950.14871049</v>
      </c>
      <c r="O204" s="91">
        <f t="shared" si="25"/>
        <v>151.91716142810455</v>
      </c>
      <c r="P204" s="92">
        <f t="shared" si="26"/>
        <v>156.14191888396115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topLeftCell="A13" zoomScaleNormal="100" workbookViewId="0">
      <selection activeCell="H55" sqref="H55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G30 85L'!P7</f>
        <v>23928.635238265408</v>
      </c>
      <c r="B2" s="48">
        <f>'New Vestas G30 85L'!T7</f>
        <v>100.92286507311093</v>
      </c>
      <c r="C2" s="50">
        <f t="shared" ref="C2:D42" si="0">IF(ISNA(A2),"",LOG10(A2))</f>
        <v>4.3789179294787699</v>
      </c>
      <c r="D2" s="50">
        <f t="shared" si="0"/>
        <v>2.0039895710942521</v>
      </c>
      <c r="E2" s="51">
        <f>IF(C2="","",C2^2)</f>
        <v>19.174922233110639</v>
      </c>
      <c r="F2" s="51">
        <f>IF(D2="","",D2^2)</f>
        <v>4.015974201054525</v>
      </c>
      <c r="G2" s="52">
        <f>IF(OR(C2="",D2=""),"",C2*D2)</f>
        <v>8.7753058633530898</v>
      </c>
      <c r="H2" s="53" t="s">
        <v>57</v>
      </c>
      <c r="I2" s="54">
        <f>COUNT(C:C)</f>
        <v>41</v>
      </c>
      <c r="J2" s="51">
        <f t="shared" ref="J2:J65" si="1">LOG($I$24+($I$25-$I$24)*(ROW()-2)/100)</f>
        <v>4.3789179294787699</v>
      </c>
      <c r="K2" s="51">
        <f t="shared" ref="K2:K65" si="2">+$I$14+$I$13*J2</f>
        <v>2.0048803593849112</v>
      </c>
      <c r="L2" s="55">
        <f t="shared" ref="L2:L65" si="3">SQRT(2*$I$20*$I$17)*SQRT((1/$I$2)+((J2-$I$11)^2/$I$8))</f>
        <v>1.0735098309777456E-2</v>
      </c>
      <c r="M2" s="51">
        <f t="shared" ref="M2:M65" si="4">+$I$14+$I$13*J2-L2</f>
        <v>1.9941452610751338</v>
      </c>
      <c r="N2" s="94">
        <f>10^$J2</f>
        <v>23928.635238265408</v>
      </c>
      <c r="O2" s="56">
        <f>10^K2</f>
        <v>101.13008200050113</v>
      </c>
      <c r="P2" s="57">
        <f t="shared" ref="P2:P65" si="5">10^M2</f>
        <v>98.66094276105899</v>
      </c>
      <c r="R2" s="47"/>
      <c r="S2" s="47"/>
      <c r="T2" s="47"/>
    </row>
    <row r="3" spans="1:20" ht="12.75" customHeight="1" x14ac:dyDescent="0.35">
      <c r="A3" s="49">
        <f>'New Vestas G30 85L'!P8</f>
        <v>3103.2448824625453</v>
      </c>
      <c r="B3" s="48">
        <f>'New Vestas G30 85L'!T8</f>
        <v>117.92779020417348</v>
      </c>
      <c r="C3" s="50">
        <f t="shared" si="0"/>
        <v>3.4918160478709566</v>
      </c>
      <c r="D3" s="50">
        <f t="shared" si="0"/>
        <v>2.0716161605670114</v>
      </c>
      <c r="E3" s="51">
        <f t="shared" ref="E3:F42" si="6">IF(C3="","",C3^2)</f>
        <v>12.192779312169147</v>
      </c>
      <c r="F3" s="51">
        <f t="shared" si="6"/>
        <v>4.2915935167224051</v>
      </c>
      <c r="G3" s="52">
        <f t="shared" ref="G3:G42" si="7">IF(OR(C3="",D3=""),"",C3*D3)</f>
        <v>7.2337025544967064</v>
      </c>
      <c r="H3" s="53" t="s">
        <v>58</v>
      </c>
      <c r="I3" s="58">
        <f>SUM(C:C)</f>
        <v>144.76175005446049</v>
      </c>
      <c r="J3" s="51">
        <f t="shared" si="1"/>
        <v>4.3746212628433128</v>
      </c>
      <c r="K3" s="51">
        <f t="shared" si="2"/>
        <v>2.0053001780600495</v>
      </c>
      <c r="L3" s="55">
        <f t="shared" si="3"/>
        <v>1.069060022280152E-2</v>
      </c>
      <c r="M3" s="51">
        <f t="shared" si="4"/>
        <v>1.9946095778372479</v>
      </c>
      <c r="N3" s="94">
        <f t="shared" ref="N3:N66" si="8">10^$J3</f>
        <v>23693.065925184783</v>
      </c>
      <c r="O3" s="56">
        <f t="shared" ref="O3:O66" si="9">10^K3</f>
        <v>101.22788850277664</v>
      </c>
      <c r="P3" s="57">
        <f t="shared" si="5"/>
        <v>98.766480428443572</v>
      </c>
      <c r="R3" s="47"/>
      <c r="S3" s="47"/>
      <c r="T3" s="47"/>
    </row>
    <row r="4" spans="1:20" ht="12.75" customHeight="1" x14ac:dyDescent="0.35">
      <c r="A4" s="49">
        <f>'New Vestas G30 85L'!P9</f>
        <v>4965.1918119400734</v>
      </c>
      <c r="B4" s="48">
        <f>'New Vestas G30 85L'!T9</f>
        <v>117.59224858897701</v>
      </c>
      <c r="C4" s="50">
        <f t="shared" si="0"/>
        <v>3.6959360305268816</v>
      </c>
      <c r="D4" s="50">
        <f t="shared" si="0"/>
        <v>2.0703786949885523</v>
      </c>
      <c r="E4" s="51">
        <f t="shared" si="6"/>
        <v>13.659943141746803</v>
      </c>
      <c r="F4" s="51">
        <f t="shared" si="6"/>
        <v>4.2864679406625008</v>
      </c>
      <c r="G4" s="52">
        <f t="shared" si="7"/>
        <v>7.6519872156434152</v>
      </c>
      <c r="H4" s="59" t="s">
        <v>59</v>
      </c>
      <c r="I4" s="58">
        <f>SUM(D:D)</f>
        <v>85.59778126516828</v>
      </c>
      <c r="J4" s="51">
        <f t="shared" si="1"/>
        <v>4.37028166227394</v>
      </c>
      <c r="K4" s="51">
        <f t="shared" si="2"/>
        <v>2.0057241917237181</v>
      </c>
      <c r="L4" s="55">
        <f t="shared" si="3"/>
        <v>1.0645699542711178E-2</v>
      </c>
      <c r="M4" s="51">
        <f t="shared" si="4"/>
        <v>1.995078492181007</v>
      </c>
      <c r="N4" s="94">
        <f t="shared" si="8"/>
        <v>23457.496612104103</v>
      </c>
      <c r="O4" s="56">
        <f t="shared" si="9"/>
        <v>101.32676833995794</v>
      </c>
      <c r="P4" s="57">
        <f t="shared" si="5"/>
        <v>98.873177687382608</v>
      </c>
      <c r="R4" s="47"/>
      <c r="S4" s="47"/>
      <c r="T4" s="47"/>
    </row>
    <row r="5" spans="1:20" ht="12.75" customHeight="1" x14ac:dyDescent="0.35">
      <c r="A5" s="49">
        <f>'New Vestas G30 85L'!P10</f>
        <v>5585.8407884325825</v>
      </c>
      <c r="B5" s="48">
        <f>'New Vestas G30 85L'!T10</f>
        <v>115.98644228767971</v>
      </c>
      <c r="C5" s="50">
        <f t="shared" si="0"/>
        <v>3.747088552974263</v>
      </c>
      <c r="D5" s="50">
        <f t="shared" si="0"/>
        <v>2.0644072272979317</v>
      </c>
      <c r="E5" s="51">
        <f t="shared" si="6"/>
        <v>14.040672623830757</v>
      </c>
      <c r="F5" s="51">
        <f t="shared" si="6"/>
        <v>4.2617772001199343</v>
      </c>
      <c r="G5" s="52">
        <f t="shared" si="7"/>
        <v>7.7355166900854178</v>
      </c>
      <c r="H5" s="59" t="s">
        <v>60</v>
      </c>
      <c r="I5" s="58">
        <f>SUM(E:E)</f>
        <v>517.65657908556454</v>
      </c>
      <c r="J5" s="51">
        <f t="shared" si="1"/>
        <v>4.3658982610785211</v>
      </c>
      <c r="K5" s="51">
        <f t="shared" si="2"/>
        <v>2.0061524850586663</v>
      </c>
      <c r="L5" s="55">
        <f t="shared" si="3"/>
        <v>1.0600389114227678E-2</v>
      </c>
      <c r="M5" s="51">
        <f t="shared" si="4"/>
        <v>1.9955520959444386</v>
      </c>
      <c r="N5" s="94">
        <f t="shared" si="8"/>
        <v>23221.927299023453</v>
      </c>
      <c r="O5" s="56">
        <f t="shared" si="9"/>
        <v>101.42674424877059</v>
      </c>
      <c r="P5" s="57">
        <f t="shared" si="5"/>
        <v>98.981058981891039</v>
      </c>
      <c r="R5" s="47"/>
      <c r="S5" s="47"/>
      <c r="T5" s="47"/>
    </row>
    <row r="6" spans="1:20" ht="12.75" customHeight="1" x14ac:dyDescent="0.35">
      <c r="A6" s="49">
        <f>'New Vestas G30 85L'!P11</f>
        <v>7447.7877179101079</v>
      </c>
      <c r="B6" s="48">
        <f>'New Vestas G30 85L'!T11</f>
        <v>113.70955275598949</v>
      </c>
      <c r="C6" s="50">
        <f t="shared" si="0"/>
        <v>3.8720272895825629</v>
      </c>
      <c r="D6" s="50">
        <f t="shared" si="0"/>
        <v>2.0557969513626819</v>
      </c>
      <c r="E6" s="51">
        <f t="shared" si="6"/>
        <v>14.992595331272089</v>
      </c>
      <c r="F6" s="51">
        <f t="shared" si="6"/>
        <v>4.2263011052320971</v>
      </c>
      <c r="G6" s="52">
        <f t="shared" si="7"/>
        <v>7.9601018975169415</v>
      </c>
      <c r="H6" s="59" t="s">
        <v>61</v>
      </c>
      <c r="I6" s="58">
        <f>SUM(F:F)</f>
        <v>178.77438798716196</v>
      </c>
      <c r="J6" s="51">
        <f t="shared" si="1"/>
        <v>4.3614701660536994</v>
      </c>
      <c r="K6" s="51">
        <f t="shared" si="2"/>
        <v>2.0065851453380015</v>
      </c>
      <c r="L6" s="55">
        <f t="shared" si="3"/>
        <v>1.0554661597791403E-2</v>
      </c>
      <c r="M6" s="51">
        <f t="shared" si="4"/>
        <v>1.9960304837402101</v>
      </c>
      <c r="N6" s="94">
        <f t="shared" si="8"/>
        <v>22986.35798594277</v>
      </c>
      <c r="O6" s="56">
        <f t="shared" si="9"/>
        <v>101.52783968444082</v>
      </c>
      <c r="P6" s="57">
        <f t="shared" si="5"/>
        <v>99.0901495220767</v>
      </c>
      <c r="R6" s="47"/>
      <c r="S6" s="47"/>
      <c r="T6" s="47"/>
    </row>
    <row r="7" spans="1:20" ht="12.75" customHeight="1" x14ac:dyDescent="0.35">
      <c r="A7" s="49">
        <f>'New Vestas G30 85L'!P12</f>
        <v>8068.4366944026187</v>
      </c>
      <c r="B7" s="48">
        <f>'New Vestas G30 85L'!T12</f>
        <v>110.78554725213468</v>
      </c>
      <c r="C7" s="50">
        <f t="shared" si="0"/>
        <v>3.9067893958417748</v>
      </c>
      <c r="D7" s="50">
        <f t="shared" si="0"/>
        <v>2.0444831073414065</v>
      </c>
      <c r="E7" s="51">
        <f t="shared" si="6"/>
        <v>15.26300338346174</v>
      </c>
      <c r="F7" s="51">
        <f t="shared" si="6"/>
        <v>4.1799111762043726</v>
      </c>
      <c r="G7" s="52">
        <f t="shared" si="7"/>
        <v>7.9873649237390474</v>
      </c>
      <c r="H7" s="59" t="s">
        <v>62</v>
      </c>
      <c r="I7" s="58">
        <f>SUM(G:G)</f>
        <v>301.58788356233316</v>
      </c>
      <c r="J7" s="51">
        <f t="shared" si="1"/>
        <v>4.356996456392479</v>
      </c>
      <c r="K7" s="51">
        <f t="shared" si="2"/>
        <v>2.0070222625319278</v>
      </c>
      <c r="L7" s="55">
        <f t="shared" si="3"/>
        <v>1.0508509463621937E-2</v>
      </c>
      <c r="M7" s="51">
        <f t="shared" si="4"/>
        <v>1.9965137530683059</v>
      </c>
      <c r="N7" s="94">
        <f t="shared" si="8"/>
        <v>22750.788672862094</v>
      </c>
      <c r="O7" s="56">
        <f t="shared" si="9"/>
        <v>101.63007885104058</v>
      </c>
      <c r="P7" s="57">
        <f t="shared" si="5"/>
        <v>99.200475316138224</v>
      </c>
      <c r="R7" s="47"/>
      <c r="S7" s="47"/>
      <c r="T7" s="47"/>
    </row>
    <row r="8" spans="1:20" ht="12.75" customHeight="1" x14ac:dyDescent="0.35">
      <c r="A8" s="49">
        <f>'New Vestas G30 85L'!P13</f>
        <v>8689.0856708951269</v>
      </c>
      <c r="B8" s="48">
        <f>'New Vestas G30 85L'!T13</f>
        <v>110.45000563693822</v>
      </c>
      <c r="C8" s="50">
        <f t="shared" si="0"/>
        <v>3.938974079213176</v>
      </c>
      <c r="D8" s="50">
        <f t="shared" si="0"/>
        <v>2.0431657423721536</v>
      </c>
      <c r="E8" s="51">
        <f t="shared" si="6"/>
        <v>15.515516796713287</v>
      </c>
      <c r="F8" s="51">
        <f t="shared" si="6"/>
        <v>4.1745262508031535</v>
      </c>
      <c r="G8" s="52">
        <f t="shared" si="7"/>
        <v>8.0479768987402593</v>
      </c>
      <c r="H8" s="53" t="s">
        <v>63</v>
      </c>
      <c r="I8" s="58">
        <f>+I5-I3^2/$I$2</f>
        <v>6.5354991140989114</v>
      </c>
      <c r="J8" s="51">
        <f t="shared" si="1"/>
        <v>4.3524761825349509</v>
      </c>
      <c r="K8" s="51">
        <f t="shared" si="2"/>
        <v>2.0074639294200383</v>
      </c>
      <c r="L8" s="55">
        <f t="shared" si="3"/>
        <v>1.0461924985568008E-2</v>
      </c>
      <c r="M8" s="51">
        <f t="shared" si="4"/>
        <v>1.9970020044344703</v>
      </c>
      <c r="N8" s="94">
        <f t="shared" si="8"/>
        <v>22515.219359781422</v>
      </c>
      <c r="O8" s="56">
        <f t="shared" si="9"/>
        <v>101.73348673344327</v>
      </c>
      <c r="P8" s="57">
        <f t="shared" si="5"/>
        <v>99.312063204038424</v>
      </c>
      <c r="R8" s="47"/>
      <c r="S8" s="47"/>
      <c r="T8" s="47"/>
    </row>
    <row r="9" spans="1:20" ht="12.75" customHeight="1" x14ac:dyDescent="0.35">
      <c r="A9" s="49">
        <f>'New Vestas G30 85L'!P14</f>
        <v>11792.330553357673</v>
      </c>
      <c r="B9" s="48">
        <f>'New Vestas G30 85L'!T14</f>
        <v>107.11855674320198</v>
      </c>
      <c r="C9" s="50">
        <f t="shared" si="0"/>
        <v>4.0715996444877671</v>
      </c>
      <c r="D9" s="50">
        <f t="shared" si="0"/>
        <v>2.0298647125972509</v>
      </c>
      <c r="E9" s="51">
        <f t="shared" si="6"/>
        <v>16.577923664992912</v>
      </c>
      <c r="F9" s="51">
        <f t="shared" si="6"/>
        <v>4.1203507514475195</v>
      </c>
      <c r="G9" s="52">
        <f t="shared" si="7"/>
        <v>8.2647964421692297</v>
      </c>
      <c r="H9" s="59" t="s">
        <v>64</v>
      </c>
      <c r="I9" s="58">
        <f>+I6-I4^2/$I$2</f>
        <v>6.7554876927971463E-2</v>
      </c>
      <c r="J9" s="51">
        <f t="shared" si="1"/>
        <v>4.3479083649585846</v>
      </c>
      <c r="K9" s="51">
        <f t="shared" si="2"/>
        <v>2.0079102417095136</v>
      </c>
      <c r="L9" s="55">
        <f t="shared" si="3"/>
        <v>1.0414900234741313E-2</v>
      </c>
      <c r="M9" s="51">
        <f t="shared" si="4"/>
        <v>1.9974953414747723</v>
      </c>
      <c r="N9" s="94">
        <f t="shared" si="8"/>
        <v>22279.650046700754</v>
      </c>
      <c r="O9" s="56">
        <f t="shared" si="9"/>
        <v>101.83808913099359</v>
      </c>
      <c r="P9" s="57">
        <f t="shared" si="5"/>
        <v>99.424940892959469</v>
      </c>
      <c r="R9" s="47"/>
      <c r="S9" s="47"/>
      <c r="T9" s="47"/>
    </row>
    <row r="10" spans="1:20" ht="12.75" customHeight="1" x14ac:dyDescent="0.35">
      <c r="A10" s="49">
        <f>'New Vestas G30 85L'!P15</f>
        <v>2482.5959059700367</v>
      </c>
      <c r="B10" s="48">
        <f>'New Vestas G30 85L'!T15</f>
        <v>123.83285370717226</v>
      </c>
      <c r="C10" s="50">
        <f t="shared" si="0"/>
        <v>3.3949060348629003</v>
      </c>
      <c r="D10" s="50">
        <f t="shared" si="0"/>
        <v>2.0928358812821926</v>
      </c>
      <c r="E10" s="51">
        <f t="shared" si="6"/>
        <v>11.52538698554854</v>
      </c>
      <c r="F10" s="51">
        <f t="shared" si="6"/>
        <v>4.3799620259822118</v>
      </c>
      <c r="G10" s="52">
        <f t="shared" si="7"/>
        <v>7.1049811633425319</v>
      </c>
      <c r="H10" s="59" t="s">
        <v>65</v>
      </c>
      <c r="I10" s="58">
        <f>+I7-I3*I4/$I$2</f>
        <v>-0.63857050412224226</v>
      </c>
      <c r="J10" s="51">
        <f t="shared" si="1"/>
        <v>4.3432919929042173</v>
      </c>
      <c r="K10" s="51">
        <f t="shared" si="2"/>
        <v>2.008361298159604</v>
      </c>
      <c r="L10" s="55">
        <f t="shared" si="3"/>
        <v>1.0367427072928119E-2</v>
      </c>
      <c r="M10" s="51">
        <f t="shared" si="4"/>
        <v>1.9979938710866758</v>
      </c>
      <c r="N10" s="94">
        <f t="shared" si="8"/>
        <v>22044.080733620063</v>
      </c>
      <c r="O10" s="56">
        <f t="shared" si="9"/>
        <v>101.94391269300361</v>
      </c>
      <c r="P10" s="57">
        <f t="shared" si="5"/>
        <v>99.539136994652523</v>
      </c>
      <c r="R10" s="47"/>
      <c r="S10" s="47"/>
      <c r="T10" s="47"/>
    </row>
    <row r="11" spans="1:20" ht="12.75" customHeight="1" x14ac:dyDescent="0.35">
      <c r="A11" s="49">
        <f>'New Vestas G30 85L'!P16</f>
        <v>3103.2448824625453</v>
      </c>
      <c r="B11" s="48">
        <f>'New Vestas G30 85L'!T16</f>
        <v>121.48897208098484</v>
      </c>
      <c r="C11" s="50">
        <f t="shared" si="0"/>
        <v>3.4918160478709566</v>
      </c>
      <c r="D11" s="50">
        <f t="shared" si="0"/>
        <v>2.0845368575084784</v>
      </c>
      <c r="E11" s="51">
        <f t="shared" si="6"/>
        <v>12.192779312169147</v>
      </c>
      <c r="F11" s="51">
        <f t="shared" si="6"/>
        <v>4.3452939103113222</v>
      </c>
      <c r="G11" s="52">
        <f t="shared" si="7"/>
        <v>7.2788192514265981</v>
      </c>
      <c r="H11" s="59" t="s">
        <v>66</v>
      </c>
      <c r="I11" s="58">
        <f>+I3/$I$2</f>
        <v>3.5307743915722072</v>
      </c>
      <c r="J11" s="51">
        <f t="shared" si="1"/>
        <v>4.3386260230336058</v>
      </c>
      <c r="K11" s="51">
        <f t="shared" si="2"/>
        <v>2.0088172007127949</v>
      </c>
      <c r="L11" s="55">
        <f t="shared" si="3"/>
        <v>1.0319497145772981E-2</v>
      </c>
      <c r="M11" s="51">
        <f t="shared" si="4"/>
        <v>1.9984977035670219</v>
      </c>
      <c r="N11" s="94">
        <f t="shared" si="8"/>
        <v>21808.511420539424</v>
      </c>
      <c r="O11" s="56">
        <f t="shared" si="9"/>
        <v>102.05098495619251</v>
      </c>
      <c r="P11" s="57">
        <f t="shared" si="5"/>
        <v>99.654681064803611</v>
      </c>
      <c r="R11" s="47"/>
      <c r="S11" s="47"/>
      <c r="T11" s="47"/>
    </row>
    <row r="12" spans="1:20" ht="12.75" customHeight="1" x14ac:dyDescent="0.35">
      <c r="A12" s="49">
        <f>'New Vestas G30 85L'!P17</f>
        <v>4965.1918119400734</v>
      </c>
      <c r="B12" s="48">
        <f>'New Vestas G30 85L'!T17</f>
        <v>115.31834494014291</v>
      </c>
      <c r="C12" s="50">
        <f t="shared" si="0"/>
        <v>3.6959360305268816</v>
      </c>
      <c r="D12" s="50">
        <f t="shared" si="0"/>
        <v>2.0618984007251786</v>
      </c>
      <c r="E12" s="51">
        <f t="shared" si="6"/>
        <v>13.659943141746803</v>
      </c>
      <c r="F12" s="51">
        <f t="shared" si="6"/>
        <v>4.2514250149130488</v>
      </c>
      <c r="G12" s="52">
        <f t="shared" si="7"/>
        <v>7.6206445905259423</v>
      </c>
      <c r="H12" s="59" t="s">
        <v>67</v>
      </c>
      <c r="I12" s="58">
        <f>+I4/$I$2</f>
        <v>2.0877507625650802</v>
      </c>
      <c r="J12" s="51">
        <f t="shared" si="1"/>
        <v>4.3339093780140736</v>
      </c>
      <c r="K12" s="51">
        <f t="shared" si="2"/>
        <v>2.0092780546331008</v>
      </c>
      <c r="L12" s="55">
        <f t="shared" si="3"/>
        <v>1.0271101875729063E-2</v>
      </c>
      <c r="M12" s="51">
        <f t="shared" si="4"/>
        <v>1.9990069527573717</v>
      </c>
      <c r="N12" s="94">
        <f t="shared" si="8"/>
        <v>21572.942107458723</v>
      </c>
      <c r="O12" s="56">
        <f t="shared" si="9"/>
        <v>102.15933438420198</v>
      </c>
      <c r="P12" s="57">
        <f t="shared" si="5"/>
        <v>99.771603644548463</v>
      </c>
      <c r="R12" s="47"/>
      <c r="S12" s="47"/>
      <c r="T12" s="47"/>
    </row>
    <row r="13" spans="1:20" ht="12.75" customHeight="1" x14ac:dyDescent="0.35">
      <c r="A13" s="49">
        <f>'New Vestas G30 85L'!P18</f>
        <v>6827.1387414175997</v>
      </c>
      <c r="B13" s="48">
        <f>'New Vestas G30 85L'!T18</f>
        <v>111.80252250868433</v>
      </c>
      <c r="C13" s="50">
        <f t="shared" si="0"/>
        <v>3.8342387286931632</v>
      </c>
      <c r="D13" s="50">
        <f t="shared" si="0"/>
        <v>2.0484516022914017</v>
      </c>
      <c r="E13" s="51">
        <f t="shared" si="6"/>
        <v>14.701386628610564</v>
      </c>
      <c r="F13" s="51">
        <f t="shared" si="6"/>
        <v>4.1961539669302113</v>
      </c>
      <c r="G13" s="52">
        <f t="shared" si="7"/>
        <v>7.8542524673592569</v>
      </c>
      <c r="H13" s="59" t="s">
        <v>68</v>
      </c>
      <c r="I13" s="60">
        <f>+I10/I8</f>
        <v>-9.7707993371870541E-2</v>
      </c>
      <c r="J13" s="51">
        <f t="shared" si="1"/>
        <v>4.3291409450254568</v>
      </c>
      <c r="K13" s="51">
        <f t="shared" si="2"/>
        <v>2.0097439686519469</v>
      </c>
      <c r="L13" s="55">
        <f t="shared" si="3"/>
        <v>1.0222232454770032E-2</v>
      </c>
      <c r="M13" s="51">
        <f t="shared" si="4"/>
        <v>1.9995217361971769</v>
      </c>
      <c r="N13" s="94">
        <f t="shared" si="8"/>
        <v>21337.372794378094</v>
      </c>
      <c r="O13" s="56">
        <f t="shared" si="9"/>
        <v>102.26899040932364</v>
      </c>
      <c r="P13" s="57">
        <f t="shared" si="5"/>
        <v>99.889936304276233</v>
      </c>
      <c r="R13" s="47"/>
      <c r="S13" s="47"/>
      <c r="T13" s="47"/>
    </row>
    <row r="14" spans="1:20" ht="12.75" customHeight="1" x14ac:dyDescent="0.35">
      <c r="A14" s="49">
        <f>'New Vestas G30 85L'!P19</f>
        <v>7447.7877179101079</v>
      </c>
      <c r="B14" s="48">
        <f>'New Vestas G30 85L'!T19</f>
        <v>106.66033323073361</v>
      </c>
      <c r="C14" s="50">
        <f t="shared" si="0"/>
        <v>3.8720272895825629</v>
      </c>
      <c r="D14" s="50">
        <f t="shared" si="0"/>
        <v>2.0280029361820606</v>
      </c>
      <c r="E14" s="51">
        <f t="shared" si="6"/>
        <v>14.992595331272089</v>
      </c>
      <c r="F14" s="51">
        <f t="shared" si="6"/>
        <v>4.1127959091630588</v>
      </c>
      <c r="G14" s="52">
        <f t="shared" si="7"/>
        <v>7.8524827122505032</v>
      </c>
      <c r="H14" s="59" t="s">
        <v>69</v>
      </c>
      <c r="I14" s="60">
        <f>+I12-I13*I11</f>
        <v>2.4327356434143876</v>
      </c>
      <c r="J14" s="51">
        <f t="shared" si="1"/>
        <v>4.3243195741841634</v>
      </c>
      <c r="K14" s="51">
        <f t="shared" si="2"/>
        <v>2.0102150551221514</v>
      </c>
      <c r="L14" s="55">
        <f t="shared" si="3"/>
        <v>1.0172879836858875E-2</v>
      </c>
      <c r="M14" s="51">
        <f t="shared" si="4"/>
        <v>2.0000421752852926</v>
      </c>
      <c r="N14" s="94">
        <f t="shared" si="8"/>
        <v>21101.803481297382</v>
      </c>
      <c r="O14" s="56">
        <f t="shared" si="9"/>
        <v>102.37998347658933</v>
      </c>
      <c r="P14" s="57">
        <f t="shared" si="5"/>
        <v>100.00971168987491</v>
      </c>
      <c r="R14" s="47"/>
      <c r="S14" s="47"/>
      <c r="T14" s="47"/>
    </row>
    <row r="15" spans="1:20" ht="12.75" customHeight="1" thickBot="1" x14ac:dyDescent="0.4">
      <c r="A15" s="49">
        <f>'New Vestas G30 85L'!P20</f>
        <v>11792.330553357673</v>
      </c>
      <c r="B15" s="48">
        <f>'New Vestas G30 85L'!T20</f>
        <v>107.66485392543608</v>
      </c>
      <c r="C15" s="50">
        <f t="shared" si="0"/>
        <v>4.0715996444877671</v>
      </c>
      <c r="D15" s="50">
        <f t="shared" si="0"/>
        <v>2.0320739555048672</v>
      </c>
      <c r="E15" s="51">
        <f t="shared" si="6"/>
        <v>16.577923664992912</v>
      </c>
      <c r="F15" s="51">
        <f t="shared" si="6"/>
        <v>4.129324560641197</v>
      </c>
      <c r="G15" s="52">
        <f t="shared" si="7"/>
        <v>8.2737915948064682</v>
      </c>
      <c r="H15" s="61" t="s">
        <v>70</v>
      </c>
      <c r="I15" s="62">
        <f>+I10^2/(I8*I9)</f>
        <v>0.92359642148076704</v>
      </c>
      <c r="J15" s="51">
        <f t="shared" si="1"/>
        <v>4.3194440768787778</v>
      </c>
      <c r="K15" s="51">
        <f t="shared" si="2"/>
        <v>2.0106914301805503</v>
      </c>
      <c r="L15" s="55">
        <f t="shared" si="3"/>
        <v>1.0123034730169966E-2</v>
      </c>
      <c r="M15" s="51">
        <f t="shared" si="4"/>
        <v>2.0005683954503803</v>
      </c>
      <c r="N15" s="94">
        <f t="shared" si="8"/>
        <v>20866.23416821675</v>
      </c>
      <c r="O15" s="56">
        <f t="shared" si="9"/>
        <v>102.49234509038681</v>
      </c>
      <c r="P15" s="57">
        <f t="shared" si="5"/>
        <v>100.13096357158216</v>
      </c>
      <c r="R15" s="47"/>
      <c r="S15" s="47"/>
      <c r="T15" s="47"/>
    </row>
    <row r="16" spans="1:20" ht="12.75" customHeight="1" x14ac:dyDescent="0.35">
      <c r="A16" s="49">
        <f>'New Vestas G30 85L'!P21</f>
        <v>2482.5959059700367</v>
      </c>
      <c r="B16" s="48">
        <f>'New Vestas G30 85L'!T21</f>
        <v>126.05358399617073</v>
      </c>
      <c r="C16" s="50">
        <f t="shared" si="0"/>
        <v>3.3949060348629003</v>
      </c>
      <c r="D16" s="50">
        <f t="shared" si="0"/>
        <v>2.1005551981888417</v>
      </c>
      <c r="E16" s="51">
        <f t="shared" si="6"/>
        <v>11.52538698554854</v>
      </c>
      <c r="F16" s="51">
        <f t="shared" si="6"/>
        <v>4.4123321406381644</v>
      </c>
      <c r="G16" s="52">
        <f t="shared" si="7"/>
        <v>7.1311875188939347</v>
      </c>
      <c r="H16" s="63" t="s">
        <v>71</v>
      </c>
      <c r="I16" s="64"/>
      <c r="J16" s="51">
        <f t="shared" si="1"/>
        <v>4.314513224011165</v>
      </c>
      <c r="K16" s="51">
        <f t="shared" si="2"/>
        <v>2.0111732139198568</v>
      </c>
      <c r="L16" s="55">
        <f t="shared" si="3"/>
        <v>1.007268758906099E-2</v>
      </c>
      <c r="M16" s="51">
        <f t="shared" si="4"/>
        <v>2.0011005263307959</v>
      </c>
      <c r="N16" s="94">
        <f t="shared" si="8"/>
        <v>20630.6648551361</v>
      </c>
      <c r="O16" s="56">
        <f t="shared" si="9"/>
        <v>102.60610786377448</v>
      </c>
      <c r="P16" s="57">
        <f t="shared" si="5"/>
        <v>100.25372689562029</v>
      </c>
      <c r="R16" s="47"/>
      <c r="S16" s="47"/>
      <c r="T16" s="47"/>
    </row>
    <row r="17" spans="1:20" ht="12.75" customHeight="1" x14ac:dyDescent="0.35">
      <c r="A17" s="49">
        <f>'New Vestas G30 85L'!P22</f>
        <v>3103.2448824625453</v>
      </c>
      <c r="B17" s="48">
        <f>'New Vestas G30 85L'!T22</f>
        <v>122.3402146342103</v>
      </c>
      <c r="C17" s="50">
        <f t="shared" si="0"/>
        <v>3.4918160478709566</v>
      </c>
      <c r="D17" s="50">
        <f t="shared" si="0"/>
        <v>2.0875692380905999</v>
      </c>
      <c r="E17" s="51">
        <f t="shared" si="6"/>
        <v>12.192779312169147</v>
      </c>
      <c r="F17" s="51">
        <f t="shared" si="6"/>
        <v>4.3579453238221681</v>
      </c>
      <c r="G17" s="52">
        <f t="shared" si="7"/>
        <v>7.2894077666065025</v>
      </c>
      <c r="H17" s="53" t="s">
        <v>72</v>
      </c>
      <c r="I17" s="65">
        <f>(+I9-(+I10^2/I8))/($I$2-2)</f>
        <v>1.3234447035188177E-4</v>
      </c>
      <c r="J17" s="51">
        <f t="shared" si="1"/>
        <v>4.309525744136578</v>
      </c>
      <c r="K17" s="51">
        <f t="shared" si="2"/>
        <v>2.0116605305703854</v>
      </c>
      <c r="L17" s="55">
        <f t="shared" si="3"/>
        <v>1.00218286057929E-2</v>
      </c>
      <c r="M17" s="51">
        <f t="shared" si="4"/>
        <v>2.0016387019645925</v>
      </c>
      <c r="N17" s="94">
        <f t="shared" si="8"/>
        <v>20395.095542055413</v>
      </c>
      <c r="O17" s="56">
        <f t="shared" si="9"/>
        <v>102.72130557068465</v>
      </c>
      <c r="P17" s="57">
        <f t="shared" si="5"/>
        <v>100.37803783880246</v>
      </c>
      <c r="R17" s="47"/>
      <c r="S17" s="47"/>
      <c r="T17" s="47"/>
    </row>
    <row r="18" spans="1:20" ht="12.75" customHeight="1" x14ac:dyDescent="0.35">
      <c r="A18" s="49">
        <f>'New Vestas G30 85L'!P23</f>
        <v>3723.8938589550539</v>
      </c>
      <c r="B18" s="48">
        <f>'New Vestas G30 85L'!T23</f>
        <v>121.42984020955707</v>
      </c>
      <c r="C18" s="50">
        <f t="shared" si="0"/>
        <v>3.5709972939185817</v>
      </c>
      <c r="D18" s="50">
        <f t="shared" si="0"/>
        <v>2.0843254235258177</v>
      </c>
      <c r="E18" s="51">
        <f t="shared" si="6"/>
        <v>12.752021673173834</v>
      </c>
      <c r="F18" s="51">
        <f t="shared" si="6"/>
        <v>4.3444124711560796</v>
      </c>
      <c r="G18" s="52">
        <f t="shared" si="7"/>
        <v>7.4431204470563967</v>
      </c>
      <c r="H18" s="66" t="s">
        <v>53</v>
      </c>
      <c r="I18" s="67">
        <v>0.95</v>
      </c>
      <c r="J18" s="51">
        <f t="shared" si="1"/>
        <v>4.304480321495725</v>
      </c>
      <c r="K18" s="51">
        <f t="shared" si="2"/>
        <v>2.0121535086923363</v>
      </c>
      <c r="L18" s="55">
        <f t="shared" si="3"/>
        <v>9.9704477019969817E-3</v>
      </c>
      <c r="M18" s="51">
        <f t="shared" si="4"/>
        <v>2.0021830609903395</v>
      </c>
      <c r="N18" s="94">
        <f t="shared" si="8"/>
        <v>20159.526228974719</v>
      </c>
      <c r="O18" s="56">
        <f t="shared" si="9"/>
        <v>102.83797320122117</v>
      </c>
      <c r="P18" s="57">
        <f t="shared" si="5"/>
        <v>100.50393386632219</v>
      </c>
      <c r="R18" s="47"/>
      <c r="S18" s="47"/>
      <c r="T18" s="47"/>
    </row>
    <row r="19" spans="1:20" ht="12.75" customHeight="1" x14ac:dyDescent="0.35">
      <c r="A19" s="49">
        <f>'New Vestas G30 85L'!P24</f>
        <v>4965.1918119400734</v>
      </c>
      <c r="B19" s="48">
        <f>'New Vestas G30 85L'!T24</f>
        <v>120.2080219034444</v>
      </c>
      <c r="C19" s="50">
        <f t="shared" si="0"/>
        <v>3.6959360305268816</v>
      </c>
      <c r="D19" s="50">
        <f t="shared" si="0"/>
        <v>2.079933450629718</v>
      </c>
      <c r="E19" s="51">
        <f t="shared" si="6"/>
        <v>13.659943141746803</v>
      </c>
      <c r="F19" s="51">
        <f t="shared" si="6"/>
        <v>4.3261231590484455</v>
      </c>
      <c r="G19" s="52">
        <f t="shared" si="7"/>
        <v>7.6873009812804796</v>
      </c>
      <c r="H19" s="53" t="s">
        <v>73</v>
      </c>
      <c r="I19" s="68">
        <f>_xlfn.T.INV(1-(1-I18)/2,I2-2)</f>
        <v>2.0226909200367595</v>
      </c>
      <c r="J19" s="51">
        <f t="shared" si="1"/>
        <v>4.2993755939311695</v>
      </c>
      <c r="K19" s="51">
        <f t="shared" si="2"/>
        <v>2.012652281379379</v>
      </c>
      <c r="L19" s="55">
        <f t="shared" si="3"/>
        <v>9.9185345198895877E-3</v>
      </c>
      <c r="M19" s="51">
        <f t="shared" si="4"/>
        <v>2.0027337468594895</v>
      </c>
      <c r="N19" s="94">
        <f t="shared" si="8"/>
        <v>19923.956915894047</v>
      </c>
      <c r="O19" s="56">
        <f t="shared" si="9"/>
        <v>102.95614702027194</v>
      </c>
      <c r="P19" s="57">
        <f t="shared" si="5"/>
        <v>100.63145379294424</v>
      </c>
      <c r="R19" s="47"/>
      <c r="S19" s="47"/>
      <c r="T19" s="47"/>
    </row>
    <row r="20" spans="1:20" ht="12.75" customHeight="1" x14ac:dyDescent="0.35">
      <c r="A20" s="49">
        <f>'New Vestas G30 85L'!P25</f>
        <v>6206.4897649250906</v>
      </c>
      <c r="B20" s="48">
        <f>'New Vestas G30 85L'!T25</f>
        <v>119.65700580491604</v>
      </c>
      <c r="C20" s="50">
        <f t="shared" si="0"/>
        <v>3.7928460435349378</v>
      </c>
      <c r="D20" s="50">
        <f t="shared" si="0"/>
        <v>2.0779381312264675</v>
      </c>
      <c r="E20" s="51">
        <f t="shared" si="6"/>
        <v>14.385681109958631</v>
      </c>
      <c r="F20" s="51">
        <f t="shared" si="6"/>
        <v>4.3178268772049444</v>
      </c>
      <c r="G20" s="52">
        <f t="shared" si="7"/>
        <v>7.8812994197326898</v>
      </c>
      <c r="H20" s="53" t="s">
        <v>74</v>
      </c>
      <c r="I20" s="68">
        <f>_xlfn.F.INV(I18,2,I2-2)</f>
        <v>3.2380961351592941</v>
      </c>
      <c r="J20" s="51">
        <f t="shared" si="1"/>
        <v>4.2942101506798149</v>
      </c>
      <c r="K20" s="51">
        <f t="shared" si="2"/>
        <v>2.0131569864743453</v>
      </c>
      <c r="L20" s="55">
        <f t="shared" si="3"/>
        <v>9.8660784132370838E-3</v>
      </c>
      <c r="M20" s="51">
        <f t="shared" si="4"/>
        <v>2.0032909080611083</v>
      </c>
      <c r="N20" s="94">
        <f t="shared" si="8"/>
        <v>19688.3876028134</v>
      </c>
      <c r="O20" s="56">
        <f t="shared" si="9"/>
        <v>103.07586462967743</v>
      </c>
      <c r="P20" s="57">
        <f t="shared" si="5"/>
        <v>100.76063784784353</v>
      </c>
      <c r="R20" s="47"/>
      <c r="S20" s="47"/>
      <c r="T20" s="47"/>
    </row>
    <row r="21" spans="1:20" ht="12.75" customHeight="1" x14ac:dyDescent="0.35">
      <c r="A21" s="49">
        <f>'New Vestas G30 85L'!P26</f>
        <v>6827.1387414175997</v>
      </c>
      <c r="B21" s="48">
        <f>'New Vestas G30 85L'!T26</f>
        <v>119.15390415001005</v>
      </c>
      <c r="C21" s="50">
        <f t="shared" si="0"/>
        <v>3.8342387286931632</v>
      </c>
      <c r="D21" s="50">
        <f t="shared" si="0"/>
        <v>2.0761082768379739</v>
      </c>
      <c r="E21" s="51">
        <f t="shared" si="6"/>
        <v>14.701386628610564</v>
      </c>
      <c r="F21" s="51">
        <f t="shared" si="6"/>
        <v>4.3102255771551414</v>
      </c>
      <c r="G21" s="52">
        <f t="shared" si="7"/>
        <v>7.9602947600125873</v>
      </c>
      <c r="H21" s="53" t="s">
        <v>75</v>
      </c>
      <c r="I21" s="68">
        <f>I19*SQRT(I17)*(($I$8)^(-1/2))</f>
        <v>9.1021302300698572E-3</v>
      </c>
      <c r="J21" s="51">
        <f t="shared" si="1"/>
        <v>4.2889825300325191</v>
      </c>
      <c r="K21" s="51">
        <f t="shared" si="2"/>
        <v>2.0136677667979015</v>
      </c>
      <c r="L21" s="55">
        <f t="shared" si="3"/>
        <v>9.8130684380755527E-3</v>
      </c>
      <c r="M21" s="51">
        <f t="shared" si="4"/>
        <v>2.003854698359826</v>
      </c>
      <c r="N21" s="94">
        <f t="shared" si="8"/>
        <v>19452.818289732753</v>
      </c>
      <c r="O21" s="56">
        <f t="shared" si="9"/>
        <v>103.19716503421627</v>
      </c>
      <c r="P21" s="57">
        <f t="shared" si="5"/>
        <v>100.89152774334843</v>
      </c>
      <c r="R21" s="47"/>
      <c r="S21" s="47"/>
      <c r="T21" s="47"/>
    </row>
    <row r="22" spans="1:20" ht="12.75" customHeight="1" thickBot="1" x14ac:dyDescent="0.4">
      <c r="A22" s="49">
        <f>'New Vestas G30 85L'!P27</f>
        <v>7447.7877179101079</v>
      </c>
      <c r="B22" s="48">
        <f>'New Vestas G30 85L'!T27</f>
        <v>117.02171141820115</v>
      </c>
      <c r="C22" s="50">
        <f t="shared" si="0"/>
        <v>3.8720272895825629</v>
      </c>
      <c r="D22" s="50">
        <f t="shared" si="0"/>
        <v>2.0682664452876542</v>
      </c>
      <c r="E22" s="51">
        <f t="shared" si="6"/>
        <v>14.992595331272089</v>
      </c>
      <c r="F22" s="51">
        <f t="shared" si="6"/>
        <v>4.2777260887028294</v>
      </c>
      <c r="G22" s="52">
        <f t="shared" si="7"/>
        <v>8.0083841182817181</v>
      </c>
      <c r="H22" s="61" t="s">
        <v>76</v>
      </c>
      <c r="I22" s="69">
        <f>I19*SQRT(I17)*(1/I2+I11^2/I8)^(1/2)</f>
        <v>3.2342380753753945E-2</v>
      </c>
      <c r="J22" s="51">
        <f t="shared" si="1"/>
        <v>4.2836912168511336</v>
      </c>
      <c r="K22" s="51">
        <f t="shared" si="2"/>
        <v>2.0141847703911568</v>
      </c>
      <c r="L22" s="55">
        <f t="shared" si="3"/>
        <v>9.7594933431925084E-3</v>
      </c>
      <c r="M22" s="51">
        <f t="shared" si="4"/>
        <v>2.0044252770479645</v>
      </c>
      <c r="N22" s="94">
        <f t="shared" si="8"/>
        <v>19217.248976652048</v>
      </c>
      <c r="O22" s="56">
        <f t="shared" si="9"/>
        <v>103.32008871169282</v>
      </c>
      <c r="P22" s="57">
        <f t="shared" si="5"/>
        <v>101.02416674787922</v>
      </c>
      <c r="R22" s="47"/>
      <c r="S22" s="47"/>
      <c r="T22" s="47"/>
    </row>
    <row r="23" spans="1:20" ht="12.75" customHeight="1" x14ac:dyDescent="0.35">
      <c r="A23" s="49">
        <f>'New Vestas G30 85L'!P28</f>
        <v>8068.4366944026187</v>
      </c>
      <c r="B23" s="48">
        <f>'New Vestas G30 85L'!T28</f>
        <v>115.46449200568877</v>
      </c>
      <c r="C23" s="50">
        <f t="shared" si="0"/>
        <v>3.9067893958417748</v>
      </c>
      <c r="D23" s="50">
        <f t="shared" si="0"/>
        <v>2.0624484491901112</v>
      </c>
      <c r="E23" s="51">
        <f t="shared" si="6"/>
        <v>15.26300338346174</v>
      </c>
      <c r="F23" s="51">
        <f t="shared" si="6"/>
        <v>4.2536936055666947</v>
      </c>
      <c r="G23" s="52">
        <f t="shared" si="7"/>
        <v>8.0575517307662405</v>
      </c>
      <c r="H23" s="63" t="s">
        <v>77</v>
      </c>
      <c r="I23" s="70"/>
      <c r="J23" s="51">
        <f t="shared" si="1"/>
        <v>4.2783346399324067</v>
      </c>
      <c r="K23" s="51">
        <f t="shared" si="2"/>
        <v>2.0147081507732278</v>
      </c>
      <c r="L23" s="55">
        <f t="shared" si="3"/>
        <v>9.70534156038084E-3</v>
      </c>
      <c r="M23" s="51">
        <f t="shared" si="4"/>
        <v>2.0050028092128471</v>
      </c>
      <c r="N23" s="94">
        <f t="shared" si="8"/>
        <v>18981.679663571394</v>
      </c>
      <c r="O23" s="56">
        <f t="shared" si="9"/>
        <v>103.44467768743264</v>
      </c>
      <c r="P23" s="57">
        <f t="shared" si="5"/>
        <v>101.15859976338264</v>
      </c>
      <c r="R23" s="47"/>
      <c r="S23" s="47"/>
      <c r="T23" s="47"/>
    </row>
    <row r="24" spans="1:20" ht="12.75" customHeight="1" x14ac:dyDescent="0.35">
      <c r="A24" s="49">
        <f>'New Vestas G30 85L'!P29</f>
        <v>10551.032600372655</v>
      </c>
      <c r="B24" s="48">
        <f>'New Vestas G30 85L'!T29</f>
        <v>114.19475925699673</v>
      </c>
      <c r="C24" s="50">
        <f t="shared" si="0"/>
        <v>4.0232949649132115</v>
      </c>
      <c r="D24" s="50">
        <f t="shared" si="0"/>
        <v>2.0576461732794136</v>
      </c>
      <c r="E24" s="51">
        <f t="shared" si="6"/>
        <v>16.186902374696</v>
      </c>
      <c r="F24" s="51">
        <f t="shared" si="6"/>
        <v>4.2339077744114144</v>
      </c>
      <c r="G24" s="52">
        <f t="shared" si="7"/>
        <v>8.2785174885280028</v>
      </c>
      <c r="H24" s="66" t="s">
        <v>78</v>
      </c>
      <c r="I24" s="71">
        <f>10^(MAX(C:C))</f>
        <v>23928.635238265408</v>
      </c>
      <c r="J24" s="51">
        <f t="shared" si="1"/>
        <v>4.272911169207271</v>
      </c>
      <c r="K24" s="51">
        <f t="shared" si="2"/>
        <v>2.015238067214892</v>
      </c>
      <c r="L24" s="55">
        <f t="shared" si="3"/>
        <v>9.6506011944789104E-3</v>
      </c>
      <c r="M24" s="51">
        <f t="shared" si="4"/>
        <v>2.0055874660204132</v>
      </c>
      <c r="N24" s="94">
        <f t="shared" si="8"/>
        <v>18746.110350490737</v>
      </c>
      <c r="O24" s="56">
        <f t="shared" si="9"/>
        <v>103.57097561352506</v>
      </c>
      <c r="P24" s="57">
        <f t="shared" si="5"/>
        <v>101.29487340760407</v>
      </c>
      <c r="R24" s="47"/>
      <c r="S24" s="47"/>
      <c r="T24" s="47"/>
    </row>
    <row r="25" spans="1:20" ht="12.75" customHeight="1" thickBot="1" x14ac:dyDescent="0.4">
      <c r="A25" s="49">
        <f>'New Vestas G30 85L'!P30</f>
        <v>11792.330553357673</v>
      </c>
      <c r="B25" s="48">
        <f>'New Vestas G30 85L'!T30</f>
        <v>113.21251317212499</v>
      </c>
      <c r="C25" s="50">
        <f t="shared" si="0"/>
        <v>4.0715996444877671</v>
      </c>
      <c r="D25" s="50">
        <f t="shared" si="0"/>
        <v>2.0538944312804035</v>
      </c>
      <c r="E25" s="51">
        <f t="shared" si="6"/>
        <v>16.577923664992912</v>
      </c>
      <c r="F25" s="51">
        <f t="shared" si="6"/>
        <v>4.2184823348446523</v>
      </c>
      <c r="G25" s="52">
        <f t="shared" si="7"/>
        <v>8.362635836216695</v>
      </c>
      <c r="H25" s="72" t="s">
        <v>79</v>
      </c>
      <c r="I25" s="73">
        <f>10^(MIN(C:C))</f>
        <v>371.70393019857596</v>
      </c>
      <c r="J25" s="51">
        <f t="shared" si="1"/>
        <v>4.2674191127630463</v>
      </c>
      <c r="K25" s="51">
        <f t="shared" si="2"/>
        <v>2.0157746850295424</v>
      </c>
      <c r="L25" s="55">
        <f t="shared" si="3"/>
        <v>9.5952600132152652E-3</v>
      </c>
      <c r="M25" s="51">
        <f t="shared" si="4"/>
        <v>2.006179425016327</v>
      </c>
      <c r="N25" s="94">
        <f t="shared" si="8"/>
        <v>18510.541037410054</v>
      </c>
      <c r="O25" s="56">
        <f t="shared" si="9"/>
        <v>103.69902785317656</v>
      </c>
      <c r="P25" s="57">
        <f t="shared" si="5"/>
        <v>101.43303610155678</v>
      </c>
      <c r="R25" s="47"/>
      <c r="S25" s="47"/>
      <c r="T25" s="47"/>
    </row>
    <row r="26" spans="1:20" ht="12.75" customHeight="1" x14ac:dyDescent="0.35">
      <c r="A26" s="49">
        <f>'New Vestas G30 85L'!P31</f>
        <v>743.40786039715169</v>
      </c>
      <c r="B26" s="48">
        <f>'New Vestas G30 85L'!T31</f>
        <v>142.93996264007947</v>
      </c>
      <c r="C26" s="50">
        <f t="shared" si="0"/>
        <v>2.871227148781581</v>
      </c>
      <c r="D26" s="50">
        <f t="shared" si="0"/>
        <v>2.1551536642545184</v>
      </c>
      <c r="E26" s="51">
        <f t="shared" si="6"/>
        <v>8.2439453399004066</v>
      </c>
      <c r="F26" s="51">
        <f t="shared" si="6"/>
        <v>4.6446873165496774</v>
      </c>
      <c r="G26" s="52">
        <f t="shared" si="7"/>
        <v>6.1879357106036776</v>
      </c>
      <c r="H26" s="63" t="s">
        <v>80</v>
      </c>
      <c r="I26" s="70"/>
      <c r="J26" s="51">
        <f t="shared" si="1"/>
        <v>4.2618567136749199</v>
      </c>
      <c r="K26" s="51">
        <f t="shared" si="2"/>
        <v>2.0163181758827768</v>
      </c>
      <c r="L26" s="55">
        <f t="shared" si="3"/>
        <v>9.5393054368812166E-3</v>
      </c>
      <c r="M26" s="51">
        <f t="shared" si="4"/>
        <v>2.0067788704458955</v>
      </c>
      <c r="N26" s="94">
        <f t="shared" si="8"/>
        <v>18274.971724329374</v>
      </c>
      <c r="O26" s="56">
        <f t="shared" si="9"/>
        <v>103.82888157057653</v>
      </c>
      <c r="P26" s="57">
        <f t="shared" si="5"/>
        <v>101.5731381625863</v>
      </c>
      <c r="R26" s="47" t="s">
        <v>81</v>
      </c>
      <c r="S26" s="47"/>
      <c r="T26" s="47"/>
    </row>
    <row r="27" spans="1:20" ht="12.75" customHeight="1" x14ac:dyDescent="0.35">
      <c r="A27" s="49">
        <f>'New Vestas G30 85L'!P32</f>
        <v>1115.1117905957276</v>
      </c>
      <c r="B27" s="48">
        <f>'New Vestas G30 85L'!T32</f>
        <v>134.83928095904344</v>
      </c>
      <c r="C27" s="50">
        <f t="shared" si="0"/>
        <v>3.0473184078372624</v>
      </c>
      <c r="D27" s="50">
        <f t="shared" si="0"/>
        <v>2.129816427945995</v>
      </c>
      <c r="E27" s="51">
        <f t="shared" si="6"/>
        <v>9.2861494787438286</v>
      </c>
      <c r="F27" s="51">
        <f t="shared" si="6"/>
        <v>4.5361180167486381</v>
      </c>
      <c r="G27" s="52">
        <f t="shared" si="7"/>
        <v>6.4902288061940352</v>
      </c>
      <c r="H27" s="53" t="str">
        <f>"m lower " &amp; TEXT(I18,"##%") &amp; " conf"</f>
        <v>m lower 95% conf</v>
      </c>
      <c r="I27" s="74">
        <f>-I13-I21</f>
        <v>8.8605863141800689E-2</v>
      </c>
      <c r="J27" s="51">
        <f t="shared" si="1"/>
        <v>4.2562221466318766</v>
      </c>
      <c r="K27" s="51">
        <f t="shared" si="2"/>
        <v>2.0168687181220717</v>
      </c>
      <c r="L27" s="55">
        <f t="shared" si="3"/>
        <v>9.482724527861015E-3</v>
      </c>
      <c r="M27" s="51">
        <f t="shared" si="4"/>
        <v>2.0073859935942107</v>
      </c>
      <c r="N27" s="94">
        <f t="shared" si="8"/>
        <v>18039.402411248688</v>
      </c>
      <c r="O27" s="56">
        <f t="shared" si="9"/>
        <v>103.96058582670928</v>
      </c>
      <c r="P27" s="57">
        <f t="shared" si="5"/>
        <v>101.71523190346181</v>
      </c>
      <c r="R27" s="47"/>
      <c r="S27" s="47"/>
      <c r="T27" s="47"/>
    </row>
    <row r="28" spans="1:20" ht="12.75" customHeight="1" x14ac:dyDescent="0.35">
      <c r="A28" s="49">
        <f>'New Vestas G30 85L'!P33</f>
        <v>1486.8157207943034</v>
      </c>
      <c r="B28" s="48">
        <f>'New Vestas G30 85L'!T33</f>
        <v>129.61118143440314</v>
      </c>
      <c r="C28" s="50">
        <f t="shared" si="0"/>
        <v>3.1722571444455623</v>
      </c>
      <c r="D28" s="50">
        <f t="shared" si="0"/>
        <v>2.1126424693261812</v>
      </c>
      <c r="E28" s="51">
        <f t="shared" si="6"/>
        <v>10.063215390485913</v>
      </c>
      <c r="F28" s="51">
        <f t="shared" si="6"/>
        <v>4.4632582032006241</v>
      </c>
      <c r="G28" s="52">
        <f t="shared" si="7"/>
        <v>6.7018451669790933</v>
      </c>
      <c r="H28" s="75" t="s">
        <v>82</v>
      </c>
      <c r="I28" s="76">
        <f>-I13</f>
        <v>9.7707993371870541E-2</v>
      </c>
      <c r="J28" s="51">
        <f t="shared" si="1"/>
        <v>4.2505135143408603</v>
      </c>
      <c r="K28" s="51">
        <f t="shared" si="2"/>
        <v>2.0174264971281248</v>
      </c>
      <c r="L28" s="55">
        <f t="shared" si="3"/>
        <v>9.4255039800564058E-3</v>
      </c>
      <c r="M28" s="51">
        <f t="shared" si="4"/>
        <v>2.0080009931480682</v>
      </c>
      <c r="N28" s="94">
        <f t="shared" si="8"/>
        <v>17803.833098168048</v>
      </c>
      <c r="O28" s="56">
        <f t="shared" si="9"/>
        <v>104.09419168159215</v>
      </c>
      <c r="P28" s="57">
        <f t="shared" si="5"/>
        <v>101.85937173796516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G30 85L'!P34</f>
        <v>2230.2235811914552</v>
      </c>
      <c r="B29" s="48">
        <f>'New Vestas G30 85L'!T34</f>
        <v>123.86601712161163</v>
      </c>
      <c r="C29" s="50">
        <f t="shared" si="0"/>
        <v>3.3483484035012432</v>
      </c>
      <c r="D29" s="50">
        <f t="shared" si="0"/>
        <v>2.092952173196887</v>
      </c>
      <c r="E29" s="51">
        <f t="shared" si="6"/>
        <v>11.211437031229323</v>
      </c>
      <c r="F29" s="51">
        <f t="shared" si="6"/>
        <v>4.3804487992895718</v>
      </c>
      <c r="G29" s="52">
        <f t="shared" si="7"/>
        <v>7.0079330677282536</v>
      </c>
      <c r="H29" s="77" t="str">
        <f>"m upper " &amp; TEXT(I18,"##%") &amp; " conf"</f>
        <v>m upper 95% conf</v>
      </c>
      <c r="I29" s="74">
        <f>-I13+I21</f>
        <v>0.10681012360194039</v>
      </c>
      <c r="J29" s="51">
        <f t="shared" si="1"/>
        <v>4.2447288436914343</v>
      </c>
      <c r="K29" s="51">
        <f t="shared" si="2"/>
        <v>2.0179917056895973</v>
      </c>
      <c r="L29" s="55">
        <f t="shared" si="3"/>
        <v>9.3676301082507574E-3</v>
      </c>
      <c r="M29" s="51">
        <f t="shared" si="4"/>
        <v>2.0086240755813467</v>
      </c>
      <c r="N29" s="94">
        <f t="shared" si="8"/>
        <v>17568.26378508738</v>
      </c>
      <c r="O29" s="56">
        <f t="shared" si="9"/>
        <v>104.22975230345948</v>
      </c>
      <c r="P29" s="57">
        <f t="shared" si="5"/>
        <v>102.00561429349054</v>
      </c>
      <c r="R29" s="47"/>
      <c r="S29" s="47"/>
      <c r="T29" s="47"/>
    </row>
    <row r="30" spans="1:20" ht="12.75" customHeight="1" x14ac:dyDescent="0.35">
      <c r="A30" s="49">
        <f>'New Vestas G30 85L'!P35</f>
        <v>2973.6314415886068</v>
      </c>
      <c r="B30" s="48">
        <f>'New Vestas G30 85L'!T35</f>
        <v>116.62711008749434</v>
      </c>
      <c r="C30" s="50">
        <f t="shared" si="0"/>
        <v>3.4732871401095435</v>
      </c>
      <c r="D30" s="50">
        <f t="shared" si="0"/>
        <v>2.0667995143413949</v>
      </c>
      <c r="E30" s="51">
        <f t="shared" si="6"/>
        <v>12.063723557650333</v>
      </c>
      <c r="F30" s="51">
        <f t="shared" si="6"/>
        <v>4.2716602324818256</v>
      </c>
      <c r="G30" s="52">
        <f t="shared" si="7"/>
        <v>7.1785881743466167</v>
      </c>
      <c r="H30" s="77" t="str">
        <f>"C lower " &amp; TEXT(I18,"##%") &amp; " conf"</f>
        <v>C lower 95% conf</v>
      </c>
      <c r="I30" s="78">
        <f>10^(I14-I22)</f>
        <v>251.41620269137789</v>
      </c>
      <c r="J30" s="51">
        <f t="shared" si="1"/>
        <v>4.2388660816615538</v>
      </c>
      <c r="K30" s="51">
        <f t="shared" si="2"/>
        <v>2.0185645444031537</v>
      </c>
      <c r="L30" s="55">
        <f t="shared" si="3"/>
        <v>9.3090888374683066E-3</v>
      </c>
      <c r="M30" s="51">
        <f t="shared" si="4"/>
        <v>2.0092554555656852</v>
      </c>
      <c r="N30" s="94">
        <f t="shared" si="8"/>
        <v>17332.694472006689</v>
      </c>
      <c r="O30" s="56">
        <f t="shared" si="9"/>
        <v>104.36732308546603</v>
      </c>
      <c r="P30" s="57">
        <f t="shared" si="5"/>
        <v>102.15401853121763</v>
      </c>
      <c r="R30" s="47"/>
      <c r="S30" s="47"/>
      <c r="T30" s="47"/>
    </row>
    <row r="31" spans="1:20" ht="12.75" customHeight="1" x14ac:dyDescent="0.35">
      <c r="A31" s="49">
        <f>'New Vestas G30 85L'!P36</f>
        <v>743.40786039715169</v>
      </c>
      <c r="B31" s="48">
        <f>'New Vestas G30 85L'!T36</f>
        <v>146.77930375930265</v>
      </c>
      <c r="C31" s="50">
        <f t="shared" si="0"/>
        <v>2.871227148781581</v>
      </c>
      <c r="D31" s="50">
        <f t="shared" si="0"/>
        <v>2.1666648233131256</v>
      </c>
      <c r="E31" s="51">
        <f t="shared" si="6"/>
        <v>8.2439453399004066</v>
      </c>
      <c r="F31" s="51">
        <f t="shared" si="6"/>
        <v>4.6944364565824976</v>
      </c>
      <c r="G31" s="52">
        <f t="shared" si="7"/>
        <v>6.2209868630066936</v>
      </c>
      <c r="H31" s="75" t="s">
        <v>83</v>
      </c>
      <c r="I31" s="79">
        <f>10^I14</f>
        <v>270.85424306569166</v>
      </c>
      <c r="J31" s="51">
        <f t="shared" si="1"/>
        <v>4.232923090943185</v>
      </c>
      <c r="K31" s="51">
        <f t="shared" si="2"/>
        <v>2.0191452221008732</v>
      </c>
      <c r="L31" s="55">
        <f t="shared" si="3"/>
        <v>9.2498656923956958E-3</v>
      </c>
      <c r="M31" s="51">
        <f t="shared" si="4"/>
        <v>2.0098953564084776</v>
      </c>
      <c r="N31" s="94">
        <f t="shared" si="8"/>
        <v>17097.125158926043</v>
      </c>
      <c r="O31" s="56">
        <f t="shared" si="9"/>
        <v>104.50696177053771</v>
      </c>
      <c r="P31" s="57">
        <f t="shared" si="5"/>
        <v>102.30464587447372</v>
      </c>
      <c r="R31" s="47"/>
      <c r="S31" s="47"/>
      <c r="T31" s="47"/>
    </row>
    <row r="32" spans="1:20" ht="12.75" customHeight="1" thickBot="1" x14ac:dyDescent="0.4">
      <c r="A32" s="49">
        <f>'New Vestas G30 85L'!P37</f>
        <v>1115.1117905957276</v>
      </c>
      <c r="B32" s="48">
        <f>'New Vestas G30 85L'!T37</f>
        <v>138.46534309984125</v>
      </c>
      <c r="C32" s="50">
        <f t="shared" si="0"/>
        <v>3.0473184078372624</v>
      </c>
      <c r="D32" s="50">
        <f t="shared" si="0"/>
        <v>2.1413410861516664</v>
      </c>
      <c r="E32" s="51">
        <f t="shared" si="6"/>
        <v>9.2861494787438286</v>
      </c>
      <c r="F32" s="51">
        <f t="shared" si="6"/>
        <v>4.5853416472411981</v>
      </c>
      <c r="G32" s="52">
        <f t="shared" si="7"/>
        <v>6.5253481092882097</v>
      </c>
      <c r="H32" s="61" t="str">
        <f>"C upper " &amp; TEXT(I18,"##%") &amp; " conf"</f>
        <v>C upper 95% conf</v>
      </c>
      <c r="I32" s="80">
        <f>10^(I14+I22)</f>
        <v>291.79511981072733</v>
      </c>
      <c r="J32" s="51">
        <f t="shared" si="1"/>
        <v>4.2268976452644393</v>
      </c>
      <c r="K32" s="51">
        <f t="shared" si="2"/>
        <v>2.0197339563073147</v>
      </c>
      <c r="L32" s="55">
        <f t="shared" si="3"/>
        <v>9.1899457869469795E-3</v>
      </c>
      <c r="M32" s="51">
        <f t="shared" si="4"/>
        <v>2.0105440105203676</v>
      </c>
      <c r="N32" s="94">
        <f t="shared" si="8"/>
        <v>16861.555845845374</v>
      </c>
      <c r="O32" s="56">
        <f t="shared" si="9"/>
        <v>104.64872858505875</v>
      </c>
      <c r="P32" s="57">
        <f t="shared" si="5"/>
        <v>102.45756034595334</v>
      </c>
      <c r="R32" s="47"/>
      <c r="S32" s="47"/>
      <c r="T32" s="47"/>
    </row>
    <row r="33" spans="1:20" ht="12.75" customHeight="1" x14ac:dyDescent="0.35">
      <c r="A33" s="49">
        <f>'New Vestas G30 85L'!P38</f>
        <v>1486.8157207943034</v>
      </c>
      <c r="B33" s="48">
        <f>'New Vestas G30 85L'!T38</f>
        <v>136.13513267246216</v>
      </c>
      <c r="C33" s="50">
        <f t="shared" si="0"/>
        <v>3.1722571444455623</v>
      </c>
      <c r="D33" s="50">
        <f t="shared" si="0"/>
        <v>2.1339702189343659</v>
      </c>
      <c r="E33" s="51">
        <f t="shared" si="6"/>
        <v>10.063215390485913</v>
      </c>
      <c r="F33" s="51">
        <f t="shared" si="6"/>
        <v>4.5538288952987855</v>
      </c>
      <c r="G33" s="52">
        <f t="shared" si="7"/>
        <v>6.7695022730486025</v>
      </c>
      <c r="H33" s="63" t="s">
        <v>84</v>
      </c>
      <c r="I33" s="81"/>
      <c r="J33" s="51">
        <f t="shared" si="1"/>
        <v>4.2207874243826229</v>
      </c>
      <c r="K33" s="51">
        <f t="shared" si="2"/>
        <v>2.0203309737287358</v>
      </c>
      <c r="L33" s="55">
        <f t="shared" si="3"/>
        <v>9.1293138140700666E-3</v>
      </c>
      <c r="M33" s="51">
        <f t="shared" si="4"/>
        <v>2.0112016599146658</v>
      </c>
      <c r="N33" s="94">
        <f t="shared" si="8"/>
        <v>16625.98653276468</v>
      </c>
      <c r="O33" s="56">
        <f t="shared" si="9"/>
        <v>104.79268638215456</v>
      </c>
      <c r="P33" s="57">
        <f t="shared" si="5"/>
        <v>102.6128287145402</v>
      </c>
      <c r="R33" s="47"/>
      <c r="S33" s="47"/>
      <c r="T33" s="47"/>
    </row>
    <row r="34" spans="1:20" ht="12.75" customHeight="1" thickBot="1" x14ac:dyDescent="0.4">
      <c r="A34" s="49">
        <f>'New Vestas G30 85L'!P39</f>
        <v>1858.5196509928794</v>
      </c>
      <c r="B34" s="48">
        <f>'New Vestas G30 85L'!T39</f>
        <v>127.64856384573423</v>
      </c>
      <c r="C34" s="50">
        <f t="shared" si="0"/>
        <v>3.2691671574536185</v>
      </c>
      <c r="D34" s="50">
        <f t="shared" si="0"/>
        <v>2.1060159329876531</v>
      </c>
      <c r="E34" s="51">
        <f t="shared" si="6"/>
        <v>10.687453903373372</v>
      </c>
      <c r="F34" s="51">
        <f t="shared" si="6"/>
        <v>4.4353031099978546</v>
      </c>
      <c r="G34" s="52">
        <f t="shared" si="7"/>
        <v>6.8849181211972761</v>
      </c>
      <c r="H34" s="82" t="str">
        <f>"G27 Fit: S = " &amp; TEXT(I31,"0,00 E+00 ") &amp; " * N ^ -" &amp; TEXT(I28,"0,00")</f>
        <v>G27 Fit: S = 271 E+00  * N ^ -000</v>
      </c>
      <c r="I34" s="62"/>
      <c r="J34" s="51">
        <f t="shared" si="1"/>
        <v>4.2145900087199992</v>
      </c>
      <c r="K34" s="51">
        <f t="shared" si="2"/>
        <v>2.0209365107772221</v>
      </c>
      <c r="L34" s="55">
        <f t="shared" si="3"/>
        <v>9.0679540359116795E-3</v>
      </c>
      <c r="M34" s="51">
        <f t="shared" si="4"/>
        <v>2.0118685567413106</v>
      </c>
      <c r="N34" s="94">
        <f t="shared" si="8"/>
        <v>16390.41721968403</v>
      </c>
      <c r="O34" s="56">
        <f t="shared" si="9"/>
        <v>104.93890079540526</v>
      </c>
      <c r="P34" s="57">
        <f t="shared" si="5"/>
        <v>102.77052065253525</v>
      </c>
      <c r="R34" s="47"/>
      <c r="S34" s="47"/>
      <c r="T34" s="47"/>
    </row>
    <row r="35" spans="1:20" ht="12.75" customHeight="1" thickBot="1" x14ac:dyDescent="0.4">
      <c r="A35" s="49">
        <f>'New Vestas G30 85L'!P40</f>
        <v>2601.9275113900312</v>
      </c>
      <c r="B35" s="48">
        <f>'New Vestas G30 85L'!T40</f>
        <v>125.692337807626</v>
      </c>
      <c r="C35" s="50">
        <f t="shared" si="0"/>
        <v>3.4152951931318567</v>
      </c>
      <c r="D35" s="50">
        <f t="shared" si="0"/>
        <v>2.0993088039445751</v>
      </c>
      <c r="E35" s="51">
        <f t="shared" si="6"/>
        <v>11.664241256229566</v>
      </c>
      <c r="F35" s="51">
        <f t="shared" si="6"/>
        <v>4.4070974543192021</v>
      </c>
      <c r="G35" s="52">
        <f t="shared" si="7"/>
        <v>7.1697592670112948</v>
      </c>
      <c r="H35" s="82" t="str">
        <f>"G27 Fit: N = " &amp; TEXT((1/I31)^(-1/I28),"0,00 E+00 ") &amp; " * S ^ -" &amp; TEXT(1/I28,"0,00")</f>
        <v>G27 Fit: N = 008 E+24  * S ^ -010</v>
      </c>
      <c r="I35" s="84"/>
      <c r="J35" s="51">
        <f t="shared" si="1"/>
        <v>4.2083028736112409</v>
      </c>
      <c r="K35" s="51">
        <f t="shared" si="2"/>
        <v>2.0215508141327567</v>
      </c>
      <c r="L35" s="55">
        <f t="shared" si="3"/>
        <v>9.0058502744812044E-3</v>
      </c>
      <c r="M35" s="51">
        <f t="shared" si="4"/>
        <v>2.0125449638582755</v>
      </c>
      <c r="N35" s="94">
        <f t="shared" si="8"/>
        <v>16154.847906603394</v>
      </c>
      <c r="O35" s="56">
        <f t="shared" si="9"/>
        <v>105.08744040391279</v>
      </c>
      <c r="P35" s="57">
        <f t="shared" si="5"/>
        <v>102.93070890418494</v>
      </c>
      <c r="R35" s="47"/>
      <c r="S35" s="47"/>
      <c r="T35" s="47"/>
    </row>
    <row r="36" spans="1:20" ht="12.75" customHeight="1" x14ac:dyDescent="0.35">
      <c r="A36" s="49">
        <f>'New Vestas G30 85L'!P41</f>
        <v>2973.6314415886068</v>
      </c>
      <c r="B36" s="48">
        <f>'New Vestas G30 85L'!T41</f>
        <v>124.16763221579347</v>
      </c>
      <c r="C36" s="50">
        <f t="shared" si="0"/>
        <v>3.4732871401095435</v>
      </c>
      <c r="D36" s="50">
        <f t="shared" si="0"/>
        <v>2.0940083995272856</v>
      </c>
      <c r="E36" s="51">
        <f t="shared" si="6"/>
        <v>12.063723557650333</v>
      </c>
      <c r="F36" s="51">
        <f t="shared" si="6"/>
        <v>4.3848711772908242</v>
      </c>
      <c r="G36" s="52">
        <f t="shared" si="7"/>
        <v>7.2730924453594881</v>
      </c>
      <c r="H36" s="83"/>
      <c r="I36" s="83"/>
      <c r="J36" s="51">
        <f t="shared" si="1"/>
        <v>4.2019233831283396</v>
      </c>
      <c r="K36" s="51">
        <f t="shared" si="2"/>
        <v>2.0221741413465759</v>
      </c>
      <c r="L36" s="55">
        <f t="shared" si="3"/>
        <v>8.9429859029808417E-3</v>
      </c>
      <c r="M36" s="51">
        <f t="shared" si="4"/>
        <v>2.0132311554435951</v>
      </c>
      <c r="N36" s="94">
        <f t="shared" si="8"/>
        <v>15919.278593522678</v>
      </c>
      <c r="O36" s="56">
        <f t="shared" si="9"/>
        <v>105.23837690973744</v>
      </c>
      <c r="P36" s="57">
        <f t="shared" si="5"/>
        <v>103.09346946648843</v>
      </c>
      <c r="R36" s="47"/>
      <c r="S36" s="47"/>
      <c r="T36" s="47"/>
    </row>
    <row r="37" spans="1:20" ht="12.75" customHeight="1" x14ac:dyDescent="0.35">
      <c r="A37" s="49">
        <f>'New Vestas G30 85L'!P42</f>
        <v>371.70393019857585</v>
      </c>
      <c r="B37" s="48">
        <f>'New Vestas G30 85L'!T42</f>
        <v>149.57811851645184</v>
      </c>
      <c r="C37" s="50">
        <f t="shared" si="0"/>
        <v>2.5701971531175998</v>
      </c>
      <c r="D37" s="50">
        <f t="shared" si="0"/>
        <v>2.1748680661045463</v>
      </c>
      <c r="E37" s="51">
        <f t="shared" si="6"/>
        <v>6.6059134058938147</v>
      </c>
      <c r="F37" s="51">
        <f t="shared" si="6"/>
        <v>4.730051104961329</v>
      </c>
      <c r="G37" s="52">
        <f t="shared" si="7"/>
        <v>5.5898397119082848</v>
      </c>
      <c r="H37" s="95">
        <f>1/I28</f>
        <v>10.234577187498491</v>
      </c>
      <c r="I37" s="85">
        <f>I31-I30</f>
        <v>19.438040374313772</v>
      </c>
      <c r="J37" s="51">
        <f t="shared" si="1"/>
        <v>4.1954487834451806</v>
      </c>
      <c r="K37" s="51">
        <f t="shared" si="2"/>
        <v>2.0228067614895036</v>
      </c>
      <c r="L37" s="55">
        <f t="shared" si="3"/>
        <v>8.8793438380017197E-3</v>
      </c>
      <c r="M37" s="51">
        <f t="shared" si="4"/>
        <v>2.0139274176515016</v>
      </c>
      <c r="N37" s="94">
        <f t="shared" si="8"/>
        <v>15683.709280442014</v>
      </c>
      <c r="O37" s="56">
        <f t="shared" si="9"/>
        <v>105.39178532883014</v>
      </c>
      <c r="P37" s="57">
        <f t="shared" si="5"/>
        <v>103.25888178336237</v>
      </c>
      <c r="R37" s="47"/>
      <c r="S37" s="47"/>
      <c r="T37" s="47"/>
    </row>
    <row r="38" spans="1:20" ht="12.75" customHeight="1" x14ac:dyDescent="0.35">
      <c r="A38" s="49">
        <f>'New Vestas G30 85L'!P43</f>
        <v>743.40786039715169</v>
      </c>
      <c r="B38" s="48">
        <f>'New Vestas G30 85L'!T43</f>
        <v>146.47767934153356</v>
      </c>
      <c r="C38" s="50">
        <f t="shared" si="0"/>
        <v>2.871227148781581</v>
      </c>
      <c r="D38" s="50">
        <f t="shared" si="0"/>
        <v>2.1657714507833314</v>
      </c>
      <c r="E38" s="51">
        <f t="shared" si="6"/>
        <v>8.2439453399004066</v>
      </c>
      <c r="F38" s="51">
        <f t="shared" si="6"/>
        <v>4.690565977028136</v>
      </c>
      <c r="G38" s="52">
        <f t="shared" si="7"/>
        <v>6.2184217875451733</v>
      </c>
      <c r="H38" s="95">
        <f>((1/I27)-(1/I29))/2</f>
        <v>0.96176322465839004</v>
      </c>
      <c r="I38" s="85">
        <f>I32-I31</f>
        <v>20.940876745035666</v>
      </c>
      <c r="J38" s="51">
        <f t="shared" si="1"/>
        <v>4.1888761956999572</v>
      </c>
      <c r="K38" s="51">
        <f t="shared" si="2"/>
        <v>2.02344895584935</v>
      </c>
      <c r="L38" s="55">
        <f t="shared" si="3"/>
        <v>8.8149065328232291E-3</v>
      </c>
      <c r="M38" s="51">
        <f t="shared" si="4"/>
        <v>2.0146340493165269</v>
      </c>
      <c r="N38" s="94">
        <f t="shared" si="8"/>
        <v>15448.139967361372</v>
      </c>
      <c r="O38" s="56">
        <f t="shared" si="9"/>
        <v>105.54774419670794</v>
      </c>
      <c r="P38" s="57">
        <f t="shared" si="5"/>
        <v>103.42702895435647</v>
      </c>
      <c r="R38" s="47"/>
      <c r="S38" s="47"/>
      <c r="T38" s="47"/>
    </row>
    <row r="39" spans="1:20" ht="12.75" customHeight="1" x14ac:dyDescent="0.35">
      <c r="A39" s="49">
        <f>'New Vestas G30 85L'!P44</f>
        <v>1115.1117905957276</v>
      </c>
      <c r="B39" s="48">
        <f>'New Vestas G30 85L'!T44</f>
        <v>140.53517091794299</v>
      </c>
      <c r="C39" s="50">
        <f t="shared" si="0"/>
        <v>3.0473184078372624</v>
      </c>
      <c r="D39" s="50">
        <f t="shared" si="0"/>
        <v>2.1477850261919325</v>
      </c>
      <c r="E39" s="51">
        <f t="shared" si="6"/>
        <v>9.2861494787438286</v>
      </c>
      <c r="F39" s="51">
        <f t="shared" si="6"/>
        <v>4.6129805187342798</v>
      </c>
      <c r="G39" s="52">
        <f t="shared" si="7"/>
        <v>6.5449848463919125</v>
      </c>
      <c r="H39" s="86"/>
      <c r="I39" s="86"/>
      <c r="J39" s="51">
        <f t="shared" si="1"/>
        <v>4.1822026083091464</v>
      </c>
      <c r="K39" s="51">
        <f t="shared" si="2"/>
        <v>2.0241010186818977</v>
      </c>
      <c r="L39" s="55">
        <f t="shared" si="3"/>
        <v>8.7496559720982789E-3</v>
      </c>
      <c r="M39" s="51">
        <f t="shared" si="4"/>
        <v>2.0153513627097994</v>
      </c>
      <c r="N39" s="94">
        <f t="shared" si="8"/>
        <v>15212.570654280709</v>
      </c>
      <c r="O39" s="56">
        <f t="shared" si="9"/>
        <v>105.70633579025325</v>
      </c>
      <c r="P39" s="57">
        <f t="shared" si="5"/>
        <v>103.59799795923203</v>
      </c>
      <c r="R39" s="47"/>
      <c r="S39" s="47"/>
      <c r="T39" s="47"/>
    </row>
    <row r="40" spans="1:20" ht="12.75" customHeight="1" x14ac:dyDescent="0.35">
      <c r="A40" s="49">
        <f>'New Vestas G30 85L'!P45</f>
        <v>1486.8157207943034</v>
      </c>
      <c r="B40" s="48">
        <f>'New Vestas G30 85L'!T45</f>
        <v>133.81755271061729</v>
      </c>
      <c r="C40" s="50">
        <f t="shared" si="0"/>
        <v>3.1722571444455623</v>
      </c>
      <c r="D40" s="50">
        <f t="shared" si="0"/>
        <v>2.1265130831282777</v>
      </c>
      <c r="E40" s="51">
        <f t="shared" si="6"/>
        <v>10.063215390485913</v>
      </c>
      <c r="F40" s="51">
        <f t="shared" si="6"/>
        <v>4.5220578927157336</v>
      </c>
      <c r="G40" s="52">
        <f t="shared" si="7"/>
        <v>6.7458463207106387</v>
      </c>
      <c r="H40" s="86" t="b">
        <f>H37=H38</f>
        <v>0</v>
      </c>
      <c r="I40" s="86"/>
      <c r="J40" s="51">
        <f t="shared" si="1"/>
        <v>4.1754248686816711</v>
      </c>
      <c r="K40" s="51">
        <f t="shared" si="2"/>
        <v>2.0247632580204957</v>
      </c>
      <c r="L40" s="55">
        <f t="shared" si="3"/>
        <v>8.6835736682599786E-3</v>
      </c>
      <c r="M40" s="51">
        <f t="shared" si="4"/>
        <v>2.0160796843522357</v>
      </c>
      <c r="N40" s="94">
        <f t="shared" si="8"/>
        <v>14977.001341200026</v>
      </c>
      <c r="O40" s="56">
        <f t="shared" si="9"/>
        <v>105.86764636717473</v>
      </c>
      <c r="P40" s="57">
        <f t="shared" si="5"/>
        <v>103.77187989986298</v>
      </c>
      <c r="R40" s="47"/>
      <c r="S40" s="47"/>
      <c r="T40" s="47"/>
    </row>
    <row r="41" spans="1:20" ht="12.75" customHeight="1" x14ac:dyDescent="0.35">
      <c r="A41" s="49">
        <f>'New Vestas G30 85L'!P46</f>
        <v>2230.2235811914552</v>
      </c>
      <c r="B41" s="48">
        <f>'New Vestas G30 85L'!T46</f>
        <v>130.7171135332004</v>
      </c>
      <c r="C41" s="50">
        <f t="shared" si="0"/>
        <v>3.3483484035012432</v>
      </c>
      <c r="D41" s="50">
        <f t="shared" si="0"/>
        <v>2.1163324492981648</v>
      </c>
      <c r="E41" s="51">
        <f t="shared" si="6"/>
        <v>11.211437031229323</v>
      </c>
      <c r="F41" s="51">
        <f t="shared" si="6"/>
        <v>4.4788630359523696</v>
      </c>
      <c r="G41" s="52">
        <f t="shared" si="7"/>
        <v>7.0862183778853858</v>
      </c>
      <c r="H41" s="86"/>
      <c r="I41" s="86"/>
      <c r="J41" s="51">
        <f t="shared" si="1"/>
        <v>4.168539674276186</v>
      </c>
      <c r="K41" s="51">
        <f t="shared" si="2"/>
        <v>2.0254359965498305</v>
      </c>
      <c r="L41" s="55">
        <f t="shared" si="3"/>
        <v>8.6166406600484812E-3</v>
      </c>
      <c r="M41" s="51">
        <f t="shared" si="4"/>
        <v>2.016819355889782</v>
      </c>
      <c r="N41" s="94">
        <f t="shared" si="8"/>
        <v>14741.432028119356</v>
      </c>
      <c r="O41" s="56">
        <f t="shared" si="9"/>
        <v>106.03176642483595</v>
      </c>
      <c r="P41" s="57">
        <f t="shared" si="5"/>
        <v>103.9487702610655</v>
      </c>
      <c r="R41" s="47"/>
      <c r="S41" s="47"/>
      <c r="T41" s="47"/>
    </row>
    <row r="42" spans="1:20" ht="12.75" customHeight="1" x14ac:dyDescent="0.35">
      <c r="A42" s="49">
        <f>'New Vestas G30 85L'!P47</f>
        <v>2973.6314415886068</v>
      </c>
      <c r="B42" s="48">
        <f>'New Vestas G30 85L'!T47</f>
        <v>122.36315241384239</v>
      </c>
      <c r="C42" s="50">
        <f t="shared" si="0"/>
        <v>3.4732871401095435</v>
      </c>
      <c r="D42" s="50">
        <f t="shared" si="0"/>
        <v>2.0876506570859386</v>
      </c>
      <c r="E42" s="51">
        <f t="shared" si="6"/>
        <v>12.063723557650333</v>
      </c>
      <c r="F42" s="51">
        <f t="shared" si="6"/>
        <v>4.3582852660313511</v>
      </c>
      <c r="G42" s="52">
        <f t="shared" si="7"/>
        <v>7.2510101802978291</v>
      </c>
      <c r="H42" s="86"/>
      <c r="I42" s="86"/>
      <c r="J42" s="51">
        <f t="shared" si="1"/>
        <v>4.1615435629379922</v>
      </c>
      <c r="K42" s="51">
        <f t="shared" si="2"/>
        <v>2.0261195725500918</v>
      </c>
      <c r="L42" s="55">
        <f t="shared" si="3"/>
        <v>8.5488375136316339E-3</v>
      </c>
      <c r="M42" s="51">
        <f t="shared" si="4"/>
        <v>2.0175707350364602</v>
      </c>
      <c r="N42" s="94">
        <f t="shared" si="8"/>
        <v>14505.862715038682</v>
      </c>
      <c r="O42" s="56">
        <f t="shared" si="9"/>
        <v>106.19879098035982</v>
      </c>
      <c r="P42" s="57">
        <f t="shared" si="5"/>
        <v>104.12876919215158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4.1544329024448086</v>
      </c>
      <c r="K43" s="51">
        <f t="shared" si="2"/>
        <v>2.0268143409184294</v>
      </c>
      <c r="L43" s="55">
        <f t="shared" si="3"/>
        <v>8.480144326882216E-3</v>
      </c>
      <c r="M43" s="51">
        <f t="shared" si="4"/>
        <v>2.0183341965915473</v>
      </c>
      <c r="N43" s="94">
        <f t="shared" si="8"/>
        <v>14270.293401958019</v>
      </c>
      <c r="O43" s="56">
        <f t="shared" si="9"/>
        <v>106.36881987413111</v>
      </c>
      <c r="P43" s="57">
        <f t="shared" si="5"/>
        <v>104.31198181118486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/>
      <c r="I44" s="86"/>
      <c r="J44" s="51">
        <f t="shared" si="1"/>
        <v>4.1472038791823636</v>
      </c>
      <c r="K44" s="51">
        <f t="shared" si="2"/>
        <v>2.0275206742754417</v>
      </c>
      <c r="L44" s="55">
        <f t="shared" si="3"/>
        <v>8.4105407374802325E-3</v>
      </c>
      <c r="M44" s="51">
        <f t="shared" si="4"/>
        <v>2.0191101335379615</v>
      </c>
      <c r="N44" s="94">
        <f t="shared" si="8"/>
        <v>14034.724088877365</v>
      </c>
      <c r="O44" s="56">
        <f t="shared" si="9"/>
        <v>106.54195809907631</v>
      </c>
      <c r="P44" s="57">
        <f t="shared" si="5"/>
        <v>104.49851853415531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/>
      <c r="I45" s="86"/>
      <c r="J45" s="51">
        <f t="shared" si="1"/>
        <v>4.1398524858614323</v>
      </c>
      <c r="K45" s="51">
        <f t="shared" si="2"/>
        <v>2.0282389641653169</v>
      </c>
      <c r="L45" s="55">
        <f t="shared" si="3"/>
        <v>8.3400059356354694E-3</v>
      </c>
      <c r="M45" s="51">
        <f t="shared" si="4"/>
        <v>2.0198989582296814</v>
      </c>
      <c r="N45" s="94">
        <f t="shared" si="8"/>
        <v>13799.154775796691</v>
      </c>
      <c r="O45" s="56">
        <f t="shared" si="9"/>
        <v>106.71831615838329</v>
      </c>
      <c r="P45" s="57">
        <f t="shared" si="5"/>
        <v>104.68849543152989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1"/>
        <v>4.1323745081772625</v>
      </c>
      <c r="K46" s="51">
        <f t="shared" si="2"/>
        <v>2.028969622359317</v>
      </c>
      <c r="L46" s="55">
        <f t="shared" si="3"/>
        <v>8.2685186823759239E-3</v>
      </c>
      <c r="M46" s="51">
        <f t="shared" si="4"/>
        <v>2.0207011036769411</v>
      </c>
      <c r="N46" s="94">
        <f t="shared" si="8"/>
        <v>13563.585462716017</v>
      </c>
      <c r="O46" s="56">
        <f t="shared" si="9"/>
        <v>106.89801045465057</v>
      </c>
      <c r="P46" s="57">
        <f t="shared" si="5"/>
        <v>104.88203461493093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4.1247655103002021</v>
      </c>
      <c r="K47" s="51">
        <f t="shared" si="2"/>
        <v>2.0297130822734553</v>
      </c>
      <c r="L47" s="55">
        <f t="shared" si="3"/>
        <v>8.1960573345283561E-3</v>
      </c>
      <c r="M47" s="51">
        <f t="shared" si="4"/>
        <v>2.0215170249389267</v>
      </c>
      <c r="N47" s="94">
        <f t="shared" si="8"/>
        <v>13328.016149635347</v>
      </c>
      <c r="O47" s="56">
        <f t="shared" si="9"/>
        <v>107.08116371382536</v>
      </c>
      <c r="P47" s="57">
        <f t="shared" si="5"/>
        <v>105.07926465701037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4.1170208190724482</v>
      </c>
      <c r="K48" s="51">
        <f t="shared" si="2"/>
        <v>2.0304698005126038</v>
      </c>
      <c r="L48" s="55">
        <f t="shared" si="3"/>
        <v>8.1225998777330385E-3</v>
      </c>
      <c r="M48" s="51">
        <f t="shared" si="4"/>
        <v>2.0223472006348708</v>
      </c>
      <c r="N48" s="94">
        <f t="shared" si="8"/>
        <v>13092.446836554667</v>
      </c>
      <c r="O48" s="56">
        <f t="shared" si="9"/>
        <v>107.2679054477191</v>
      </c>
      <c r="P48" s="57">
        <f t="shared" si="5"/>
        <v>105.28032104796317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4.1091355067699444</v>
      </c>
      <c r="K49" s="51">
        <f t="shared" si="2"/>
        <v>2.0312402585547922</v>
      </c>
      <c r="L49" s="55">
        <f t="shared" si="3"/>
        <v>8.0481239690940627E-3</v>
      </c>
      <c r="M49" s="51">
        <f t="shared" si="4"/>
        <v>2.023192134585698</v>
      </c>
      <c r="N49" s="94">
        <f t="shared" si="8"/>
        <v>12856.877523474001</v>
      </c>
      <c r="O49" s="56">
        <f t="shared" si="9"/>
        <v>107.45837245937487</v>
      </c>
      <c r="P49" s="57">
        <f t="shared" si="5"/>
        <v>105.48534669253323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4.1011043722701928</v>
      </c>
      <c r="K50" s="51">
        <f t="shared" si="2"/>
        <v>2.0320249645912623</v>
      </c>
      <c r="L50" s="55">
        <f t="shared" si="3"/>
        <v>7.9726069913780839E-3</v>
      </c>
      <c r="M50" s="51">
        <f t="shared" si="4"/>
        <v>2.0240523575998841</v>
      </c>
      <c r="N50" s="94">
        <f t="shared" si="8"/>
        <v>12621.308210393358</v>
      </c>
      <c r="O50" s="56">
        <f t="shared" si="9"/>
        <v>107.65270939612405</v>
      </c>
      <c r="P50" s="57">
        <f t="shared" si="5"/>
        <v>105.69449245185187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4.0929219204457503</v>
      </c>
      <c r="K51" s="51">
        <f t="shared" si="2"/>
        <v>2.0328244555398904</v>
      </c>
      <c r="L51" s="55">
        <f t="shared" si="3"/>
        <v>7.8960261210498268E-3</v>
      </c>
      <c r="M51" s="51">
        <f t="shared" si="4"/>
        <v>2.0249284294188405</v>
      </c>
      <c r="N51" s="94">
        <f t="shared" si="8"/>
        <v>12385.738897312665</v>
      </c>
      <c r="O51" s="56">
        <f t="shared" si="9"/>
        <v>107.85106935581692</v>
      </c>
      <c r="P51" s="57">
        <f t="shared" si="5"/>
        <v>105.90791773498384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4.0845823395789562</v>
      </c>
      <c r="K52" s="51">
        <f t="shared" si="2"/>
        <v>2.0336392992519476</v>
      </c>
      <c r="L52" s="55">
        <f t="shared" si="3"/>
        <v>7.8183584128857196E-3</v>
      </c>
      <c r="M52" s="51">
        <f t="shared" si="4"/>
        <v>2.0258209408390617</v>
      </c>
      <c r="N52" s="94">
        <f t="shared" si="8"/>
        <v>12150.169584232019</v>
      </c>
      <c r="O52" s="56">
        <f t="shared" si="9"/>
        <v>108.05361455245998</v>
      </c>
      <c r="P52" s="57">
        <f t="shared" si="5"/>
        <v>106.12579114568801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4.0760794765653703</v>
      </c>
      <c r="K53" s="51">
        <f t="shared" si="2"/>
        <v>2.0344700969349208</v>
      </c>
      <c r="L53" s="55">
        <f t="shared" si="3"/>
        <v>7.7395809044547249E-3</v>
      </c>
      <c r="M53" s="51">
        <f t="shared" si="4"/>
        <v>2.0267305160304661</v>
      </c>
      <c r="N53" s="94">
        <f t="shared" si="8"/>
        <v>11914.600271151332</v>
      </c>
      <c r="O53" s="56">
        <f t="shared" si="9"/>
        <v>108.26051704836053</v>
      </c>
      <c r="P53" s="57">
        <f t="shared" si="5"/>
        <v>106.34829119061045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4.0674068096409615</v>
      </c>
      <c r="K54" s="51">
        <f t="shared" si="2"/>
        <v>2.0353174858172873</v>
      </c>
      <c r="L54" s="55">
        <f t="shared" si="3"/>
        <v>7.6596707444201882E-3</v>
      </c>
      <c r="M54" s="51">
        <f t="shared" si="4"/>
        <v>2.027657815072867</v>
      </c>
      <c r="N54" s="94">
        <f t="shared" si="8"/>
        <v>11679.030958070676</v>
      </c>
      <c r="O54" s="56">
        <f t="shared" si="9"/>
        <v>108.47195956088643</v>
      </c>
      <c r="P54" s="57">
        <f t="shared" si="5"/>
        <v>106.57560705595431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4.0585574183302091</v>
      </c>
      <c r="K55" s="51">
        <f t="shared" si="2"/>
        <v>2.0361821420848236</v>
      </c>
      <c r="L55" s="55">
        <f t="shared" si="3"/>
        <v>7.5786053494228964E-3</v>
      </c>
      <c r="M55" s="51">
        <f t="shared" si="4"/>
        <v>2.0286035367354005</v>
      </c>
      <c r="N55" s="94">
        <f t="shared" si="8"/>
        <v>11443.461644989984</v>
      </c>
      <c r="O55" s="56">
        <f t="shared" si="9"/>
        <v>108.68813635312181</v>
      </c>
      <c r="P55" s="57">
        <f t="shared" si="5"/>
        <v>106.80793946061672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4.0495239502682381</v>
      </c>
      <c r="K56" s="51">
        <f t="shared" si="2"/>
        <v>2.0370647841223475</v>
      </c>
      <c r="L56" s="55">
        <f t="shared" si="3"/>
        <v>7.4963625952886347E-3</v>
      </c>
      <c r="M56" s="51">
        <f t="shared" si="4"/>
        <v>2.0295684215270589</v>
      </c>
      <c r="N56" s="94">
        <f t="shared" si="8"/>
        <v>11207.89233190933</v>
      </c>
      <c r="O56" s="56">
        <f t="shared" si="9"/>
        <v>108.9092542190734</v>
      </c>
      <c r="P56" s="57">
        <f t="shared" si="5"/>
        <v>107.04550159488159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4.0402985844984647</v>
      </c>
      <c r="K57" s="51">
        <f t="shared" si="2"/>
        <v>2.0379661760998338</v>
      </c>
      <c r="L57" s="55">
        <f t="shared" si="3"/>
        <v>7.4129210495023998E-3</v>
      </c>
      <c r="M57" s="51">
        <f t="shared" si="4"/>
        <v>2.0305532550503314</v>
      </c>
      <c r="N57" s="94">
        <f t="shared" si="8"/>
        <v>10972.323018828656</v>
      </c>
      <c r="O57" s="56">
        <f t="shared" si="9"/>
        <v>109.13553357568999</v>
      </c>
      <c r="P57" s="57">
        <f t="shared" si="5"/>
        <v>107.28852015502733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4.030872990786726</v>
      </c>
      <c r="K58" s="51">
        <f t="shared" si="2"/>
        <v>2.0388871319477464</v>
      </c>
      <c r="L58" s="55">
        <f t="shared" si="3"/>
        <v>7.3282602533591926E-3</v>
      </c>
      <c r="M58" s="51">
        <f t="shared" si="4"/>
        <v>2.0315588716943873</v>
      </c>
      <c r="N58" s="94">
        <f t="shared" si="8"/>
        <v>10736.753705747984</v>
      </c>
      <c r="O58" s="56">
        <f t="shared" si="9"/>
        <v>109.36720967584628</v>
      </c>
      <c r="P58" s="57">
        <f t="shared" si="5"/>
        <v>107.53723648568331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4.0212382844215018</v>
      </c>
      <c r="K59" s="51">
        <f t="shared" si="2"/>
        <v>2.0398285197734194</v>
      </c>
      <c r="L59" s="55">
        <f t="shared" si="3"/>
        <v>7.2423610640002618E-3</v>
      </c>
      <c r="M59" s="51">
        <f t="shared" si="4"/>
        <v>2.0325861587094192</v>
      </c>
      <c r="N59" s="94">
        <f t="shared" si="8"/>
        <v>10501.184392667319</v>
      </c>
      <c r="O59" s="56">
        <f t="shared" si="9"/>
        <v>109.60453395867793</v>
      </c>
      <c r="P59" s="57">
        <f t="shared" si="5"/>
        <v>107.79190784348832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4.0113849758856306</v>
      </c>
      <c r="K60" s="51">
        <f t="shared" si="2"/>
        <v>2.0407912667785335</v>
      </c>
      <c r="L60" s="55">
        <f t="shared" si="3"/>
        <v>7.155206068756431E-3</v>
      </c>
      <c r="M60" s="51">
        <f t="shared" si="4"/>
        <v>2.0336360607097772</v>
      </c>
      <c r="N60" s="94">
        <f t="shared" si="8"/>
        <v>10265.615079586654</v>
      </c>
      <c r="O60" s="56">
        <f t="shared" si="9"/>
        <v>109.84777555629506</v>
      </c>
      <c r="P60" s="57">
        <f t="shared" si="5"/>
        <v>108.05280879761571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4.0013029146849899</v>
      </c>
      <c r="K61" s="51">
        <f t="shared" si="2"/>
        <v>2.0417763647475002</v>
      </c>
      <c r="L61" s="55">
        <f t="shared" si="3"/>
        <v>7.0667800869464578E-3</v>
      </c>
      <c r="M61" s="51">
        <f t="shared" si="4"/>
        <v>2.0347095846605536</v>
      </c>
      <c r="N61" s="94">
        <f t="shared" si="8"/>
        <v>10030.045766505989</v>
      </c>
      <c r="O61" s="56">
        <f t="shared" si="9"/>
        <v>110.09722297903791</v>
      </c>
      <c r="P61" s="57">
        <f t="shared" si="5"/>
        <v>108.32023278507887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3.990981226500717</v>
      </c>
      <c r="K62" s="51">
        <f t="shared" si="2"/>
        <v>2.0427848761881959</v>
      </c>
      <c r="L62" s="55">
        <f t="shared" si="3"/>
        <v>6.9770707776469305E-3</v>
      </c>
      <c r="M62" s="51">
        <f t="shared" si="4"/>
        <v>2.0358078054105491</v>
      </c>
      <c r="N62" s="94">
        <f t="shared" si="8"/>
        <v>9794.4764534253045</v>
      </c>
      <c r="O62" s="56">
        <f t="shared" si="9"/>
        <v>110.35318600518974</v>
      </c>
      <c r="P62" s="57">
        <f t="shared" si="5"/>
        <v>108.59449384151019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3.9804082426894527</v>
      </c>
      <c r="K63" s="51">
        <f t="shared" si="2"/>
        <v>2.0438179412203477</v>
      </c>
      <c r="L63" s="55">
        <f t="shared" si="3"/>
        <v>6.8860693761216103E-3</v>
      </c>
      <c r="M63" s="51">
        <f t="shared" si="4"/>
        <v>2.0369318718442262</v>
      </c>
      <c r="N63" s="94">
        <f t="shared" si="8"/>
        <v>9558.9071403446469</v>
      </c>
      <c r="O63" s="56">
        <f t="shared" si="9"/>
        <v>110.61599780553753</v>
      </c>
      <c r="P63" s="57">
        <f t="shared" si="5"/>
        <v>108.87592853136532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3.9695714209856661</v>
      </c>
      <c r="K64" s="51">
        <f t="shared" si="2"/>
        <v>2.0448767853235532</v>
      </c>
      <c r="L64" s="55">
        <f t="shared" si="3"/>
        <v>6.7937715867762635E-3</v>
      </c>
      <c r="M64" s="51">
        <f t="shared" si="4"/>
        <v>2.0380830137367769</v>
      </c>
      <c r="N64" s="94">
        <f t="shared" si="8"/>
        <v>9323.3378272639766</v>
      </c>
      <c r="O64" s="56">
        <f t="shared" si="9"/>
        <v>110.88601733857153</v>
      </c>
      <c r="P64" s="57">
        <f t="shared" si="5"/>
        <v>109.16489810539308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3.9584572560547495</v>
      </c>
      <c r="K65" s="51">
        <f t="shared" si="2"/>
        <v>2.0459627280769572</v>
      </c>
      <c r="L65" s="55">
        <f t="shared" si="3"/>
        <v>6.70017866694665E-3</v>
      </c>
      <c r="M65" s="51">
        <f t="shared" si="4"/>
        <v>2.0392625494100107</v>
      </c>
      <c r="N65" s="94">
        <f t="shared" si="8"/>
        <v>9087.7685141833081</v>
      </c>
      <c r="O65" s="56">
        <f t="shared" si="9"/>
        <v>111.16363205861603</v>
      </c>
      <c r="P65" s="57">
        <f t="shared" si="5"/>
        <v>109.46179091781495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3.9470511782970488</v>
      </c>
      <c r="K66" s="51">
        <f t="shared" ref="K66:K129" si="11">+$I$14+$I$13*J66</f>
        <v>2.0470771930469058</v>
      </c>
      <c r="L66" s="55">
        <f t="shared" ref="L66:L129" si="12">SQRT(2*$I$20*$I$17)*SQRT((1/$I$2)+((J66-$I$11)^2/$I$8))</f>
        <v>6.6052987438575067E-3</v>
      </c>
      <c r="M66" s="51">
        <f t="shared" ref="M66:M102" si="13">+$I$14+$I$13*J66-L66</f>
        <v>2.0404718943030482</v>
      </c>
      <c r="N66" s="94">
        <f t="shared" si="8"/>
        <v>8852.1992011026359</v>
      </c>
      <c r="O66" s="56">
        <f t="shared" si="9"/>
        <v>111.44926098708733</v>
      </c>
      <c r="P66" s="57">
        <f t="shared" ref="P66:P102" si="14">10^M66</f>
        <v>109.76702514118075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3.9353374390008367</v>
      </c>
      <c r="K67" s="51">
        <f t="shared" si="11"/>
        <v>2.0482217190084198</v>
      </c>
      <c r="L67" s="55">
        <f t="shared" si="12"/>
        <v>6.5091484171195197E-3</v>
      </c>
      <c r="M67" s="51">
        <f t="shared" si="13"/>
        <v>2.0417125705913004</v>
      </c>
      <c r="N67" s="94">
        <f t="shared" ref="N67:N101" si="15">10^$J67</f>
        <v>8616.6298880219692</v>
      </c>
      <c r="O67" s="56">
        <f t="shared" ref="O67:O102" si="16">10^K67</f>
        <v>111.74335820669866</v>
      </c>
      <c r="P67" s="57">
        <f t="shared" si="14"/>
        <v>110.0810518235034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3.9232989795730173</v>
      </c>
      <c r="K68" s="51">
        <f t="shared" si="11"/>
        <v>2.0493979727224008</v>
      </c>
      <c r="L68" s="55">
        <f t="shared" si="12"/>
        <v>6.4117547116759408E-3</v>
      </c>
      <c r="M68" s="51">
        <f t="shared" si="13"/>
        <v>2.042986218010725</v>
      </c>
      <c r="N68" s="94">
        <f t="shared" si="15"/>
        <v>8381.0605749413116</v>
      </c>
      <c r="O68" s="56">
        <f t="shared" si="16"/>
        <v>112.04641685021907</v>
      </c>
      <c r="P68" s="57">
        <f t="shared" si="14"/>
        <v>110.40435834028899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3.9109172821229046</v>
      </c>
      <c r="K69" s="51">
        <f t="shared" si="11"/>
        <v>2.050607763534789</v>
      </c>
      <c r="L69" s="55">
        <f t="shared" si="12"/>
        <v>6.313157461820415E-3</v>
      </c>
      <c r="M69" s="51">
        <f t="shared" si="13"/>
        <v>2.0442946060729685</v>
      </c>
      <c r="N69" s="94">
        <f t="shared" si="15"/>
        <v>8145.4912618606386</v>
      </c>
      <c r="O69" s="56">
        <f t="shared" si="16"/>
        <v>112.35897366991043</v>
      </c>
      <c r="P69" s="57">
        <f t="shared" si="14"/>
        <v>110.73747230384616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3.8981721981144393</v>
      </c>
      <c r="K70" s="51">
        <f t="shared" si="11"/>
        <v>2.0518530601186118</v>
      </c>
      <c r="L70" s="55">
        <f t="shared" si="12"/>
        <v>6.2134122265931407E-3</v>
      </c>
      <c r="M70" s="51">
        <f t="shared" si="13"/>
        <v>2.0456396478920187</v>
      </c>
      <c r="N70" s="94">
        <f t="shared" si="15"/>
        <v>7909.9219487799719</v>
      </c>
      <c r="O70" s="56">
        <f t="shared" si="16"/>
        <v>112.68161429174107</v>
      </c>
      <c r="P70" s="57">
        <f t="shared" si="14"/>
        <v>111.08096600421709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3.8850417511067215</v>
      </c>
      <c r="K71" s="51">
        <f t="shared" si="11"/>
        <v>2.0531360097478117</v>
      </c>
      <c r="L71" s="55">
        <f t="shared" si="12"/>
        <v>6.11259386152884E-3</v>
      </c>
      <c r="M71" s="51">
        <f t="shared" si="13"/>
        <v>2.047023415886283</v>
      </c>
      <c r="N71" s="94">
        <f t="shared" si="15"/>
        <v>7674.3526356992952</v>
      </c>
      <c r="O71" s="56">
        <f t="shared" si="16"/>
        <v>113.01497928085323</v>
      </c>
      <c r="P71" s="57">
        <f t="shared" si="14"/>
        <v>111.43546147085569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3.8715019087337117</v>
      </c>
      <c r="K72" s="51">
        <f t="shared" si="11"/>
        <v>2.0544589605766501</v>
      </c>
      <c r="L72" s="55">
        <f t="shared" si="12"/>
        <v>6.0108009026073918E-3</v>
      </c>
      <c r="M72" s="51">
        <f t="shared" si="13"/>
        <v>2.0484481596740429</v>
      </c>
      <c r="N72" s="94">
        <f t="shared" si="15"/>
        <v>7438.7833226186294</v>
      </c>
      <c r="O72" s="56">
        <f t="shared" si="16"/>
        <v>113.3597711728019</v>
      </c>
      <c r="P72" s="57">
        <f t="shared" si="14"/>
        <v>111.80163626261108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3.8575263179810091</v>
      </c>
      <c r="K73" s="51">
        <f t="shared" si="11"/>
        <v>2.0558244875052831</v>
      </c>
      <c r="L73" s="55">
        <f t="shared" si="12"/>
        <v>5.9081609568253542E-3</v>
      </c>
      <c r="M73" s="51">
        <f t="shared" si="13"/>
        <v>2.0499163265484577</v>
      </c>
      <c r="N73" s="94">
        <f t="shared" si="15"/>
        <v>7203.2140095379655</v>
      </c>
      <c r="O73" s="56">
        <f t="shared" si="16"/>
        <v>113.71676266045695</v>
      </c>
      <c r="P73" s="57">
        <f t="shared" si="14"/>
        <v>112.18023011679789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3.8430859964338446</v>
      </c>
      <c r="K74" s="51">
        <f t="shared" si="11"/>
        <v>2.0572354223473011</v>
      </c>
      <c r="L74" s="55">
        <f t="shared" si="12"/>
        <v>5.8048373417976407E-3</v>
      </c>
      <c r="M74" s="51">
        <f t="shared" si="13"/>
        <v>2.0514305850055035</v>
      </c>
      <c r="N74" s="94">
        <f t="shared" si="15"/>
        <v>6967.644696457297</v>
      </c>
      <c r="O74" s="56">
        <f t="shared" si="16"/>
        <v>114.08680617135865</v>
      </c>
      <c r="P74" s="57">
        <f t="shared" si="14"/>
        <v>112.57205261773132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3.828148970405568</v>
      </c>
      <c r="K75" s="51">
        <f t="shared" si="11"/>
        <v>2.0586948891874672</v>
      </c>
      <c r="L75" s="55">
        <f t="shared" si="12"/>
        <v>5.7010372761581189E-3</v>
      </c>
      <c r="M75" s="51">
        <f t="shared" si="13"/>
        <v>2.0529938519113089</v>
      </c>
      <c r="N75" s="94">
        <f t="shared" si="15"/>
        <v>6732.0753833766266</v>
      </c>
      <c r="O75" s="56">
        <f t="shared" si="16"/>
        <v>114.47084512777002</v>
      </c>
      <c r="P75" s="57">
        <f t="shared" si="14"/>
        <v>112.97799208331112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3.8126798485878486</v>
      </c>
      <c r="K76" s="51">
        <f t="shared" si="11"/>
        <v>2.0602063460395019</v>
      </c>
      <c r="L76" s="55">
        <f t="shared" si="12"/>
        <v>5.5970219952922997E-3</v>
      </c>
      <c r="M76" s="51">
        <f t="shared" si="13"/>
        <v>2.0546093240442098</v>
      </c>
      <c r="N76" s="94">
        <f t="shared" si="15"/>
        <v>6496.5060702959609</v>
      </c>
      <c r="O76" s="56">
        <f t="shared" si="16"/>
        <v>114.86992725572118</v>
      </c>
      <c r="P76" s="57">
        <f t="shared" si="14"/>
        <v>113.39902591826889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3.7966393169250079</v>
      </c>
      <c r="K77" s="51">
        <f t="shared" si="11"/>
        <v>2.0617736342008959</v>
      </c>
      <c r="L77" s="55">
        <f t="shared" si="12"/>
        <v>5.4931192549573672E-3</v>
      </c>
      <c r="M77" s="51">
        <f t="shared" si="13"/>
        <v>2.0562805149459384</v>
      </c>
      <c r="N77" s="94">
        <f t="shared" si="15"/>
        <v>6260.9367572152951</v>
      </c>
      <c r="O77" s="56">
        <f t="shared" si="16"/>
        <v>115.28522040559744</v>
      </c>
      <c r="P77" s="57">
        <f t="shared" si="14"/>
        <v>113.83623274918644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3.7799835365737411</v>
      </c>
      <c r="K78" s="51">
        <f t="shared" si="11"/>
        <v>2.0634010370770608</v>
      </c>
      <c r="L78" s="55">
        <f t="shared" si="12"/>
        <v>5.3897387897750646E-3</v>
      </c>
      <c r="M78" s="51">
        <f t="shared" si="13"/>
        <v>2.0580112982872856</v>
      </c>
      <c r="N78" s="94">
        <f t="shared" si="15"/>
        <v>6025.3674441346184</v>
      </c>
      <c r="O78" s="56">
        <f t="shared" si="16"/>
        <v>115.71803147306068</v>
      </c>
      <c r="P78" s="57">
        <f t="shared" si="14"/>
        <v>114.29080674625563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3.7626634217416512</v>
      </c>
      <c r="K79" s="51">
        <f t="shared" si="11"/>
        <v>2.0650933507422744</v>
      </c>
      <c r="L79" s="55">
        <f t="shared" si="12"/>
        <v>5.2873914139471576E-3</v>
      </c>
      <c r="M79" s="51">
        <f t="shared" si="13"/>
        <v>2.0598059593283273</v>
      </c>
      <c r="N79" s="94">
        <f t="shared" si="15"/>
        <v>5789.7981310539508</v>
      </c>
      <c r="O79" s="56">
        <f t="shared" si="16"/>
        <v>116.16982917619518</v>
      </c>
      <c r="P79" s="57">
        <f t="shared" si="14"/>
        <v>114.76407466016678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3.7446237674445162</v>
      </c>
      <c r="K80" s="51">
        <f t="shared" si="11"/>
        <v>2.0668559691647701</v>
      </c>
      <c r="L80" s="55">
        <f t="shared" si="12"/>
        <v>5.1867125842289452E-3</v>
      </c>
      <c r="M80" s="51">
        <f t="shared" si="13"/>
        <v>2.061669256580541</v>
      </c>
      <c r="N80" s="94">
        <f t="shared" si="15"/>
        <v>5554.2288179732832</v>
      </c>
      <c r="O80" s="56">
        <f t="shared" si="16"/>
        <v>116.64227166826049</v>
      </c>
      <c r="P80" s="57">
        <f t="shared" si="14"/>
        <v>115.25751627495366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3.7258021881247614</v>
      </c>
      <c r="K81" s="51">
        <f t="shared" si="11"/>
        <v>2.0686949879121928</v>
      </c>
      <c r="L81" s="55">
        <f t="shared" si="12"/>
        <v>5.0884913811251797E-3</v>
      </c>
      <c r="M81" s="51">
        <f t="shared" si="13"/>
        <v>2.0636064965310674</v>
      </c>
      <c r="N81" s="94">
        <f t="shared" si="15"/>
        <v>5318.6595048926183</v>
      </c>
      <c r="O81" s="56">
        <f t="shared" si="16"/>
        <v>117.13724026758088</v>
      </c>
      <c r="P81" s="57">
        <f t="shared" si="14"/>
        <v>115.77278922237869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3.706127815675305</v>
      </c>
      <c r="K82" s="51">
        <f t="shared" si="11"/>
        <v>2.0706173313650797</v>
      </c>
      <c r="L82" s="55">
        <f t="shared" si="12"/>
        <v>4.9937059856395519E-3</v>
      </c>
      <c r="M82" s="51">
        <f t="shared" si="13"/>
        <v>2.0656236253794402</v>
      </c>
      <c r="N82" s="94">
        <f t="shared" si="15"/>
        <v>5083.0901918119507</v>
      </c>
      <c r="O82" s="56">
        <f t="shared" si="16"/>
        <v>117.6568809994646</v>
      </c>
      <c r="P82" s="57">
        <f t="shared" si="14"/>
        <v>116.31175945608683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3.6855196883022137</v>
      </c>
      <c r="K83" s="51">
        <f t="shared" si="11"/>
        <v>2.0726309101378564</v>
      </c>
      <c r="L83" s="55">
        <f t="shared" si="12"/>
        <v>4.9035668052498311E-3</v>
      </c>
      <c r="M83" s="51">
        <f t="shared" si="13"/>
        <v>2.0677273433326064</v>
      </c>
      <c r="N83" s="94">
        <f t="shared" si="15"/>
        <v>4847.5208787312758</v>
      </c>
      <c r="O83" s="56">
        <f t="shared" si="16"/>
        <v>118.20365621777806</v>
      </c>
      <c r="P83" s="57">
        <f t="shared" si="14"/>
        <v>116.87653919836841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3.6638847377204216</v>
      </c>
      <c r="K84" s="51">
        <f t="shared" si="11"/>
        <v>2.0747448177459029</v>
      </c>
      <c r="L84" s="55">
        <f t="shared" si="12"/>
        <v>4.8195683876583184E-3</v>
      </c>
      <c r="M84" s="51">
        <f t="shared" si="13"/>
        <v>2.0699252493582447</v>
      </c>
      <c r="N84" s="94">
        <f t="shared" si="15"/>
        <v>4611.9515656506037</v>
      </c>
      <c r="O84" s="56">
        <f t="shared" si="16"/>
        <v>118.78040937842837</v>
      </c>
      <c r="P84" s="57">
        <f t="shared" si="14"/>
        <v>117.46953493113892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3.6411152481817668</v>
      </c>
      <c r="K85" s="51">
        <f t="shared" si="11"/>
        <v>2.0769695788788267</v>
      </c>
      <c r="L85" s="55">
        <f t="shared" si="12"/>
        <v>4.7435510927391743E-3</v>
      </c>
      <c r="M85" s="51">
        <f t="shared" si="13"/>
        <v>2.0722260277860873</v>
      </c>
      <c r="N85" s="94">
        <f t="shared" si="15"/>
        <v>4376.382252569937</v>
      </c>
      <c r="O85" s="56">
        <f t="shared" si="16"/>
        <v>119.39044718458432</v>
      </c>
      <c r="P85" s="57">
        <f t="shared" si="14"/>
        <v>118.09350912970817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3.6170856117671564</v>
      </c>
      <c r="K86" s="51">
        <f t="shared" si="11"/>
        <v>2.0793174664343539</v>
      </c>
      <c r="L86" s="55">
        <f t="shared" si="12"/>
        <v>4.6777731082234559E-3</v>
      </c>
      <c r="M86" s="51">
        <f t="shared" si="13"/>
        <v>2.0746396933261306</v>
      </c>
      <c r="N86" s="94">
        <f t="shared" si="15"/>
        <v>4140.8129394892721</v>
      </c>
      <c r="O86" s="56">
        <f t="shared" si="16"/>
        <v>120.03764498735782</v>
      </c>
      <c r="P86" s="57">
        <f t="shared" si="14"/>
        <v>118.75166111888676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3.591648132273376</v>
      </c>
      <c r="K87" s="51">
        <f t="shared" si="11"/>
        <v>2.0818029115121295</v>
      </c>
      <c r="L87" s="55">
        <f t="shared" si="12"/>
        <v>4.6249927666791955E-3</v>
      </c>
      <c r="M87" s="51">
        <f t="shared" si="13"/>
        <v>2.0771779187454502</v>
      </c>
      <c r="N87" s="94">
        <f t="shared" si="15"/>
        <v>3905.2436264086027</v>
      </c>
      <c r="O87" s="56">
        <f t="shared" si="16"/>
        <v>120.72658378232676</v>
      </c>
      <c r="P87" s="57">
        <f t="shared" si="14"/>
        <v>119.44773494223276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3.5646275219630001</v>
      </c>
      <c r="K88" s="51">
        <f t="shared" si="11"/>
        <v>2.0844430411252395</v>
      </c>
      <c r="L88" s="55">
        <f t="shared" si="12"/>
        <v>4.588560350306926E-3</v>
      </c>
      <c r="M88" s="51">
        <f t="shared" si="13"/>
        <v>2.0798544807749324</v>
      </c>
      <c r="N88" s="94">
        <f t="shared" si="15"/>
        <v>3669.6743133279315</v>
      </c>
      <c r="O88" s="56">
        <f t="shared" si="16"/>
        <v>121.46273084268782</v>
      </c>
      <c r="P88" s="57">
        <f t="shared" si="14"/>
        <v>120.18616588772248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3.5358135698961952</v>
      </c>
      <c r="K89" s="51">
        <f t="shared" si="11"/>
        <v>2.0872583945628005</v>
      </c>
      <c r="L89" s="55">
        <f t="shared" si="12"/>
        <v>4.5725180468167278E-3</v>
      </c>
      <c r="M89" s="51">
        <f t="shared" si="13"/>
        <v>2.0826858765159839</v>
      </c>
      <c r="N89" s="94">
        <f t="shared" si="15"/>
        <v>3434.1050002472684</v>
      </c>
      <c r="O89" s="56">
        <f t="shared" si="16"/>
        <v>122.25268172888632</v>
      </c>
      <c r="P89" s="57">
        <f t="shared" si="14"/>
        <v>120.97228292905632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3.5049512006540389</v>
      </c>
      <c r="K90" s="51">
        <f t="shared" si="11"/>
        <v>2.0902738947321531</v>
      </c>
      <c r="L90" s="55">
        <f t="shared" si="12"/>
        <v>4.5817073764627151E-3</v>
      </c>
      <c r="M90" s="51">
        <f t="shared" si="13"/>
        <v>2.0856921873556904</v>
      </c>
      <c r="N90" s="94">
        <f t="shared" si="15"/>
        <v>3198.5356871665931</v>
      </c>
      <c r="O90" s="56">
        <f t="shared" si="16"/>
        <v>123.10449041222533</v>
      </c>
      <c r="P90" s="57">
        <f t="shared" si="14"/>
        <v>121.81259281038942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3.4717267228159279</v>
      </c>
      <c r="K91" s="51">
        <f t="shared" si="11"/>
        <v>2.093520191792543</v>
      </c>
      <c r="L91" s="55">
        <f t="shared" si="12"/>
        <v>4.6218870189894878E-3</v>
      </c>
      <c r="M91" s="51">
        <f t="shared" si="13"/>
        <v>2.0888983047735534</v>
      </c>
      <c r="N91" s="94">
        <f t="shared" si="15"/>
        <v>2962.9663740859287</v>
      </c>
      <c r="O91" s="56">
        <f t="shared" si="16"/>
        <v>124.02812885738679</v>
      </c>
      <c r="P91" s="57">
        <f t="shared" si="14"/>
        <v>122.71518452893554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3.4357483681765899</v>
      </c>
      <c r="K92" s="51">
        <f t="shared" si="11"/>
        <v>2.0970355646291745</v>
      </c>
      <c r="L92" s="55">
        <f t="shared" si="12"/>
        <v>4.6998733747628191E-3</v>
      </c>
      <c r="M92" s="51">
        <f t="shared" si="13"/>
        <v>2.0923356912544118</v>
      </c>
      <c r="N92" s="94">
        <f t="shared" si="15"/>
        <v>2727.397061005257</v>
      </c>
      <c r="O92" s="56">
        <f t="shared" si="16"/>
        <v>125.03614188533508</v>
      </c>
      <c r="P92" s="57">
        <f t="shared" si="14"/>
        <v>123.69031378150461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3.3965180176374492</v>
      </c>
      <c r="K93" s="51">
        <f t="shared" si="11"/>
        <v>2.1008686834596291</v>
      </c>
      <c r="L93" s="55">
        <f t="shared" si="12"/>
        <v>4.8237353869089502E-3</v>
      </c>
      <c r="M93" s="51">
        <f t="shared" si="13"/>
        <v>2.0960449480727199</v>
      </c>
      <c r="N93" s="94">
        <f t="shared" si="15"/>
        <v>2491.827747924594</v>
      </c>
      <c r="O93" s="56">
        <f t="shared" si="16"/>
        <v>126.1446056619284</v>
      </c>
      <c r="P93" s="57">
        <f t="shared" si="14"/>
        <v>124.75126210788486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3.3533888428283811</v>
      </c>
      <c r="K94" s="51">
        <f t="shared" si="11"/>
        <v>2.1050827485860077</v>
      </c>
      <c r="L94" s="55">
        <f t="shared" si="12"/>
        <v>5.0031094717388827E-3</v>
      </c>
      <c r="M94" s="51">
        <f t="shared" si="13"/>
        <v>2.1000796391142686</v>
      </c>
      <c r="N94" s="94">
        <f t="shared" si="15"/>
        <v>2256.258434843925</v>
      </c>
      <c r="O94" s="56">
        <f t="shared" si="16"/>
        <v>127.37457518854832</v>
      </c>
      <c r="P94" s="57">
        <f t="shared" si="14"/>
        <v>125.9156289463743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3.3054995034767476</v>
      </c>
      <c r="K95" s="51">
        <f t="shared" si="11"/>
        <v>2.1097619198379602</v>
      </c>
      <c r="L95" s="55">
        <f t="shared" si="12"/>
        <v>5.2497583927255129E-3</v>
      </c>
      <c r="M95" s="51">
        <f t="shared" si="13"/>
        <v>2.1045121614452347</v>
      </c>
      <c r="N95" s="94">
        <f t="shared" si="15"/>
        <v>2020.6891217632553</v>
      </c>
      <c r="O95" s="56">
        <f t="shared" si="16"/>
        <v>128.75435270442364</v>
      </c>
      <c r="P95" s="57">
        <f t="shared" si="14"/>
        <v>127.2073371155448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3.251667369189732</v>
      </c>
      <c r="K96" s="51">
        <f t="shared" si="11"/>
        <v>2.1150217496580694</v>
      </c>
      <c r="L96" s="55">
        <f t="shared" si="12"/>
        <v>5.5785988913523606E-3</v>
      </c>
      <c r="M96" s="51">
        <f t="shared" si="13"/>
        <v>2.1094431507667171</v>
      </c>
      <c r="N96" s="94">
        <f t="shared" si="15"/>
        <v>1785.1198086825843</v>
      </c>
      <c r="O96" s="56">
        <f t="shared" si="16"/>
        <v>130.32320432501675</v>
      </c>
      <c r="P96" s="57">
        <f t="shared" si="14"/>
        <v>128.65988259664309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3.1902057332722689</v>
      </c>
      <c r="K97" s="51">
        <f t="shared" si="11"/>
        <v>2.1210270427729174</v>
      </c>
      <c r="L97" s="55">
        <f t="shared" si="12"/>
        <v>6.0096201076439495E-3</v>
      </c>
      <c r="M97" s="51">
        <f t="shared" si="13"/>
        <v>2.1150174226652734</v>
      </c>
      <c r="N97" s="94">
        <f t="shared" si="15"/>
        <v>1549.5504956019188</v>
      </c>
      <c r="O97" s="56">
        <f t="shared" si="16"/>
        <v>132.13779115623512</v>
      </c>
      <c r="P97" s="57">
        <f t="shared" si="14"/>
        <v>130.32190588632912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3.1185891457521469</v>
      </c>
      <c r="K98" s="51">
        <f t="shared" si="11"/>
        <v>2.1280245558316495</v>
      </c>
      <c r="L98" s="55">
        <f t="shared" si="12"/>
        <v>6.5715626883575077E-3</v>
      </c>
      <c r="M98" s="51">
        <f t="shared" si="13"/>
        <v>2.1214529931432922</v>
      </c>
      <c r="N98" s="94">
        <f t="shared" si="15"/>
        <v>1313.98118252125</v>
      </c>
      <c r="O98" s="56">
        <f t="shared" si="16"/>
        <v>134.28408857555871</v>
      </c>
      <c r="P98" s="57">
        <f t="shared" si="14"/>
        <v>132.26745375576621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3.0327846592396304</v>
      </c>
      <c r="K99" s="51">
        <f t="shared" si="11"/>
        <v>2.1364083400310911</v>
      </c>
      <c r="L99" s="55">
        <f t="shared" si="12"/>
        <v>7.3094023595320053E-3</v>
      </c>
      <c r="M99" s="51">
        <f t="shared" si="13"/>
        <v>2.129098937671559</v>
      </c>
      <c r="N99" s="94">
        <f t="shared" si="15"/>
        <v>1078.4118694405811</v>
      </c>
      <c r="O99" s="56">
        <f t="shared" si="16"/>
        <v>136.90154205156372</v>
      </c>
      <c r="P99" s="57">
        <f t="shared" si="14"/>
        <v>134.61669926703041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2.9257464556566135</v>
      </c>
      <c r="K100" s="51">
        <f t="shared" si="11"/>
        <v>2.1468668281173175</v>
      </c>
      <c r="L100" s="55">
        <f t="shared" si="12"/>
        <v>8.3012543763911067E-3</v>
      </c>
      <c r="M100" s="51">
        <f t="shared" si="13"/>
        <v>2.1385655737409266</v>
      </c>
      <c r="N100" s="94">
        <f t="shared" si="15"/>
        <v>842.84255635991258</v>
      </c>
      <c r="O100" s="56">
        <f t="shared" si="16"/>
        <v>140.2383612285152</v>
      </c>
      <c r="P100" s="57">
        <f t="shared" si="14"/>
        <v>137.58325303339313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2.7833841463421027</v>
      </c>
      <c r="K101" s="51">
        <f t="shared" si="11"/>
        <v>2.1607767636922239</v>
      </c>
      <c r="L101" s="55">
        <f t="shared" si="12"/>
        <v>9.7036243318090378E-3</v>
      </c>
      <c r="M101" s="51">
        <f t="shared" si="13"/>
        <v>2.151073139360415</v>
      </c>
      <c r="N101" s="94">
        <f t="shared" si="15"/>
        <v>607.27324327924021</v>
      </c>
      <c r="O101" s="56">
        <f t="shared" si="16"/>
        <v>144.80273463377193</v>
      </c>
      <c r="P101" s="57">
        <f t="shared" si="14"/>
        <v>141.60322333010194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2.5701971531175989</v>
      </c>
      <c r="K102" s="51">
        <f t="shared" si="11"/>
        <v>2.1816068370131729</v>
      </c>
      <c r="L102" s="55">
        <f t="shared" si="12"/>
        <v>1.1912675248719317E-2</v>
      </c>
      <c r="M102" s="51">
        <f t="shared" si="13"/>
        <v>2.1696941617644536</v>
      </c>
      <c r="N102" s="94">
        <f>10^$J102</f>
        <v>371.70393019857528</v>
      </c>
      <c r="O102" s="56">
        <f t="shared" si="16"/>
        <v>151.91716142811671</v>
      </c>
      <c r="P102" s="57">
        <f t="shared" si="14"/>
        <v>147.80671392624313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4.3789179294787699</v>
      </c>
      <c r="K104" s="51">
        <f t="shared" si="11"/>
        <v>2.0048803593849112</v>
      </c>
      <c r="L104" s="55">
        <f t="shared" si="12"/>
        <v>1.0735098309777456E-2</v>
      </c>
      <c r="M104" s="51">
        <f>+$I$14+$I$13*J104+L104</f>
        <v>2.0156154576946888</v>
      </c>
      <c r="N104" s="94">
        <f t="shared" ref="N104:N167" si="17">10^$J104</f>
        <v>23928.635238265408</v>
      </c>
      <c r="O104" s="56">
        <f t="shared" ref="O104:O167" si="18">10^K104</f>
        <v>101.13008200050113</v>
      </c>
      <c r="P104" s="57">
        <f t="shared" ref="P104:P167" si="19">10^M104</f>
        <v>103.6610151820357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4.3746212628433128</v>
      </c>
      <c r="K105" s="51">
        <f t="shared" si="11"/>
        <v>2.0053001780600495</v>
      </c>
      <c r="L105" s="55">
        <f t="shared" si="12"/>
        <v>1.069060022280152E-2</v>
      </c>
      <c r="M105" s="51">
        <f t="shared" ref="M105:M168" si="21">+$I$14+$I$13*J105+L105</f>
        <v>2.015990778282851</v>
      </c>
      <c r="N105" s="94">
        <f t="shared" si="17"/>
        <v>23693.065925184783</v>
      </c>
      <c r="O105" s="56">
        <f t="shared" si="18"/>
        <v>101.22788850277664</v>
      </c>
      <c r="P105" s="57">
        <f t="shared" si="19"/>
        <v>103.75063853930277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4.37028166227394</v>
      </c>
      <c r="K106" s="51">
        <f t="shared" si="11"/>
        <v>2.0057241917237181</v>
      </c>
      <c r="L106" s="55">
        <f t="shared" si="12"/>
        <v>1.0645699542711178E-2</v>
      </c>
      <c r="M106" s="51">
        <f t="shared" si="21"/>
        <v>2.0163698912664292</v>
      </c>
      <c r="N106" s="94">
        <f t="shared" si="17"/>
        <v>23457.496612104103</v>
      </c>
      <c r="O106" s="56">
        <f t="shared" si="18"/>
        <v>101.32676833995794</v>
      </c>
      <c r="P106" s="57">
        <f t="shared" si="19"/>
        <v>103.84124615355329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4.3658982610785211</v>
      </c>
      <c r="K107" s="51">
        <f t="shared" si="11"/>
        <v>2.0061524850586663</v>
      </c>
      <c r="L107" s="55">
        <f t="shared" si="12"/>
        <v>1.0600389114227678E-2</v>
      </c>
      <c r="M107" s="51">
        <f t="shared" si="21"/>
        <v>2.016752874172894</v>
      </c>
      <c r="N107" s="94">
        <f t="shared" si="17"/>
        <v>23221.927299023453</v>
      </c>
      <c r="O107" s="56">
        <f t="shared" si="18"/>
        <v>101.42674424877059</v>
      </c>
      <c r="P107" s="57">
        <f t="shared" si="19"/>
        <v>103.9328590209127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4.3614701660536994</v>
      </c>
      <c r="K108" s="51">
        <f t="shared" si="11"/>
        <v>2.0065851453380015</v>
      </c>
      <c r="L108" s="55">
        <f t="shared" si="12"/>
        <v>1.0554661597791403E-2</v>
      </c>
      <c r="M108" s="51">
        <f t="shared" si="21"/>
        <v>2.0171398069357931</v>
      </c>
      <c r="N108" s="94">
        <f t="shared" si="17"/>
        <v>22986.35798594277</v>
      </c>
      <c r="O108" s="56">
        <f t="shared" si="18"/>
        <v>101.52783968444082</v>
      </c>
      <c r="P108" s="57">
        <f t="shared" si="19"/>
        <v>104.02549880796148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4.356996456392479</v>
      </c>
      <c r="K109" s="51">
        <f t="shared" si="11"/>
        <v>2.0070222625319278</v>
      </c>
      <c r="L109" s="55">
        <f t="shared" si="12"/>
        <v>1.0508509463621937E-2</v>
      </c>
      <c r="M109" s="51">
        <f t="shared" si="21"/>
        <v>2.01753077199555</v>
      </c>
      <c r="N109" s="94">
        <f t="shared" si="17"/>
        <v>22750.788672862094</v>
      </c>
      <c r="O109" s="56">
        <f t="shared" si="18"/>
        <v>101.63007885104058</v>
      </c>
      <c r="P109" s="57">
        <f t="shared" si="19"/>
        <v>104.1191878804277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4.3524761825349509</v>
      </c>
      <c r="K110" s="51">
        <f t="shared" si="11"/>
        <v>2.0074639294200383</v>
      </c>
      <c r="L110" s="55">
        <f t="shared" si="12"/>
        <v>1.0461924985568008E-2</v>
      </c>
      <c r="M110" s="51">
        <f t="shared" si="21"/>
        <v>2.0179258544056062</v>
      </c>
      <c r="N110" s="94">
        <f t="shared" si="17"/>
        <v>22515.219359781422</v>
      </c>
      <c r="O110" s="56">
        <f t="shared" si="18"/>
        <v>101.73348673344327</v>
      </c>
      <c r="P110" s="57">
        <f t="shared" si="19"/>
        <v>104.21394933342607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4.3479083649585846</v>
      </c>
      <c r="K111" s="51">
        <f t="shared" si="11"/>
        <v>2.0079102417095136</v>
      </c>
      <c r="L111" s="55">
        <f t="shared" si="12"/>
        <v>1.0414900234741313E-2</v>
      </c>
      <c r="M111" s="51">
        <f t="shared" si="21"/>
        <v>2.0183251419442549</v>
      </c>
      <c r="N111" s="94">
        <f t="shared" si="17"/>
        <v>22279.650046700754</v>
      </c>
      <c r="O111" s="56">
        <f t="shared" si="18"/>
        <v>101.83808913099359</v>
      </c>
      <c r="P111" s="57">
        <f t="shared" si="19"/>
        <v>104.3098070233462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4.3432919929042173</v>
      </c>
      <c r="K112" s="51">
        <f t="shared" si="11"/>
        <v>2.008361298159604</v>
      </c>
      <c r="L112" s="55">
        <f t="shared" si="12"/>
        <v>1.0367427072928119E-2</v>
      </c>
      <c r="M112" s="51">
        <f t="shared" si="21"/>
        <v>2.0187287252325321</v>
      </c>
      <c r="N112" s="94">
        <f t="shared" si="17"/>
        <v>22044.080733620063</v>
      </c>
      <c r="O112" s="56">
        <f t="shared" si="18"/>
        <v>101.94391269300361</v>
      </c>
      <c r="P112" s="57">
        <f t="shared" si="19"/>
        <v>104.40678560149719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4.3386260230336058</v>
      </c>
      <c r="K113" s="51">
        <f t="shared" si="11"/>
        <v>2.0088172007127949</v>
      </c>
      <c r="L113" s="55">
        <f t="shared" si="12"/>
        <v>1.0319497145772981E-2</v>
      </c>
      <c r="M113" s="51">
        <f t="shared" si="21"/>
        <v>2.0191366978585679</v>
      </c>
      <c r="N113" s="94">
        <f t="shared" si="17"/>
        <v>21808.511420539424</v>
      </c>
      <c r="O113" s="56">
        <f t="shared" si="18"/>
        <v>102.05098495619251</v>
      </c>
      <c r="P113" s="57">
        <f t="shared" si="19"/>
        <v>104.50491054962829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4.3339093780140736</v>
      </c>
      <c r="K114" s="51">
        <f t="shared" si="11"/>
        <v>2.0092780546331008</v>
      </c>
      <c r="L114" s="55">
        <f t="shared" si="12"/>
        <v>1.0271101875729063E-2</v>
      </c>
      <c r="M114" s="51">
        <f t="shared" si="21"/>
        <v>2.0195491565088299</v>
      </c>
      <c r="N114" s="94">
        <f t="shared" si="17"/>
        <v>21572.942107458723</v>
      </c>
      <c r="O114" s="56">
        <f t="shared" si="18"/>
        <v>102.15933438420198</v>
      </c>
      <c r="P114" s="57">
        <f t="shared" si="19"/>
        <v>104.60420821744961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4.3291409450254568</v>
      </c>
      <c r="K115" s="51">
        <f t="shared" si="11"/>
        <v>2.0097439686519469</v>
      </c>
      <c r="L115" s="55">
        <f t="shared" si="12"/>
        <v>1.0222232454770032E-2</v>
      </c>
      <c r="M115" s="51">
        <f t="shared" si="21"/>
        <v>2.0199662011067168</v>
      </c>
      <c r="N115" s="94">
        <f t="shared" si="17"/>
        <v>21337.372794378094</v>
      </c>
      <c r="O115" s="56">
        <f t="shared" si="18"/>
        <v>102.26899040932364</v>
      </c>
      <c r="P115" s="57">
        <f t="shared" si="19"/>
        <v>104.70470586229195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4.3243195741841634</v>
      </c>
      <c r="K116" s="51">
        <f t="shared" si="11"/>
        <v>2.0102150551221514</v>
      </c>
      <c r="L116" s="55">
        <f t="shared" si="12"/>
        <v>1.0172879836858875E-2</v>
      </c>
      <c r="M116" s="51">
        <f t="shared" si="21"/>
        <v>2.0203879349590101</v>
      </c>
      <c r="N116" s="94">
        <f t="shared" si="17"/>
        <v>21101.803481297382</v>
      </c>
      <c r="O116" s="56">
        <f t="shared" si="18"/>
        <v>102.37998347658933</v>
      </c>
      <c r="P116" s="57">
        <f t="shared" si="19"/>
        <v>104.80643169105235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4.3194440768787778</v>
      </c>
      <c r="K117" s="51">
        <f t="shared" si="11"/>
        <v>2.0106914301805503</v>
      </c>
      <c r="L117" s="55">
        <f t="shared" si="12"/>
        <v>1.0123034730169966E-2</v>
      </c>
      <c r="M117" s="51">
        <f t="shared" si="21"/>
        <v>2.0208144649107203</v>
      </c>
      <c r="N117" s="94">
        <f t="shared" si="17"/>
        <v>20866.23416821675</v>
      </c>
      <c r="O117" s="56">
        <f t="shared" si="18"/>
        <v>102.49234509038681</v>
      </c>
      <c r="P117" s="57">
        <f t="shared" si="19"/>
        <v>104.90941490458437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4.314513224011165</v>
      </c>
      <c r="K118" s="51">
        <f t="shared" si="11"/>
        <v>2.0111732139198568</v>
      </c>
      <c r="L118" s="55">
        <f t="shared" si="12"/>
        <v>1.007268758906099E-2</v>
      </c>
      <c r="M118" s="51">
        <f t="shared" si="21"/>
        <v>2.0212459015089177</v>
      </c>
      <c r="N118" s="94">
        <f t="shared" si="17"/>
        <v>20630.6648551361</v>
      </c>
      <c r="O118" s="56">
        <f t="shared" si="18"/>
        <v>102.60610786377448</v>
      </c>
      <c r="P118" s="57">
        <f t="shared" si="19"/>
        <v>105.01368574470874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4.309525744136578</v>
      </c>
      <c r="K119" s="51">
        <f t="shared" si="11"/>
        <v>2.0116605305703854</v>
      </c>
      <c r="L119" s="55">
        <f t="shared" si="12"/>
        <v>1.00218286057929E-2</v>
      </c>
      <c r="M119" s="51">
        <f t="shared" si="21"/>
        <v>2.0216823591761783</v>
      </c>
      <c r="N119" s="94">
        <f t="shared" si="17"/>
        <v>20395.095542055413</v>
      </c>
      <c r="O119" s="56">
        <f t="shared" si="18"/>
        <v>102.72130557068465</v>
      </c>
      <c r="P119" s="57">
        <f t="shared" si="19"/>
        <v>105.11927554402826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4.304480321495725</v>
      </c>
      <c r="K120" s="51">
        <f t="shared" si="11"/>
        <v>2.0121535086923363</v>
      </c>
      <c r="L120" s="55">
        <f t="shared" si="12"/>
        <v>9.9704477019969817E-3</v>
      </c>
      <c r="M120" s="51">
        <f t="shared" si="21"/>
        <v>2.0221239563943332</v>
      </c>
      <c r="N120" s="94">
        <f t="shared" si="17"/>
        <v>20159.526228974719</v>
      </c>
      <c r="O120" s="56">
        <f t="shared" si="18"/>
        <v>102.83797320122117</v>
      </c>
      <c r="P120" s="57">
        <f t="shared" si="19"/>
        <v>105.22621677875321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4.2993755939311695</v>
      </c>
      <c r="K121" s="51">
        <f t="shared" si="11"/>
        <v>2.012652281379379</v>
      </c>
      <c r="L121" s="55">
        <f t="shared" si="12"/>
        <v>9.9185345198895877E-3</v>
      </c>
      <c r="M121" s="51">
        <f t="shared" si="21"/>
        <v>2.0225708158992686</v>
      </c>
      <c r="N121" s="94">
        <f t="shared" si="17"/>
        <v>19923.956915894047</v>
      </c>
      <c r="O121" s="56">
        <f t="shared" si="18"/>
        <v>102.95614702027194</v>
      </c>
      <c r="P121" s="57">
        <f t="shared" si="19"/>
        <v>105.33454312475675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4.2942101506798149</v>
      </c>
      <c r="K122" s="51">
        <f t="shared" si="11"/>
        <v>2.0131569864743453</v>
      </c>
      <c r="L122" s="55">
        <f t="shared" si="12"/>
        <v>9.8660784132370838E-3</v>
      </c>
      <c r="M122" s="51">
        <f t="shared" si="21"/>
        <v>2.0230230648875822</v>
      </c>
      <c r="N122" s="94">
        <f t="shared" si="17"/>
        <v>19688.3876028134</v>
      </c>
      <c r="O122" s="56">
        <f t="shared" si="18"/>
        <v>103.07586462967743</v>
      </c>
      <c r="P122" s="57">
        <f t="shared" si="19"/>
        <v>105.44428951709901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4.2889825300325191</v>
      </c>
      <c r="K123" s="51">
        <f t="shared" si="11"/>
        <v>2.0136677667979015</v>
      </c>
      <c r="L123" s="55">
        <f t="shared" si="12"/>
        <v>9.8130684380755527E-3</v>
      </c>
      <c r="M123" s="51">
        <f t="shared" si="21"/>
        <v>2.023480835235977</v>
      </c>
      <c r="N123" s="94">
        <f t="shared" si="17"/>
        <v>19452.818289732753</v>
      </c>
      <c r="O123" s="56">
        <f t="shared" si="18"/>
        <v>103.19716503421627</v>
      </c>
      <c r="P123" s="57">
        <f t="shared" si="19"/>
        <v>105.55549221328326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4.2836912168511336</v>
      </c>
      <c r="K124" s="51">
        <f t="shared" si="11"/>
        <v>2.0141847703911568</v>
      </c>
      <c r="L124" s="55">
        <f t="shared" si="12"/>
        <v>9.7594933431925084E-3</v>
      </c>
      <c r="M124" s="51">
        <f t="shared" si="21"/>
        <v>2.0239442637343492</v>
      </c>
      <c r="N124" s="94">
        <f t="shared" si="17"/>
        <v>19217.248976652048</v>
      </c>
      <c r="O124" s="56">
        <f t="shared" si="18"/>
        <v>103.32008871169282</v>
      </c>
      <c r="P124" s="57">
        <f t="shared" si="19"/>
        <v>105.66818886052512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4.2783346399324067</v>
      </c>
      <c r="K125" s="51">
        <f t="shared" si="11"/>
        <v>2.0147081507732278</v>
      </c>
      <c r="L125" s="55">
        <f t="shared" si="12"/>
        <v>9.70534156038084E-3</v>
      </c>
      <c r="M125" s="51">
        <f t="shared" si="21"/>
        <v>2.0244134923336086</v>
      </c>
      <c r="N125" s="94">
        <f t="shared" si="17"/>
        <v>18981.679663571394</v>
      </c>
      <c r="O125" s="56">
        <f t="shared" si="18"/>
        <v>103.44467768743264</v>
      </c>
      <c r="P125" s="57">
        <f t="shared" si="19"/>
        <v>105.78241856734665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4.272911169207271</v>
      </c>
      <c r="K126" s="51">
        <f t="shared" si="11"/>
        <v>2.015238067214892</v>
      </c>
      <c r="L126" s="55">
        <f t="shared" si="12"/>
        <v>9.6506011944789104E-3</v>
      </c>
      <c r="M126" s="51">
        <f t="shared" si="21"/>
        <v>2.0248886684093708</v>
      </c>
      <c r="N126" s="94">
        <f t="shared" si="17"/>
        <v>18746.110350490737</v>
      </c>
      <c r="O126" s="56">
        <f t="shared" si="18"/>
        <v>103.57097561352506</v>
      </c>
      <c r="P126" s="57">
        <f t="shared" si="19"/>
        <v>105.89822197983158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4.2674191127630463</v>
      </c>
      <c r="K127" s="51">
        <f t="shared" si="11"/>
        <v>2.0157746850295424</v>
      </c>
      <c r="L127" s="55">
        <f t="shared" si="12"/>
        <v>9.5952600132152652E-3</v>
      </c>
      <c r="M127" s="51">
        <f t="shared" si="21"/>
        <v>2.0253699450427578</v>
      </c>
      <c r="N127" s="94">
        <f t="shared" si="17"/>
        <v>18510.541037410054</v>
      </c>
      <c r="O127" s="56">
        <f t="shared" si="18"/>
        <v>103.69902785317656</v>
      </c>
      <c r="P127" s="57">
        <f t="shared" si="19"/>
        <v>106.0156413629115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4.2618567136749199</v>
      </c>
      <c r="K128" s="51">
        <f t="shared" si="11"/>
        <v>2.0163181758827768</v>
      </c>
      <c r="L128" s="55">
        <f t="shared" si="12"/>
        <v>9.5393054368812166E-3</v>
      </c>
      <c r="M128" s="51">
        <f t="shared" si="21"/>
        <v>2.0258574813196581</v>
      </c>
      <c r="N128" s="94">
        <f t="shared" si="17"/>
        <v>18274.971724329374</v>
      </c>
      <c r="O128" s="56">
        <f t="shared" si="18"/>
        <v>103.82888157057653</v>
      </c>
      <c r="P128" s="57">
        <f t="shared" si="19"/>
        <v>106.13472068708515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4.2562221466318766</v>
      </c>
      <c r="K129" s="51">
        <f t="shared" si="11"/>
        <v>2.0168687181220717</v>
      </c>
      <c r="L129" s="55">
        <f t="shared" si="12"/>
        <v>9.482724527861015E-3</v>
      </c>
      <c r="M129" s="51">
        <f t="shared" si="21"/>
        <v>2.0263514426499327</v>
      </c>
      <c r="N129" s="94">
        <f t="shared" si="17"/>
        <v>18039.402411248688</v>
      </c>
      <c r="O129" s="56">
        <f t="shared" si="18"/>
        <v>103.96058582670928</v>
      </c>
      <c r="P129" s="57">
        <f t="shared" si="19"/>
        <v>106.25550572101433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4.2505135143408603</v>
      </c>
      <c r="K130" s="51">
        <f t="shared" ref="K130:K193" si="22">+$I$14+$I$13*J130</f>
        <v>2.0174264971281248</v>
      </c>
      <c r="L130" s="55">
        <f t="shared" ref="L130:L193" si="23">SQRT(2*$I$20*$I$17)*SQRT((1/$I$2)+((J130-$I$11)^2/$I$8))</f>
        <v>9.4255039800564058E-3</v>
      </c>
      <c r="M130" s="51">
        <f t="shared" si="21"/>
        <v>2.0268520011081814</v>
      </c>
      <c r="N130" s="94">
        <f t="shared" si="17"/>
        <v>17803.833098168048</v>
      </c>
      <c r="O130" s="56">
        <f t="shared" si="18"/>
        <v>104.09419168159215</v>
      </c>
      <c r="P130" s="57">
        <f t="shared" si="19"/>
        <v>106.37804413047837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4.2447288436914343</v>
      </c>
      <c r="K131" s="51">
        <f t="shared" si="22"/>
        <v>2.0179917056895973</v>
      </c>
      <c r="L131" s="55">
        <f t="shared" si="23"/>
        <v>9.3676301082507574E-3</v>
      </c>
      <c r="M131" s="51">
        <f t="shared" si="21"/>
        <v>2.0273593357978479</v>
      </c>
      <c r="N131" s="94">
        <f t="shared" si="17"/>
        <v>17568.26378508738</v>
      </c>
      <c r="O131" s="56">
        <f t="shared" si="18"/>
        <v>104.22975230345948</v>
      </c>
      <c r="P131" s="57">
        <f t="shared" si="19"/>
        <v>106.50238558421965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4.2388660816615538</v>
      </c>
      <c r="K132" s="51">
        <f t="shared" si="22"/>
        <v>2.0185645444031537</v>
      </c>
      <c r="L132" s="55">
        <f t="shared" si="23"/>
        <v>9.3090888374683066E-3</v>
      </c>
      <c r="M132" s="51">
        <f t="shared" si="21"/>
        <v>2.0278736332406222</v>
      </c>
      <c r="N132" s="94">
        <f t="shared" si="17"/>
        <v>17332.694472006689</v>
      </c>
      <c r="O132" s="56">
        <f t="shared" si="18"/>
        <v>104.36732308546603</v>
      </c>
      <c r="P132" s="57">
        <f t="shared" si="19"/>
        <v>106.62858186726504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4.232923090943185</v>
      </c>
      <c r="K133" s="51">
        <f t="shared" si="22"/>
        <v>2.0191452221008732</v>
      </c>
      <c r="L133" s="55">
        <f t="shared" si="23"/>
        <v>9.2498656923956958E-3</v>
      </c>
      <c r="M133" s="51">
        <f t="shared" si="21"/>
        <v>2.0283950877932688</v>
      </c>
      <c r="N133" s="94">
        <f t="shared" si="17"/>
        <v>17097.125158926043</v>
      </c>
      <c r="O133" s="56">
        <f t="shared" si="18"/>
        <v>104.50696177053771</v>
      </c>
      <c r="P133" s="57">
        <f t="shared" si="19"/>
        <v>106.75668700236167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4.2268976452644393</v>
      </c>
      <c r="K134" s="51">
        <f t="shared" si="22"/>
        <v>2.0197339563073147</v>
      </c>
      <c r="L134" s="55">
        <f t="shared" si="23"/>
        <v>9.1899457869469795E-3</v>
      </c>
      <c r="M134" s="51">
        <f t="shared" si="21"/>
        <v>2.0289239020942618</v>
      </c>
      <c r="N134" s="94">
        <f t="shared" si="17"/>
        <v>16861.555845845374</v>
      </c>
      <c r="O134" s="56">
        <f t="shared" si="18"/>
        <v>104.64872858505875</v>
      </c>
      <c r="P134" s="57">
        <f t="shared" si="19"/>
        <v>106.88675738024088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4.2207874243826229</v>
      </c>
      <c r="K135" s="51">
        <f t="shared" si="22"/>
        <v>2.0203309737287358</v>
      </c>
      <c r="L135" s="55">
        <f t="shared" si="23"/>
        <v>9.1293138140700666E-3</v>
      </c>
      <c r="M135" s="51">
        <f t="shared" si="21"/>
        <v>2.0294602875428058</v>
      </c>
      <c r="N135" s="94">
        <f t="shared" si="17"/>
        <v>16625.98653276468</v>
      </c>
      <c r="O135" s="56">
        <f t="shared" si="18"/>
        <v>104.79268638215456</v>
      </c>
      <c r="P135" s="57">
        <f t="shared" si="19"/>
        <v>107.01885189948493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4.2145900087199992</v>
      </c>
      <c r="K136" s="51">
        <f t="shared" si="22"/>
        <v>2.0209365107772221</v>
      </c>
      <c r="L136" s="55">
        <f t="shared" si="23"/>
        <v>9.0679540359116795E-3</v>
      </c>
      <c r="M136" s="51">
        <f t="shared" si="21"/>
        <v>2.0300044648131337</v>
      </c>
      <c r="N136" s="94">
        <f t="shared" si="17"/>
        <v>16390.41721968403</v>
      </c>
      <c r="O136" s="56">
        <f t="shared" si="18"/>
        <v>104.93890079540526</v>
      </c>
      <c r="P136" s="57">
        <f t="shared" si="19"/>
        <v>107.15303211686363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4.2083028736112409</v>
      </c>
      <c r="K137" s="51">
        <f t="shared" si="22"/>
        <v>2.0215508141327567</v>
      </c>
      <c r="L137" s="55">
        <f t="shared" si="23"/>
        <v>9.0058502744812044E-3</v>
      </c>
      <c r="M137" s="51">
        <f t="shared" si="21"/>
        <v>2.0305566644072379</v>
      </c>
      <c r="N137" s="94">
        <f t="shared" si="17"/>
        <v>16154.847906603394</v>
      </c>
      <c r="O137" s="56">
        <f t="shared" si="18"/>
        <v>105.08744040391279</v>
      </c>
      <c r="P137" s="57">
        <f t="shared" si="19"/>
        <v>107.2893624090927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4.2019233831283396</v>
      </c>
      <c r="K138" s="51">
        <f t="shared" si="22"/>
        <v>2.0221741413465759</v>
      </c>
      <c r="L138" s="55">
        <f t="shared" si="23"/>
        <v>8.9429859029808417E-3</v>
      </c>
      <c r="M138" s="51">
        <f t="shared" si="21"/>
        <v>2.0311171272495567</v>
      </c>
      <c r="N138" s="94">
        <f t="shared" si="17"/>
        <v>15919.278593522678</v>
      </c>
      <c r="O138" s="56">
        <f t="shared" si="18"/>
        <v>105.23837690973744</v>
      </c>
      <c r="P138" s="57">
        <f t="shared" si="19"/>
        <v>107.42791014707323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4.1954487834451806</v>
      </c>
      <c r="K139" s="51">
        <f t="shared" si="22"/>
        <v>2.0228067614895036</v>
      </c>
      <c r="L139" s="55">
        <f t="shared" si="23"/>
        <v>8.8793438380017197E-3</v>
      </c>
      <c r="M139" s="51">
        <f t="shared" si="21"/>
        <v>2.0316861053275055</v>
      </c>
      <c r="N139" s="94">
        <f t="shared" si="17"/>
        <v>15683.709280442014</v>
      </c>
      <c r="O139" s="56">
        <f t="shared" si="18"/>
        <v>105.39178532883014</v>
      </c>
      <c r="P139" s="57">
        <f t="shared" si="19"/>
        <v>107.56874588378415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4.1888761956999572</v>
      </c>
      <c r="K140" s="51">
        <f t="shared" si="22"/>
        <v>2.02344895584935</v>
      </c>
      <c r="L140" s="55">
        <f t="shared" si="23"/>
        <v>8.8149065328232291E-3</v>
      </c>
      <c r="M140" s="51">
        <f t="shared" si="21"/>
        <v>2.0322638623821732</v>
      </c>
      <c r="N140" s="94">
        <f t="shared" si="17"/>
        <v>15448.139967361372</v>
      </c>
      <c r="O140" s="56">
        <f t="shared" si="18"/>
        <v>105.54774419670794</v>
      </c>
      <c r="P140" s="57">
        <f t="shared" si="19"/>
        <v>107.71194355713388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4.1822026083091464</v>
      </c>
      <c r="K141" s="51">
        <f t="shared" si="22"/>
        <v>2.0241010186818977</v>
      </c>
      <c r="L141" s="55">
        <f t="shared" si="23"/>
        <v>8.7496559720982789E-3</v>
      </c>
      <c r="M141" s="51">
        <f t="shared" si="21"/>
        <v>2.032850674653996</v>
      </c>
      <c r="N141" s="94">
        <f t="shared" si="17"/>
        <v>15212.570654280709</v>
      </c>
      <c r="O141" s="56">
        <f t="shared" si="18"/>
        <v>105.70633579025325</v>
      </c>
      <c r="P141" s="57">
        <f t="shared" si="19"/>
        <v>107.85758070922287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4.1754248686816711</v>
      </c>
      <c r="K142" s="51">
        <f t="shared" si="22"/>
        <v>2.0247632580204957</v>
      </c>
      <c r="L142" s="55">
        <f t="shared" si="23"/>
        <v>8.6835736682599786E-3</v>
      </c>
      <c r="M142" s="51">
        <f t="shared" si="21"/>
        <v>2.0334468316887557</v>
      </c>
      <c r="N142" s="94">
        <f t="shared" si="17"/>
        <v>14977.001341200026</v>
      </c>
      <c r="O142" s="56">
        <f t="shared" si="18"/>
        <v>105.86764636717473</v>
      </c>
      <c r="P142" s="57">
        <f t="shared" si="19"/>
        <v>108.00573872363636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4.168539674276186</v>
      </c>
      <c r="K143" s="51">
        <f t="shared" si="22"/>
        <v>2.0254359965498305</v>
      </c>
      <c r="L143" s="55">
        <f t="shared" si="23"/>
        <v>8.6166406600484812E-3</v>
      </c>
      <c r="M143" s="51">
        <f t="shared" si="21"/>
        <v>2.0340526372098791</v>
      </c>
      <c r="N143" s="94">
        <f t="shared" si="17"/>
        <v>14741.432028119356</v>
      </c>
      <c r="O143" s="56">
        <f t="shared" si="18"/>
        <v>106.03176642483595</v>
      </c>
      <c r="P143" s="57">
        <f t="shared" si="19"/>
        <v>108.15650308257652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4.1615435629379922</v>
      </c>
      <c r="K144" s="51">
        <f t="shared" si="22"/>
        <v>2.0261195725500918</v>
      </c>
      <c r="L144" s="55">
        <f t="shared" si="23"/>
        <v>8.5488375136316339E-3</v>
      </c>
      <c r="M144" s="51">
        <f t="shared" si="21"/>
        <v>2.0346684100637233</v>
      </c>
      <c r="N144" s="94">
        <f t="shared" si="17"/>
        <v>14505.862715038682</v>
      </c>
      <c r="O144" s="56">
        <f t="shared" si="18"/>
        <v>106.19879098035982</v>
      </c>
      <c r="P144" s="57">
        <f t="shared" si="19"/>
        <v>108.30996364586078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4.1544329024448086</v>
      </c>
      <c r="K145" s="51">
        <f t="shared" si="22"/>
        <v>2.0268143409184294</v>
      </c>
      <c r="L145" s="55">
        <f t="shared" si="23"/>
        <v>8.480144326882216E-3</v>
      </c>
      <c r="M145" s="51">
        <f t="shared" si="21"/>
        <v>2.0352944852453114</v>
      </c>
      <c r="N145" s="94">
        <f t="shared" si="17"/>
        <v>14270.293401958019</v>
      </c>
      <c r="O145" s="56">
        <f t="shared" si="18"/>
        <v>106.36881987413111</v>
      </c>
      <c r="P145" s="57">
        <f t="shared" si="19"/>
        <v>108.466214954054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4.1472038791823636</v>
      </c>
      <c r="K146" s="51">
        <f t="shared" si="22"/>
        <v>2.0275206742754417</v>
      </c>
      <c r="L146" s="55">
        <f t="shared" si="23"/>
        <v>8.4105407374802325E-3</v>
      </c>
      <c r="M146" s="51">
        <f t="shared" si="21"/>
        <v>2.0359312150129218</v>
      </c>
      <c r="N146" s="94">
        <f t="shared" si="17"/>
        <v>14034.724088877365</v>
      </c>
      <c r="O146" s="56">
        <f t="shared" si="18"/>
        <v>106.54195809907631</v>
      </c>
      <c r="P146" s="57">
        <f t="shared" si="19"/>
        <v>108.6253565582864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4.1398524858614323</v>
      </c>
      <c r="K147" s="51">
        <f t="shared" si="22"/>
        <v>2.0282389641653169</v>
      </c>
      <c r="L147" s="55">
        <f t="shared" si="23"/>
        <v>8.3400059356354694E-3</v>
      </c>
      <c r="M147" s="51">
        <f t="shared" si="21"/>
        <v>2.0365789701009525</v>
      </c>
      <c r="N147" s="94">
        <f t="shared" si="17"/>
        <v>13799.154775796691</v>
      </c>
      <c r="O147" s="56">
        <f t="shared" si="18"/>
        <v>106.71831615838329</v>
      </c>
      <c r="P147" s="57">
        <f t="shared" si="19"/>
        <v>108.78749337962672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4.1323745081772625</v>
      </c>
      <c r="K148" s="51">
        <f t="shared" si="22"/>
        <v>2.028969622359317</v>
      </c>
      <c r="L148" s="55">
        <f t="shared" si="23"/>
        <v>8.2685186823759239E-3</v>
      </c>
      <c r="M148" s="51">
        <f t="shared" si="21"/>
        <v>2.0372381410416929</v>
      </c>
      <c r="N148" s="94">
        <f t="shared" si="17"/>
        <v>13563.585462716017</v>
      </c>
      <c r="O148" s="56">
        <f t="shared" si="18"/>
        <v>106.89801045465057</v>
      </c>
      <c r="P148" s="57">
        <f t="shared" si="19"/>
        <v>108.95273610124855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4.1247655103002021</v>
      </c>
      <c r="K149" s="51">
        <f t="shared" si="22"/>
        <v>2.0297130822734553</v>
      </c>
      <c r="L149" s="55">
        <f t="shared" si="23"/>
        <v>8.1960573345283561E-3</v>
      </c>
      <c r="M149" s="51">
        <f t="shared" si="21"/>
        <v>2.0379091396079838</v>
      </c>
      <c r="N149" s="94">
        <f t="shared" si="17"/>
        <v>13328.016149635347</v>
      </c>
      <c r="O149" s="56">
        <f t="shared" si="18"/>
        <v>107.08116371382536</v>
      </c>
      <c r="P149" s="57">
        <f t="shared" si="19"/>
        <v>109.12120159704685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4.1170208190724482</v>
      </c>
      <c r="K150" s="51">
        <f t="shared" si="22"/>
        <v>2.0304698005126038</v>
      </c>
      <c r="L150" s="55">
        <f t="shared" si="23"/>
        <v>8.1225998777330385E-3</v>
      </c>
      <c r="M150" s="51">
        <f t="shared" si="21"/>
        <v>2.0385924003903368</v>
      </c>
      <c r="N150" s="94">
        <f t="shared" si="17"/>
        <v>13092.446836554667</v>
      </c>
      <c r="O150" s="56">
        <f t="shared" si="18"/>
        <v>107.2679054477191</v>
      </c>
      <c r="P150" s="57">
        <f t="shared" si="19"/>
        <v>109.29301340084979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4.1091355067699444</v>
      </c>
      <c r="K151" s="51">
        <f t="shared" si="22"/>
        <v>2.0312402585547922</v>
      </c>
      <c r="L151" s="55">
        <f t="shared" si="23"/>
        <v>8.0481239690940627E-3</v>
      </c>
      <c r="M151" s="51">
        <f t="shared" si="21"/>
        <v>2.0392883825238863</v>
      </c>
      <c r="N151" s="94">
        <f t="shared" si="17"/>
        <v>12856.877523474001</v>
      </c>
      <c r="O151" s="56">
        <f t="shared" si="18"/>
        <v>107.45837245937487</v>
      </c>
      <c r="P151" s="57">
        <f t="shared" si="19"/>
        <v>109.46830222092933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4.1011043722701928</v>
      </c>
      <c r="K152" s="51">
        <f t="shared" si="22"/>
        <v>2.0320249645912623</v>
      </c>
      <c r="L152" s="55">
        <f t="shared" si="23"/>
        <v>7.9726069913780839E-3</v>
      </c>
      <c r="M152" s="51">
        <f t="shared" si="21"/>
        <v>2.0399975715826404</v>
      </c>
      <c r="N152" s="94">
        <f t="shared" si="17"/>
        <v>12621.308210393358</v>
      </c>
      <c r="O152" s="56">
        <f t="shared" si="18"/>
        <v>107.65270939612405</v>
      </c>
      <c r="P152" s="57">
        <f t="shared" si="19"/>
        <v>109.64720650516047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4.0929219204457503</v>
      </c>
      <c r="K153" s="51">
        <f t="shared" si="22"/>
        <v>2.0328244555398904</v>
      </c>
      <c r="L153" s="55">
        <f t="shared" si="23"/>
        <v>7.8960261210498268E-3</v>
      </c>
      <c r="M153" s="51">
        <f t="shared" si="21"/>
        <v>2.0407204816609403</v>
      </c>
      <c r="N153" s="94">
        <f t="shared" si="17"/>
        <v>12385.738897312665</v>
      </c>
      <c r="O153" s="56">
        <f t="shared" si="18"/>
        <v>107.85106935581692</v>
      </c>
      <c r="P153" s="57">
        <f t="shared" si="19"/>
        <v>109.82987306293673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4.0845823395789562</v>
      </c>
      <c r="K154" s="51">
        <f t="shared" si="22"/>
        <v>2.0336392992519476</v>
      </c>
      <c r="L154" s="55">
        <f t="shared" si="23"/>
        <v>7.8183584128857196E-3</v>
      </c>
      <c r="M154" s="51">
        <f t="shared" si="21"/>
        <v>2.0414576576648336</v>
      </c>
      <c r="N154" s="94">
        <f t="shared" si="17"/>
        <v>12150.169584232019</v>
      </c>
      <c r="O154" s="56">
        <f t="shared" si="18"/>
        <v>108.05361455245998</v>
      </c>
      <c r="P154" s="57">
        <f t="shared" si="19"/>
        <v>110.01645775081687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4.0760794765653703</v>
      </c>
      <c r="K155" s="51">
        <f t="shared" si="22"/>
        <v>2.0344700969349208</v>
      </c>
      <c r="L155" s="55">
        <f t="shared" si="23"/>
        <v>7.7395809044547249E-3</v>
      </c>
      <c r="M155" s="51">
        <f t="shared" si="21"/>
        <v>2.0422096778393755</v>
      </c>
      <c r="N155" s="94">
        <f t="shared" si="17"/>
        <v>11914.600271151332</v>
      </c>
      <c r="O155" s="56">
        <f t="shared" si="18"/>
        <v>108.26051704836053</v>
      </c>
      <c r="P155" s="57">
        <f t="shared" si="19"/>
        <v>110.20712622990565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4.0674068096409615</v>
      </c>
      <c r="K156" s="51">
        <f t="shared" si="22"/>
        <v>2.0353174858172873</v>
      </c>
      <c r="L156" s="55">
        <f t="shared" si="23"/>
        <v>7.6596707444201882E-3</v>
      </c>
      <c r="M156" s="51">
        <f t="shared" si="21"/>
        <v>2.0429771565617076</v>
      </c>
      <c r="N156" s="94">
        <f t="shared" si="17"/>
        <v>11679.030958070676</v>
      </c>
      <c r="O156" s="56">
        <f t="shared" si="18"/>
        <v>108.47195956088643</v>
      </c>
      <c r="P156" s="57">
        <f t="shared" si="19"/>
        <v>110.40205480416462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4.0585574183302091</v>
      </c>
      <c r="K157" s="51">
        <f t="shared" si="22"/>
        <v>2.0361821420848236</v>
      </c>
      <c r="L157" s="55">
        <f t="shared" si="23"/>
        <v>7.5786053494228964E-3</v>
      </c>
      <c r="M157" s="51">
        <f t="shared" si="21"/>
        <v>2.0437607474342467</v>
      </c>
      <c r="N157" s="94">
        <f t="shared" si="17"/>
        <v>11443.461644989984</v>
      </c>
      <c r="O157" s="56">
        <f t="shared" si="18"/>
        <v>108.68813635312181</v>
      </c>
      <c r="P157" s="57">
        <f t="shared" si="19"/>
        <v>110.60143135024757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4.0495239502682381</v>
      </c>
      <c r="K158" s="51">
        <f t="shared" si="22"/>
        <v>2.0370647841223475</v>
      </c>
      <c r="L158" s="55">
        <f t="shared" si="23"/>
        <v>7.4963625952886347E-3</v>
      </c>
      <c r="M158" s="51">
        <f t="shared" si="21"/>
        <v>2.0445611467176361</v>
      </c>
      <c r="N158" s="94">
        <f t="shared" si="17"/>
        <v>11207.89233190933</v>
      </c>
      <c r="O158" s="56">
        <f t="shared" si="18"/>
        <v>108.9092542190734</v>
      </c>
      <c r="P158" s="57">
        <f t="shared" si="19"/>
        <v>110.80545635111402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4.0402985844984647</v>
      </c>
      <c r="K159" s="51">
        <f t="shared" si="22"/>
        <v>2.0379661760998338</v>
      </c>
      <c r="L159" s="55">
        <f t="shared" si="23"/>
        <v>7.4129210495023998E-3</v>
      </c>
      <c r="M159" s="51">
        <f t="shared" si="21"/>
        <v>2.0453790971493362</v>
      </c>
      <c r="N159" s="94">
        <f t="shared" si="17"/>
        <v>10972.323018828656</v>
      </c>
      <c r="O159" s="56">
        <f t="shared" si="18"/>
        <v>109.13553357568999</v>
      </c>
      <c r="P159" s="57">
        <f t="shared" si="19"/>
        <v>111.01434404762325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4.030872990786726</v>
      </c>
      <c r="K160" s="51">
        <f t="shared" si="22"/>
        <v>2.0388871319477464</v>
      </c>
      <c r="L160" s="55">
        <f t="shared" si="23"/>
        <v>7.3282602533591926E-3</v>
      </c>
      <c r="M160" s="51">
        <f t="shared" si="21"/>
        <v>2.0462153922011055</v>
      </c>
      <c r="N160" s="94">
        <f t="shared" si="17"/>
        <v>10736.753705747984</v>
      </c>
      <c r="O160" s="56">
        <f t="shared" si="18"/>
        <v>109.36720967584628</v>
      </c>
      <c r="P160" s="57">
        <f t="shared" si="19"/>
        <v>111.2283237246193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4.0212382844215018</v>
      </c>
      <c r="K161" s="51">
        <f t="shared" si="22"/>
        <v>2.0398285197734194</v>
      </c>
      <c r="L161" s="55">
        <f t="shared" si="23"/>
        <v>7.2423610640002618E-3</v>
      </c>
      <c r="M161" s="51">
        <f t="shared" si="21"/>
        <v>2.0470708808374196</v>
      </c>
      <c r="N161" s="94">
        <f t="shared" si="17"/>
        <v>10501.184392667319</v>
      </c>
      <c r="O161" s="56">
        <f t="shared" si="18"/>
        <v>109.60453395867793</v>
      </c>
      <c r="P161" s="57">
        <f t="shared" si="19"/>
        <v>111.44764115077953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4.0113849758856306</v>
      </c>
      <c r="K162" s="51">
        <f t="shared" si="22"/>
        <v>2.0407912667785335</v>
      </c>
      <c r="L162" s="55">
        <f t="shared" si="23"/>
        <v>7.155206068756431E-3</v>
      </c>
      <c r="M162" s="51">
        <f t="shared" si="21"/>
        <v>2.0479464728472898</v>
      </c>
      <c r="N162" s="94">
        <f t="shared" si="17"/>
        <v>10265.615079586654</v>
      </c>
      <c r="O162" s="56">
        <f t="shared" si="18"/>
        <v>109.84777555629506</v>
      </c>
      <c r="P162" s="57">
        <f t="shared" si="19"/>
        <v>111.67256019477436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4.0013029146849899</v>
      </c>
      <c r="K163" s="51">
        <f t="shared" si="22"/>
        <v>2.0417763647475002</v>
      </c>
      <c r="L163" s="55">
        <f t="shared" si="23"/>
        <v>7.0667800869464578E-3</v>
      </c>
      <c r="M163" s="51">
        <f t="shared" si="21"/>
        <v>2.0488431448344468</v>
      </c>
      <c r="N163" s="94">
        <f t="shared" si="17"/>
        <v>10030.045766505989</v>
      </c>
      <c r="O163" s="56">
        <f t="shared" si="18"/>
        <v>110.09722297903791</v>
      </c>
      <c r="P163" s="57">
        <f t="shared" si="19"/>
        <v>111.90336464422487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3.990981226500717</v>
      </c>
      <c r="K164" s="51">
        <f t="shared" si="22"/>
        <v>2.0427848761881959</v>
      </c>
      <c r="L164" s="55">
        <f t="shared" si="23"/>
        <v>6.9770707776469305E-3</v>
      </c>
      <c r="M164" s="51">
        <f t="shared" si="21"/>
        <v>2.0497619469658428</v>
      </c>
      <c r="N164" s="94">
        <f t="shared" si="17"/>
        <v>9794.4764534253045</v>
      </c>
      <c r="O164" s="56">
        <f t="shared" si="18"/>
        <v>110.35318600518974</v>
      </c>
      <c r="P164" s="57">
        <f t="shared" si="19"/>
        <v>112.14036025868032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3.9804082426894527</v>
      </c>
      <c r="K165" s="51">
        <f t="shared" si="22"/>
        <v>2.0438179412203477</v>
      </c>
      <c r="L165" s="55">
        <f t="shared" si="23"/>
        <v>6.8860693761216103E-3</v>
      </c>
      <c r="M165" s="51">
        <f t="shared" si="21"/>
        <v>2.0507040105964691</v>
      </c>
      <c r="N165" s="94">
        <f t="shared" si="17"/>
        <v>9558.9071403446469</v>
      </c>
      <c r="O165" s="56">
        <f t="shared" si="18"/>
        <v>110.61599780553753</v>
      </c>
      <c r="P165" s="57">
        <f t="shared" si="19"/>
        <v>112.38387709354623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3.9695714209856661</v>
      </c>
      <c r="K166" s="51">
        <f t="shared" si="22"/>
        <v>2.0448767853235532</v>
      </c>
      <c r="L166" s="55">
        <f t="shared" si="23"/>
        <v>6.7937715867762635E-3</v>
      </c>
      <c r="M166" s="51">
        <f t="shared" si="21"/>
        <v>2.0516705569103295</v>
      </c>
      <c r="N166" s="94">
        <f t="shared" si="17"/>
        <v>9323.3378272639766</v>
      </c>
      <c r="O166" s="56">
        <f t="shared" si="18"/>
        <v>110.88601733857153</v>
      </c>
      <c r="P166" s="57">
        <f t="shared" si="19"/>
        <v>112.63427213882547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3.9584572560547495</v>
      </c>
      <c r="K167" s="51">
        <f t="shared" si="22"/>
        <v>2.0459627280769572</v>
      </c>
      <c r="L167" s="55">
        <f t="shared" si="23"/>
        <v>6.70017866694665E-3</v>
      </c>
      <c r="M167" s="51">
        <f t="shared" si="21"/>
        <v>2.0526629067439037</v>
      </c>
      <c r="N167" s="94">
        <f t="shared" si="17"/>
        <v>9087.7685141833081</v>
      </c>
      <c r="O167" s="56">
        <f t="shared" si="18"/>
        <v>111.16363205861603</v>
      </c>
      <c r="P167" s="57">
        <f t="shared" si="19"/>
        <v>112.89193232496437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3.9470511782970488</v>
      </c>
      <c r="K168" s="51">
        <f t="shared" si="22"/>
        <v>2.0470771930469058</v>
      </c>
      <c r="L168" s="55">
        <f t="shared" si="23"/>
        <v>6.6052987438575067E-3</v>
      </c>
      <c r="M168" s="51">
        <f t="shared" si="21"/>
        <v>2.0536824917907635</v>
      </c>
      <c r="N168" s="94">
        <f t="shared" ref="N168:N204" si="24">10^$J168</f>
        <v>8852.1992011026359</v>
      </c>
      <c r="O168" s="56">
        <f t="shared" ref="O168:O204" si="25">10^K168</f>
        <v>111.44926098708733</v>
      </c>
      <c r="P168" s="57">
        <f t="shared" ref="P168:P204" si="26">10^M168</f>
        <v>113.15727795840588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3.9353374390008367</v>
      </c>
      <c r="K169" s="51">
        <f t="shared" si="22"/>
        <v>2.0482217190084198</v>
      </c>
      <c r="L169" s="55">
        <f t="shared" si="23"/>
        <v>6.5091484171195197E-3</v>
      </c>
      <c r="M169" s="51">
        <f t="shared" ref="M169:M204" si="28">+$I$14+$I$13*J169+L169</f>
        <v>2.0547308674255391</v>
      </c>
      <c r="N169" s="94">
        <f t="shared" si="24"/>
        <v>8616.6298880219692</v>
      </c>
      <c r="O169" s="56">
        <f t="shared" si="25"/>
        <v>111.74335820669866</v>
      </c>
      <c r="P169" s="57">
        <f t="shared" si="26"/>
        <v>113.43076666210207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3.9232989795730173</v>
      </c>
      <c r="K170" s="51">
        <f t="shared" si="22"/>
        <v>2.0493979727224008</v>
      </c>
      <c r="L170" s="55">
        <f t="shared" si="23"/>
        <v>6.4117547116759408E-3</v>
      </c>
      <c r="M170" s="51">
        <f t="shared" si="28"/>
        <v>2.0558097274340765</v>
      </c>
      <c r="N170" s="94">
        <f t="shared" si="24"/>
        <v>8381.0605749413116</v>
      </c>
      <c r="O170" s="56">
        <f t="shared" si="25"/>
        <v>112.04641685021907</v>
      </c>
      <c r="P170" s="57">
        <f t="shared" si="26"/>
        <v>113.71289791185424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3.9109172821229046</v>
      </c>
      <c r="K171" s="51">
        <f t="shared" si="22"/>
        <v>2.050607763534789</v>
      </c>
      <c r="L171" s="55">
        <f t="shared" si="23"/>
        <v>6.313157461820415E-3</v>
      </c>
      <c r="M171" s="51">
        <f t="shared" si="28"/>
        <v>2.0569209209966095</v>
      </c>
      <c r="N171" s="94">
        <f t="shared" si="24"/>
        <v>8145.4912618606386</v>
      </c>
      <c r="O171" s="56">
        <f t="shared" si="25"/>
        <v>112.35897366991043</v>
      </c>
      <c r="P171" s="57">
        <f t="shared" si="26"/>
        <v>114.00421827866784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3.8981721981144393</v>
      </c>
      <c r="K172" s="51">
        <f t="shared" si="22"/>
        <v>2.0518530601186118</v>
      </c>
      <c r="L172" s="55">
        <f t="shared" si="23"/>
        <v>6.2134122265931407E-3</v>
      </c>
      <c r="M172" s="51">
        <f t="shared" si="28"/>
        <v>2.0580664723452049</v>
      </c>
      <c r="N172" s="94">
        <f t="shared" si="24"/>
        <v>7909.9219487799719</v>
      </c>
      <c r="O172" s="56">
        <f t="shared" si="25"/>
        <v>112.68161429174107</v>
      </c>
      <c r="P172" s="57">
        <f t="shared" si="26"/>
        <v>114.30532751138193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3.8850417511067215</v>
      </c>
      <c r="K173" s="51">
        <f t="shared" si="22"/>
        <v>2.0531360097478117</v>
      </c>
      <c r="L173" s="55">
        <f t="shared" si="23"/>
        <v>6.11259386152884E-3</v>
      </c>
      <c r="M173" s="51">
        <f t="shared" si="28"/>
        <v>2.0592486036093405</v>
      </c>
      <c r="N173" s="94">
        <f t="shared" si="24"/>
        <v>7674.3526356992952</v>
      </c>
      <c r="O173" s="56">
        <f t="shared" si="25"/>
        <v>113.01497928085323</v>
      </c>
      <c r="P173" s="57">
        <f t="shared" si="26"/>
        <v>114.61688562390081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3.8715019087337117</v>
      </c>
      <c r="K174" s="51">
        <f t="shared" si="22"/>
        <v>2.0544589605766501</v>
      </c>
      <c r="L174" s="55">
        <f t="shared" si="23"/>
        <v>6.0108009026073918E-3</v>
      </c>
      <c r="M174" s="51">
        <f t="shared" si="28"/>
        <v>2.0604697614792573</v>
      </c>
      <c r="N174" s="94">
        <f t="shared" si="24"/>
        <v>7438.7833226186294</v>
      </c>
      <c r="O174" s="56">
        <f t="shared" si="25"/>
        <v>113.3597711728019</v>
      </c>
      <c r="P174" s="57">
        <f t="shared" si="26"/>
        <v>114.93962118913528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3.8575263179810091</v>
      </c>
      <c r="K175" s="51">
        <f t="shared" si="22"/>
        <v>2.0558244875052831</v>
      </c>
      <c r="L175" s="55">
        <f t="shared" si="23"/>
        <v>5.9081609568253542E-3</v>
      </c>
      <c r="M175" s="51">
        <f t="shared" si="28"/>
        <v>2.0617326484621086</v>
      </c>
      <c r="N175" s="94">
        <f t="shared" si="24"/>
        <v>7203.2140095379655</v>
      </c>
      <c r="O175" s="56">
        <f t="shared" si="25"/>
        <v>113.71676266045695</v>
      </c>
      <c r="P175" s="57">
        <f t="shared" si="26"/>
        <v>115.2743410894317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3.8430859964338446</v>
      </c>
      <c r="K176" s="51">
        <f t="shared" si="22"/>
        <v>2.0572354223473011</v>
      </c>
      <c r="L176" s="55">
        <f t="shared" si="23"/>
        <v>5.8048373417976407E-3</v>
      </c>
      <c r="M176" s="51">
        <f t="shared" si="28"/>
        <v>2.0630402596890987</v>
      </c>
      <c r="N176" s="94">
        <f t="shared" si="24"/>
        <v>6967.644696457297</v>
      </c>
      <c r="O176" s="56">
        <f t="shared" si="25"/>
        <v>114.08680617135865</v>
      </c>
      <c r="P176" s="57">
        <f t="shared" si="26"/>
        <v>115.62194203369279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3.828148970405568</v>
      </c>
      <c r="K177" s="51">
        <f t="shared" si="22"/>
        <v>2.0586948891874672</v>
      </c>
      <c r="L177" s="55">
        <f t="shared" si="23"/>
        <v>5.7010372761581189E-3</v>
      </c>
      <c r="M177" s="51">
        <f t="shared" si="28"/>
        <v>2.0643959264636256</v>
      </c>
      <c r="N177" s="94">
        <f t="shared" si="24"/>
        <v>6732.0753833766266</v>
      </c>
      <c r="O177" s="56">
        <f t="shared" si="25"/>
        <v>114.47084512777002</v>
      </c>
      <c r="P177" s="57">
        <f t="shared" si="26"/>
        <v>115.9834242283506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3.8126798485878486</v>
      </c>
      <c r="K178" s="51">
        <f t="shared" si="22"/>
        <v>2.0602063460395019</v>
      </c>
      <c r="L178" s="55">
        <f t="shared" si="23"/>
        <v>5.5970219952922997E-3</v>
      </c>
      <c r="M178" s="51">
        <f t="shared" si="28"/>
        <v>2.065803368034794</v>
      </c>
      <c r="N178" s="94">
        <f t="shared" si="24"/>
        <v>6496.5060702959609</v>
      </c>
      <c r="O178" s="56">
        <f t="shared" si="25"/>
        <v>114.86992725572118</v>
      </c>
      <c r="P178" s="57">
        <f t="shared" si="26"/>
        <v>116.35990768778649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3.7966393169250079</v>
      </c>
      <c r="K179" s="51">
        <f t="shared" si="22"/>
        <v>2.0617736342008959</v>
      </c>
      <c r="L179" s="55">
        <f t="shared" si="23"/>
        <v>5.4931192549573672E-3</v>
      </c>
      <c r="M179" s="51">
        <f t="shared" si="28"/>
        <v>2.0672667534558533</v>
      </c>
      <c r="N179" s="94">
        <f t="shared" si="24"/>
        <v>6260.9367572152951</v>
      </c>
      <c r="O179" s="56">
        <f t="shared" si="25"/>
        <v>115.28522040559744</v>
      </c>
      <c r="P179" s="57">
        <f t="shared" si="26"/>
        <v>116.75265179628983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3.7799835365737411</v>
      </c>
      <c r="K180" s="51">
        <f t="shared" si="22"/>
        <v>2.0634010370770608</v>
      </c>
      <c r="L180" s="55">
        <f t="shared" si="23"/>
        <v>5.3897387897750646E-3</v>
      </c>
      <c r="M180" s="51">
        <f t="shared" si="28"/>
        <v>2.068790775866836</v>
      </c>
      <c r="N180" s="94">
        <f t="shared" si="24"/>
        <v>6025.3674441346184</v>
      </c>
      <c r="O180" s="56">
        <f t="shared" si="25"/>
        <v>115.71803147306068</v>
      </c>
      <c r="P180" s="57">
        <f t="shared" si="26"/>
        <v>117.16307889688566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3.7626634217416512</v>
      </c>
      <c r="K181" s="51">
        <f t="shared" si="22"/>
        <v>2.0650933507422744</v>
      </c>
      <c r="L181" s="55">
        <f t="shared" si="23"/>
        <v>5.2873914139471576E-3</v>
      </c>
      <c r="M181" s="51">
        <f t="shared" si="28"/>
        <v>2.0703807421562215</v>
      </c>
      <c r="N181" s="94">
        <f t="shared" si="24"/>
        <v>5789.7981310539508</v>
      </c>
      <c r="O181" s="56">
        <f t="shared" si="25"/>
        <v>116.16982917619518</v>
      </c>
      <c r="P181" s="57">
        <f t="shared" si="26"/>
        <v>117.5928028940094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3.7446237674445162</v>
      </c>
      <c r="K182" s="51">
        <f t="shared" si="22"/>
        <v>2.0668559691647701</v>
      </c>
      <c r="L182" s="55">
        <f t="shared" si="23"/>
        <v>5.1867125842289452E-3</v>
      </c>
      <c r="M182" s="51">
        <f t="shared" si="28"/>
        <v>2.0720426817489992</v>
      </c>
      <c r="N182" s="94">
        <f t="shared" si="24"/>
        <v>5554.2288179732832</v>
      </c>
      <c r="O182" s="56">
        <f t="shared" si="25"/>
        <v>116.64227166826049</v>
      </c>
      <c r="P182" s="57">
        <f t="shared" si="26"/>
        <v>118.04366413272126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3.7258021881247614</v>
      </c>
      <c r="K183" s="51">
        <f t="shared" si="22"/>
        <v>2.0686949879121928</v>
      </c>
      <c r="L183" s="55">
        <f t="shared" si="23"/>
        <v>5.0884913811251797E-3</v>
      </c>
      <c r="M183" s="51">
        <f t="shared" si="28"/>
        <v>2.0737834792933181</v>
      </c>
      <c r="N183" s="94">
        <f t="shared" si="24"/>
        <v>5318.6595048926183</v>
      </c>
      <c r="O183" s="56">
        <f t="shared" si="25"/>
        <v>117.13724026758088</v>
      </c>
      <c r="P183" s="57">
        <f t="shared" si="26"/>
        <v>118.51777217830634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3.706127815675305</v>
      </c>
      <c r="K184" s="51">
        <f t="shared" si="22"/>
        <v>2.0706173313650797</v>
      </c>
      <c r="L184" s="55">
        <f t="shared" si="23"/>
        <v>4.9937059856395519E-3</v>
      </c>
      <c r="M184" s="51">
        <f t="shared" si="28"/>
        <v>2.0756110373507193</v>
      </c>
      <c r="N184" s="94">
        <f t="shared" si="24"/>
        <v>5083.0901918119507</v>
      </c>
      <c r="O184" s="56">
        <f t="shared" si="25"/>
        <v>117.6568809994646</v>
      </c>
      <c r="P184" s="57">
        <f t="shared" si="26"/>
        <v>119.01755859646011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3.6855196883022137</v>
      </c>
      <c r="K185" s="51">
        <f t="shared" si="22"/>
        <v>2.0726309101378564</v>
      </c>
      <c r="L185" s="55">
        <f t="shared" si="23"/>
        <v>4.9035668052498311E-3</v>
      </c>
      <c r="M185" s="51">
        <f t="shared" si="28"/>
        <v>2.0775344769431063</v>
      </c>
      <c r="N185" s="94">
        <f t="shared" si="24"/>
        <v>4847.5208787312758</v>
      </c>
      <c r="O185" s="56">
        <f t="shared" si="25"/>
        <v>118.20365621777806</v>
      </c>
      <c r="P185" s="57">
        <f t="shared" si="26"/>
        <v>119.54584246832061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3.6638847377204216</v>
      </c>
      <c r="K186" s="51">
        <f t="shared" si="22"/>
        <v>2.0747448177459029</v>
      </c>
      <c r="L186" s="55">
        <f t="shared" si="23"/>
        <v>4.8195683876583184E-3</v>
      </c>
      <c r="M186" s="51">
        <f t="shared" si="28"/>
        <v>2.0795643861335611</v>
      </c>
      <c r="N186" s="94">
        <f t="shared" si="24"/>
        <v>4611.9515656506037</v>
      </c>
      <c r="O186" s="56">
        <f t="shared" si="25"/>
        <v>118.78040937842837</v>
      </c>
      <c r="P186" s="57">
        <f t="shared" si="26"/>
        <v>120.10591222973382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3.6411152481817668</v>
      </c>
      <c r="K187" s="51">
        <f t="shared" si="22"/>
        <v>2.0769695788788267</v>
      </c>
      <c r="L187" s="55">
        <f t="shared" si="23"/>
        <v>4.7435510927391743E-3</v>
      </c>
      <c r="M187" s="51">
        <f t="shared" si="28"/>
        <v>2.0817131299715661</v>
      </c>
      <c r="N187" s="94">
        <f t="shared" si="24"/>
        <v>4376.382252569937</v>
      </c>
      <c r="O187" s="56">
        <f t="shared" si="25"/>
        <v>119.39044718458432</v>
      </c>
      <c r="P187" s="57">
        <f t="shared" si="26"/>
        <v>120.70162859907083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3.6170856117671564</v>
      </c>
      <c r="K188" s="51">
        <f t="shared" si="22"/>
        <v>2.0793174664343539</v>
      </c>
      <c r="L188" s="55">
        <f t="shared" si="23"/>
        <v>4.6777731082234559E-3</v>
      </c>
      <c r="M188" s="51">
        <f t="shared" si="28"/>
        <v>2.0839952395425771</v>
      </c>
      <c r="N188" s="94">
        <f t="shared" si="24"/>
        <v>4140.8129394892721</v>
      </c>
      <c r="O188" s="56">
        <f t="shared" si="25"/>
        <v>120.03764498735782</v>
      </c>
      <c r="P188" s="57">
        <f t="shared" si="26"/>
        <v>121.33755501479278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3.591648132273376</v>
      </c>
      <c r="K189" s="51">
        <f t="shared" si="22"/>
        <v>2.0818029115121295</v>
      </c>
      <c r="L189" s="55">
        <f t="shared" si="23"/>
        <v>4.6249927666791955E-3</v>
      </c>
      <c r="M189" s="51">
        <f t="shared" si="28"/>
        <v>2.0864279042788088</v>
      </c>
      <c r="N189" s="94">
        <f t="shared" si="24"/>
        <v>3905.2436264086027</v>
      </c>
      <c r="O189" s="56">
        <f t="shared" si="25"/>
        <v>120.72658378232676</v>
      </c>
      <c r="P189" s="57">
        <f t="shared" si="26"/>
        <v>122.01912442123637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3.5646275219630001</v>
      </c>
      <c r="K190" s="51">
        <f t="shared" si="22"/>
        <v>2.0844430411252395</v>
      </c>
      <c r="L190" s="55">
        <f t="shared" si="23"/>
        <v>4.588560350306926E-3</v>
      </c>
      <c r="M190" s="51">
        <f t="shared" si="28"/>
        <v>2.0890316014755466</v>
      </c>
      <c r="N190" s="94">
        <f t="shared" si="24"/>
        <v>3669.6743133279315</v>
      </c>
      <c r="O190" s="56">
        <f t="shared" si="25"/>
        <v>121.46273084268782</v>
      </c>
      <c r="P190" s="57">
        <f t="shared" si="26"/>
        <v>122.75285491298246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3.5358135698961952</v>
      </c>
      <c r="K191" s="51">
        <f t="shared" si="22"/>
        <v>2.0872583945628005</v>
      </c>
      <c r="L191" s="55">
        <f t="shared" si="23"/>
        <v>4.5725180468167278E-3</v>
      </c>
      <c r="M191" s="51">
        <f t="shared" si="28"/>
        <v>2.0918309126096171</v>
      </c>
      <c r="N191" s="94">
        <f t="shared" si="24"/>
        <v>3434.1050002472684</v>
      </c>
      <c r="O191" s="56">
        <f t="shared" si="25"/>
        <v>122.25268172888632</v>
      </c>
      <c r="P191" s="57">
        <f t="shared" si="26"/>
        <v>123.5466325676371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3.5049512006540389</v>
      </c>
      <c r="K192" s="51">
        <f t="shared" si="22"/>
        <v>2.0902738947321531</v>
      </c>
      <c r="L192" s="55">
        <f t="shared" si="23"/>
        <v>4.5817073764627151E-3</v>
      </c>
      <c r="M192" s="51">
        <f t="shared" si="28"/>
        <v>2.0948556021086158</v>
      </c>
      <c r="N192" s="94">
        <f t="shared" si="24"/>
        <v>3198.5356871665931</v>
      </c>
      <c r="O192" s="56">
        <f t="shared" si="25"/>
        <v>123.10449041222533</v>
      </c>
      <c r="P192" s="57">
        <f t="shared" si="26"/>
        <v>124.4100893841341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3.4717267228159279</v>
      </c>
      <c r="K193" s="51">
        <f t="shared" si="22"/>
        <v>2.093520191792543</v>
      </c>
      <c r="L193" s="55">
        <f t="shared" si="23"/>
        <v>4.6218870189894878E-3</v>
      </c>
      <c r="M193" s="51">
        <f t="shared" si="28"/>
        <v>2.0981420788115326</v>
      </c>
      <c r="N193" s="94">
        <f t="shared" si="24"/>
        <v>2962.9663740859287</v>
      </c>
      <c r="O193" s="56">
        <f t="shared" si="25"/>
        <v>124.02812885738679</v>
      </c>
      <c r="P193" s="57">
        <f t="shared" si="26"/>
        <v>125.35512053308538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3.4357483681765899</v>
      </c>
      <c r="K194" s="51">
        <f t="shared" ref="K194:K204" si="29">+$I$14+$I$13*J194</f>
        <v>2.0970355646291745</v>
      </c>
      <c r="L194" s="55">
        <f t="shared" ref="L194:L204" si="30">SQRT(2*$I$20*$I$17)*SQRT((1/$I$2)+((J194-$I$11)^2/$I$8))</f>
        <v>4.6998733747628191E-3</v>
      </c>
      <c r="M194" s="51">
        <f t="shared" si="28"/>
        <v>2.1017354380039373</v>
      </c>
      <c r="N194" s="94">
        <f t="shared" si="24"/>
        <v>2727.397061005257</v>
      </c>
      <c r="O194" s="56">
        <f t="shared" si="25"/>
        <v>125.03614188533508</v>
      </c>
      <c r="P194" s="57">
        <f t="shared" si="26"/>
        <v>126.39661344207374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3.3965180176374492</v>
      </c>
      <c r="K195" s="51">
        <f t="shared" si="29"/>
        <v>2.1008686834596291</v>
      </c>
      <c r="L195" s="55">
        <f t="shared" si="30"/>
        <v>4.8237353869089502E-3</v>
      </c>
      <c r="M195" s="51">
        <f t="shared" si="28"/>
        <v>2.1056924188465382</v>
      </c>
      <c r="N195" s="94">
        <f t="shared" si="24"/>
        <v>2491.827747924594</v>
      </c>
      <c r="O195" s="56">
        <f t="shared" si="25"/>
        <v>126.1446056619284</v>
      </c>
      <c r="P195" s="57">
        <f t="shared" si="26"/>
        <v>127.55351143335388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3.3533888428283811</v>
      </c>
      <c r="K196" s="51">
        <f t="shared" si="29"/>
        <v>2.1050827485860077</v>
      </c>
      <c r="L196" s="55">
        <f t="shared" si="30"/>
        <v>5.0031094717388827E-3</v>
      </c>
      <c r="M196" s="51">
        <f t="shared" si="28"/>
        <v>2.1100858580577468</v>
      </c>
      <c r="N196" s="94">
        <f t="shared" si="24"/>
        <v>2256.258434843925</v>
      </c>
      <c r="O196" s="56">
        <f t="shared" si="25"/>
        <v>127.37457518854832</v>
      </c>
      <c r="P196" s="57">
        <f t="shared" si="26"/>
        <v>128.85042579879286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3.3054995034767476</v>
      </c>
      <c r="K197" s="51">
        <f t="shared" si="29"/>
        <v>2.1097619198379602</v>
      </c>
      <c r="L197" s="55">
        <f t="shared" si="30"/>
        <v>5.2497583927255129E-3</v>
      </c>
      <c r="M197" s="51">
        <f t="shared" si="28"/>
        <v>2.1150116782306858</v>
      </c>
      <c r="N197" s="94">
        <f t="shared" si="24"/>
        <v>2020.6891217632553</v>
      </c>
      <c r="O197" s="56">
        <f t="shared" si="25"/>
        <v>128.75435270442364</v>
      </c>
      <c r="P197" s="57">
        <f t="shared" si="26"/>
        <v>130.3201821234359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3.251667369189732</v>
      </c>
      <c r="K198" s="51">
        <f t="shared" si="29"/>
        <v>2.1150217496580694</v>
      </c>
      <c r="L198" s="55">
        <f t="shared" si="30"/>
        <v>5.5785988913523606E-3</v>
      </c>
      <c r="M198" s="51">
        <f t="shared" si="28"/>
        <v>2.1206003485494218</v>
      </c>
      <c r="N198" s="94">
        <f t="shared" si="24"/>
        <v>1785.1198086825843</v>
      </c>
      <c r="O198" s="56">
        <f t="shared" si="25"/>
        <v>130.32320432501675</v>
      </c>
      <c r="P198" s="57">
        <f t="shared" si="26"/>
        <v>132.00802956416817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3.1902057332722689</v>
      </c>
      <c r="K199" s="51">
        <f t="shared" si="29"/>
        <v>2.1210270427729174</v>
      </c>
      <c r="L199" s="55">
        <f t="shared" si="30"/>
        <v>6.0096201076439495E-3</v>
      </c>
      <c r="M199" s="51">
        <f t="shared" si="28"/>
        <v>2.1270366628805615</v>
      </c>
      <c r="N199" s="94">
        <f t="shared" si="24"/>
        <v>1549.5504956019188</v>
      </c>
      <c r="O199" s="56">
        <f t="shared" si="25"/>
        <v>132.13779115623512</v>
      </c>
      <c r="P199" s="57">
        <f t="shared" si="26"/>
        <v>133.978978690492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3.1185891457521469</v>
      </c>
      <c r="K200" s="51">
        <f t="shared" si="29"/>
        <v>2.1280245558316495</v>
      </c>
      <c r="L200" s="55">
        <f t="shared" si="30"/>
        <v>6.5715626883575077E-3</v>
      </c>
      <c r="M200" s="51">
        <f t="shared" si="28"/>
        <v>2.1345961185200069</v>
      </c>
      <c r="N200" s="94">
        <f t="shared" si="24"/>
        <v>1313.98118252125</v>
      </c>
      <c r="O200" s="56">
        <f t="shared" si="25"/>
        <v>134.28408857555871</v>
      </c>
      <c r="P200" s="57">
        <f t="shared" si="26"/>
        <v>136.33147030913037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3.0327846592396304</v>
      </c>
      <c r="K201" s="51">
        <f t="shared" si="29"/>
        <v>2.1364083400310911</v>
      </c>
      <c r="L201" s="55">
        <f t="shared" si="30"/>
        <v>7.3094023595320053E-3</v>
      </c>
      <c r="M201" s="51">
        <f t="shared" si="28"/>
        <v>2.1437177423906233</v>
      </c>
      <c r="N201" s="94">
        <f t="shared" si="24"/>
        <v>1078.4118694405811</v>
      </c>
      <c r="O201" s="56">
        <f t="shared" si="25"/>
        <v>136.90154205156372</v>
      </c>
      <c r="P201" s="57">
        <f t="shared" si="26"/>
        <v>139.22516536316726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2.9257464556566135</v>
      </c>
      <c r="K202" s="51">
        <f t="shared" si="29"/>
        <v>2.1468668281173175</v>
      </c>
      <c r="L202" s="55">
        <f t="shared" si="30"/>
        <v>8.3012543763911067E-3</v>
      </c>
      <c r="M202" s="51">
        <f t="shared" si="28"/>
        <v>2.1551680824937085</v>
      </c>
      <c r="N202" s="94">
        <f t="shared" si="24"/>
        <v>842.84255635991258</v>
      </c>
      <c r="O202" s="56">
        <f t="shared" si="25"/>
        <v>140.2383612285152</v>
      </c>
      <c r="P202" s="57">
        <f t="shared" si="26"/>
        <v>142.94470821449576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2.7833841463421027</v>
      </c>
      <c r="K203" s="51">
        <f t="shared" si="29"/>
        <v>2.1607767636922239</v>
      </c>
      <c r="L203" s="55">
        <f t="shared" si="30"/>
        <v>9.7036243318090378E-3</v>
      </c>
      <c r="M203" s="51">
        <f t="shared" si="28"/>
        <v>2.1704803880240329</v>
      </c>
      <c r="N203" s="94">
        <f t="shared" si="24"/>
        <v>607.27324327924021</v>
      </c>
      <c r="O203" s="56">
        <f t="shared" si="25"/>
        <v>144.80273463377193</v>
      </c>
      <c r="P203" s="57">
        <f t="shared" si="26"/>
        <v>148.07453858969637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2.5701971531175989</v>
      </c>
      <c r="K204" s="51">
        <f t="shared" si="29"/>
        <v>2.1816068370131729</v>
      </c>
      <c r="L204" s="55">
        <f t="shared" si="30"/>
        <v>1.1912675248719317E-2</v>
      </c>
      <c r="M204" s="51">
        <f t="shared" si="28"/>
        <v>2.1935195122618922</v>
      </c>
      <c r="N204" s="97">
        <f t="shared" si="24"/>
        <v>371.70393019857528</v>
      </c>
      <c r="O204" s="91">
        <f t="shared" si="25"/>
        <v>151.91716142811671</v>
      </c>
      <c r="P204" s="92">
        <f t="shared" si="26"/>
        <v>156.1419188839624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zoomScaleNormal="100" workbookViewId="0">
      <selection activeCell="A2" sqref="A2:A42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 t="e">
        <f>'New Vestas G30 85L'!#REF!</f>
        <v>#REF!</v>
      </c>
      <c r="B2" s="48">
        <f>'New Vestas G30 85L'!T7</f>
        <v>100.92286507311093</v>
      </c>
      <c r="C2" s="50" t="e">
        <f t="shared" ref="C2:D42" si="0">IF(ISNA(A2),"",LOG10(A2))</f>
        <v>#REF!</v>
      </c>
      <c r="D2" s="50">
        <f t="shared" si="0"/>
        <v>2.0039895710942521</v>
      </c>
      <c r="E2" s="51" t="e">
        <f>IF(C2="","",C2^2)</f>
        <v>#REF!</v>
      </c>
      <c r="F2" s="51">
        <f>IF(D2="","",D2^2)</f>
        <v>4.015974201054525</v>
      </c>
      <c r="G2" s="52" t="e">
        <f>IF(OR(C2="",D2=""),"",C2*D2)</f>
        <v>#REF!</v>
      </c>
      <c r="H2" s="53" t="s">
        <v>57</v>
      </c>
      <c r="I2" s="54">
        <f>COUNT(C:C)</f>
        <v>40</v>
      </c>
      <c r="J2" s="51" t="e">
        <f t="shared" ref="J2:J65" si="1">LOG($I$24+($I$25-$I$24)*(ROW()-2)/100)</f>
        <v>#REF!</v>
      </c>
      <c r="K2" s="51" t="e">
        <f t="shared" ref="K2:K65" si="2">+$I$14+$I$13*J2</f>
        <v>#REF!</v>
      </c>
      <c r="L2" s="55" t="e">
        <f t="shared" ref="L2:L65" si="3">SQRT(2*$I$20*$I$17)*SQRT((1/$I$2)+((J2-$I$11)^2/$I$8))</f>
        <v>#REF!</v>
      </c>
      <c r="M2" s="51" t="e">
        <f t="shared" ref="M2:M65" si="4">+$I$14+$I$13*J2-L2</f>
        <v>#REF!</v>
      </c>
      <c r="N2" s="94" t="e">
        <f>10^$J2</f>
        <v>#REF!</v>
      </c>
      <c r="O2" s="56" t="e">
        <f>10^K2</f>
        <v>#REF!</v>
      </c>
      <c r="P2" s="57" t="e">
        <f t="shared" ref="P2:P65" si="5">10^M2</f>
        <v>#REF!</v>
      </c>
      <c r="R2" s="47"/>
      <c r="S2" s="47"/>
      <c r="T2" s="47"/>
    </row>
    <row r="3" spans="1:20" ht="12.75" customHeight="1" x14ac:dyDescent="0.35">
      <c r="A3" s="49">
        <f>'New Vestas G30 85L'!Y8</f>
        <v>9.138601036269435</v>
      </c>
      <c r="B3" s="48">
        <f>'New Vestas G30 85L'!T8</f>
        <v>117.92779020417348</v>
      </c>
      <c r="C3" s="50">
        <f t="shared" si="0"/>
        <v>0.96087971775463077</v>
      </c>
      <c r="D3" s="50">
        <f t="shared" si="0"/>
        <v>2.0716161605670114</v>
      </c>
      <c r="E3" s="51">
        <f t="shared" ref="E3:F42" si="6">IF(C3="","",C3^2)</f>
        <v>0.92328983199221892</v>
      </c>
      <c r="F3" s="51">
        <f t="shared" si="6"/>
        <v>4.2915935167224051</v>
      </c>
      <c r="G3" s="52">
        <f t="shared" ref="G3:G42" si="7">IF(OR(C3="",D3=""),"",C3*D3)</f>
        <v>1.9905739516615617</v>
      </c>
      <c r="H3" s="53" t="s">
        <v>58</v>
      </c>
      <c r="I3" s="58" t="e">
        <f>SUM(C:C)</f>
        <v>#REF!</v>
      </c>
      <c r="J3" s="51" t="e">
        <f t="shared" si="1"/>
        <v>#REF!</v>
      </c>
      <c r="K3" s="51" t="e">
        <f t="shared" si="2"/>
        <v>#REF!</v>
      </c>
      <c r="L3" s="55" t="e">
        <f t="shared" si="3"/>
        <v>#REF!</v>
      </c>
      <c r="M3" s="51" t="e">
        <f t="shared" si="4"/>
        <v>#REF!</v>
      </c>
      <c r="N3" s="94" t="e">
        <f t="shared" ref="N3:N66" si="8">10^$J3</f>
        <v>#REF!</v>
      </c>
      <c r="O3" s="56" t="e">
        <f t="shared" ref="O3:O66" si="9">10^K3</f>
        <v>#REF!</v>
      </c>
      <c r="P3" s="57" t="e">
        <f t="shared" si="5"/>
        <v>#REF!</v>
      </c>
      <c r="R3" s="47"/>
      <c r="S3" s="47"/>
      <c r="T3" s="47"/>
    </row>
    <row r="4" spans="1:20" ht="12.75" customHeight="1" x14ac:dyDescent="0.35">
      <c r="A4" s="49">
        <f>'New Vestas G30 85L'!Y9</f>
        <v>14.621761658031097</v>
      </c>
      <c r="B4" s="48">
        <f>'New Vestas G30 85L'!T9</f>
        <v>117.59224858897701</v>
      </c>
      <c r="C4" s="50">
        <f t="shared" si="0"/>
        <v>1.1649997004105554</v>
      </c>
      <c r="D4" s="50">
        <f t="shared" si="0"/>
        <v>2.0703786949885523</v>
      </c>
      <c r="E4" s="51">
        <f t="shared" si="6"/>
        <v>1.3572243019566839</v>
      </c>
      <c r="F4" s="51">
        <f t="shared" si="6"/>
        <v>4.2864679406625008</v>
      </c>
      <c r="G4" s="52">
        <f t="shared" si="7"/>
        <v>2.4119905593980602</v>
      </c>
      <c r="H4" s="59" t="s">
        <v>59</v>
      </c>
      <c r="I4" s="58">
        <f>SUM(D:D)</f>
        <v>85.59778126516828</v>
      </c>
      <c r="J4" s="51" t="e">
        <f t="shared" si="1"/>
        <v>#REF!</v>
      </c>
      <c r="K4" s="51" t="e">
        <f t="shared" si="2"/>
        <v>#REF!</v>
      </c>
      <c r="L4" s="55" t="e">
        <f t="shared" si="3"/>
        <v>#REF!</v>
      </c>
      <c r="M4" s="51" t="e">
        <f t="shared" si="4"/>
        <v>#REF!</v>
      </c>
      <c r="N4" s="94" t="e">
        <f t="shared" si="8"/>
        <v>#REF!</v>
      </c>
      <c r="O4" s="56" t="e">
        <f t="shared" si="9"/>
        <v>#REF!</v>
      </c>
      <c r="P4" s="57" t="e">
        <f t="shared" si="5"/>
        <v>#REF!</v>
      </c>
      <c r="R4" s="47"/>
      <c r="S4" s="47"/>
      <c r="T4" s="47"/>
    </row>
    <row r="5" spans="1:20" ht="12.75" customHeight="1" x14ac:dyDescent="0.35">
      <c r="A5" s="49">
        <f>'New Vestas G30 85L'!Y10</f>
        <v>16.449481865284984</v>
      </c>
      <c r="B5" s="48">
        <f>'New Vestas G30 85L'!T10</f>
        <v>115.98644228767971</v>
      </c>
      <c r="C5" s="50">
        <f t="shared" si="0"/>
        <v>1.2161522228579369</v>
      </c>
      <c r="D5" s="50">
        <f t="shared" si="0"/>
        <v>2.0644072272979317</v>
      </c>
      <c r="E5" s="51">
        <f t="shared" si="6"/>
        <v>1.4790262291623011</v>
      </c>
      <c r="F5" s="51">
        <f t="shared" si="6"/>
        <v>4.2617772001199343</v>
      </c>
      <c r="G5" s="52">
        <f t="shared" si="7"/>
        <v>2.5106334383623699</v>
      </c>
      <c r="H5" s="59" t="s">
        <v>60</v>
      </c>
      <c r="I5" s="58" t="e">
        <f>SUM(E:E)</f>
        <v>#REF!</v>
      </c>
      <c r="J5" s="51" t="e">
        <f t="shared" si="1"/>
        <v>#REF!</v>
      </c>
      <c r="K5" s="51" t="e">
        <f t="shared" si="2"/>
        <v>#REF!</v>
      </c>
      <c r="L5" s="55" t="e">
        <f t="shared" si="3"/>
        <v>#REF!</v>
      </c>
      <c r="M5" s="51" t="e">
        <f t="shared" si="4"/>
        <v>#REF!</v>
      </c>
      <c r="N5" s="94" t="e">
        <f t="shared" si="8"/>
        <v>#REF!</v>
      </c>
      <c r="O5" s="56" t="e">
        <f t="shared" si="9"/>
        <v>#REF!</v>
      </c>
      <c r="P5" s="57" t="e">
        <f t="shared" si="5"/>
        <v>#REF!</v>
      </c>
      <c r="R5" s="47"/>
      <c r="S5" s="47"/>
      <c r="T5" s="47"/>
    </row>
    <row r="6" spans="1:20" ht="12.75" customHeight="1" x14ac:dyDescent="0.35">
      <c r="A6" s="49">
        <f>'New Vestas G30 85L'!Y11</f>
        <v>21.932642487046643</v>
      </c>
      <c r="B6" s="48">
        <f>'New Vestas G30 85L'!T11</f>
        <v>113.70955275598949</v>
      </c>
      <c r="C6" s="50">
        <f t="shared" si="0"/>
        <v>1.3410909594662368</v>
      </c>
      <c r="D6" s="50">
        <f t="shared" si="0"/>
        <v>2.0557969513626819</v>
      </c>
      <c r="E6" s="51">
        <f t="shared" si="6"/>
        <v>1.7985249615620715</v>
      </c>
      <c r="F6" s="51">
        <f t="shared" si="6"/>
        <v>4.2263011052320971</v>
      </c>
      <c r="G6" s="52">
        <f t="shared" si="7"/>
        <v>2.7570107059707438</v>
      </c>
      <c r="H6" s="59" t="s">
        <v>61</v>
      </c>
      <c r="I6" s="58">
        <f>SUM(F:F)</f>
        <v>178.77438798716196</v>
      </c>
      <c r="J6" s="51" t="e">
        <f t="shared" si="1"/>
        <v>#REF!</v>
      </c>
      <c r="K6" s="51" t="e">
        <f t="shared" si="2"/>
        <v>#REF!</v>
      </c>
      <c r="L6" s="55" t="e">
        <f t="shared" si="3"/>
        <v>#REF!</v>
      </c>
      <c r="M6" s="51" t="e">
        <f t="shared" si="4"/>
        <v>#REF!</v>
      </c>
      <c r="N6" s="94" t="e">
        <f t="shared" si="8"/>
        <v>#REF!</v>
      </c>
      <c r="O6" s="56" t="e">
        <f t="shared" si="9"/>
        <v>#REF!</v>
      </c>
      <c r="P6" s="57" t="e">
        <f t="shared" si="5"/>
        <v>#REF!</v>
      </c>
      <c r="R6" s="47"/>
      <c r="S6" s="47"/>
      <c r="T6" s="47"/>
    </row>
    <row r="7" spans="1:20" ht="12.75" customHeight="1" x14ac:dyDescent="0.35">
      <c r="A7" s="49">
        <f>'New Vestas G30 85L'!Y12</f>
        <v>23.760362694300532</v>
      </c>
      <c r="B7" s="48">
        <f>'New Vestas G30 85L'!T12</f>
        <v>110.78554725213468</v>
      </c>
      <c r="C7" s="50">
        <f t="shared" si="0"/>
        <v>1.3758530657254486</v>
      </c>
      <c r="D7" s="50">
        <f t="shared" si="0"/>
        <v>2.0444831073414065</v>
      </c>
      <c r="E7" s="51">
        <f t="shared" si="6"/>
        <v>1.8929716584661156</v>
      </c>
      <c r="F7" s="51">
        <f t="shared" si="6"/>
        <v>4.1799111762043726</v>
      </c>
      <c r="G7" s="52">
        <f t="shared" si="7"/>
        <v>2.8129083510595656</v>
      </c>
      <c r="H7" s="59" t="s">
        <v>62</v>
      </c>
      <c r="I7" s="58" t="e">
        <f>SUM(G:G)</f>
        <v>#REF!</v>
      </c>
      <c r="J7" s="51" t="e">
        <f t="shared" si="1"/>
        <v>#REF!</v>
      </c>
      <c r="K7" s="51" t="e">
        <f t="shared" si="2"/>
        <v>#REF!</v>
      </c>
      <c r="L7" s="55" t="e">
        <f t="shared" si="3"/>
        <v>#REF!</v>
      </c>
      <c r="M7" s="51" t="e">
        <f t="shared" si="4"/>
        <v>#REF!</v>
      </c>
      <c r="N7" s="94" t="e">
        <f t="shared" si="8"/>
        <v>#REF!</v>
      </c>
      <c r="O7" s="56" t="e">
        <f t="shared" si="9"/>
        <v>#REF!</v>
      </c>
      <c r="P7" s="57" t="e">
        <f t="shared" si="5"/>
        <v>#REF!</v>
      </c>
      <c r="R7" s="47"/>
      <c r="S7" s="47"/>
      <c r="T7" s="47"/>
    </row>
    <row r="8" spans="1:20" ht="12.75" customHeight="1" x14ac:dyDescent="0.35">
      <c r="A8" s="49">
        <f>'New Vestas G30 85L'!Y13</f>
        <v>25.588082901554419</v>
      </c>
      <c r="B8" s="48">
        <f>'New Vestas G30 85L'!T13</f>
        <v>110.45000563693822</v>
      </c>
      <c r="C8" s="50">
        <f t="shared" si="0"/>
        <v>1.4080377490968499</v>
      </c>
      <c r="D8" s="50">
        <f t="shared" si="0"/>
        <v>2.0431657423721536</v>
      </c>
      <c r="E8" s="51">
        <f t="shared" si="6"/>
        <v>1.9825703028817236</v>
      </c>
      <c r="F8" s="51">
        <f t="shared" si="6"/>
        <v>4.1745262508031535</v>
      </c>
      <c r="G8" s="52">
        <f t="shared" si="7"/>
        <v>2.8768544929214817</v>
      </c>
      <c r="H8" s="53" t="s">
        <v>63</v>
      </c>
      <c r="I8" s="58" t="e">
        <f>+I5-I3^2/$I$2</f>
        <v>#REF!</v>
      </c>
      <c r="J8" s="51" t="e">
        <f t="shared" si="1"/>
        <v>#REF!</v>
      </c>
      <c r="K8" s="51" t="e">
        <f t="shared" si="2"/>
        <v>#REF!</v>
      </c>
      <c r="L8" s="55" t="e">
        <f t="shared" si="3"/>
        <v>#REF!</v>
      </c>
      <c r="M8" s="51" t="e">
        <f t="shared" si="4"/>
        <v>#REF!</v>
      </c>
      <c r="N8" s="94" t="e">
        <f t="shared" si="8"/>
        <v>#REF!</v>
      </c>
      <c r="O8" s="56" t="e">
        <f t="shared" si="9"/>
        <v>#REF!</v>
      </c>
      <c r="P8" s="57" t="e">
        <f t="shared" si="5"/>
        <v>#REF!</v>
      </c>
      <c r="R8" s="47"/>
      <c r="S8" s="47"/>
      <c r="T8" s="47"/>
    </row>
    <row r="9" spans="1:20" ht="12.75" customHeight="1" x14ac:dyDescent="0.35">
      <c r="A9" s="49">
        <f>'New Vestas G30 85L'!Y14</f>
        <v>34.726683937823857</v>
      </c>
      <c r="B9" s="48">
        <f>'New Vestas G30 85L'!T14</f>
        <v>107.11855674320198</v>
      </c>
      <c r="C9" s="50">
        <f t="shared" si="0"/>
        <v>1.540663314371441</v>
      </c>
      <c r="D9" s="50">
        <f t="shared" si="0"/>
        <v>2.0298647125972509</v>
      </c>
      <c r="E9" s="51">
        <f t="shared" si="6"/>
        <v>2.3736434482499935</v>
      </c>
      <c r="F9" s="51">
        <f t="shared" si="6"/>
        <v>4.1203507514475195</v>
      </c>
      <c r="G9" s="52">
        <f t="shared" si="7"/>
        <v>3.1273380958357131</v>
      </c>
      <c r="H9" s="59" t="s">
        <v>64</v>
      </c>
      <c r="I9" s="58">
        <f>+I6-I4^2/$I$2</f>
        <v>-4.4001159508278818</v>
      </c>
      <c r="J9" s="51" t="e">
        <f t="shared" si="1"/>
        <v>#REF!</v>
      </c>
      <c r="K9" s="51" t="e">
        <f t="shared" si="2"/>
        <v>#REF!</v>
      </c>
      <c r="L9" s="55" t="e">
        <f t="shared" si="3"/>
        <v>#REF!</v>
      </c>
      <c r="M9" s="51" t="e">
        <f t="shared" si="4"/>
        <v>#REF!</v>
      </c>
      <c r="N9" s="94" t="e">
        <f t="shared" si="8"/>
        <v>#REF!</v>
      </c>
      <c r="O9" s="56" t="e">
        <f t="shared" si="9"/>
        <v>#REF!</v>
      </c>
      <c r="P9" s="57" t="e">
        <f t="shared" si="5"/>
        <v>#REF!</v>
      </c>
      <c r="R9" s="47"/>
      <c r="S9" s="47"/>
      <c r="T9" s="47"/>
    </row>
    <row r="10" spans="1:20" ht="12.75" customHeight="1" x14ac:dyDescent="0.35">
      <c r="A10" s="49">
        <f>'New Vestas G30 85L'!Y15</f>
        <v>7.3108808290155487</v>
      </c>
      <c r="B10" s="48">
        <f>'New Vestas G30 85L'!T15</f>
        <v>123.83285370717226</v>
      </c>
      <c r="C10" s="50">
        <f t="shared" si="0"/>
        <v>0.86396970474657431</v>
      </c>
      <c r="D10" s="50">
        <f t="shared" si="0"/>
        <v>2.0928358812821926</v>
      </c>
      <c r="E10" s="51">
        <f t="shared" si="6"/>
        <v>0.74644365071988283</v>
      </c>
      <c r="F10" s="51">
        <f t="shared" si="6"/>
        <v>4.3799620259822118</v>
      </c>
      <c r="G10" s="52">
        <f t="shared" si="7"/>
        <v>1.8081467984344126</v>
      </c>
      <c r="H10" s="59" t="s">
        <v>65</v>
      </c>
      <c r="I10" s="58" t="e">
        <f>+I7-I3*I4/$I$2</f>
        <v>#REF!</v>
      </c>
      <c r="J10" s="51" t="e">
        <f t="shared" si="1"/>
        <v>#REF!</v>
      </c>
      <c r="K10" s="51" t="e">
        <f t="shared" si="2"/>
        <v>#REF!</v>
      </c>
      <c r="L10" s="55" t="e">
        <f t="shared" si="3"/>
        <v>#REF!</v>
      </c>
      <c r="M10" s="51" t="e">
        <f t="shared" si="4"/>
        <v>#REF!</v>
      </c>
      <c r="N10" s="94" t="e">
        <f t="shared" si="8"/>
        <v>#REF!</v>
      </c>
      <c r="O10" s="56" t="e">
        <f t="shared" si="9"/>
        <v>#REF!</v>
      </c>
      <c r="P10" s="57" t="e">
        <f t="shared" si="5"/>
        <v>#REF!</v>
      </c>
      <c r="R10" s="47"/>
      <c r="S10" s="47"/>
      <c r="T10" s="47"/>
    </row>
    <row r="11" spans="1:20" ht="12.75" customHeight="1" x14ac:dyDescent="0.35">
      <c r="A11" s="49">
        <f>'New Vestas G30 85L'!Y16</f>
        <v>9.138601036269435</v>
      </c>
      <c r="B11" s="48">
        <f>'New Vestas G30 85L'!T16</f>
        <v>121.48897208098484</v>
      </c>
      <c r="C11" s="50">
        <f t="shared" si="0"/>
        <v>0.96087971775463077</v>
      </c>
      <c r="D11" s="50">
        <f t="shared" si="0"/>
        <v>2.0845368575084784</v>
      </c>
      <c r="E11" s="51">
        <f t="shared" si="6"/>
        <v>0.92328983199221892</v>
      </c>
      <c r="F11" s="51">
        <f t="shared" si="6"/>
        <v>4.3452939103113222</v>
      </c>
      <c r="G11" s="52">
        <f t="shared" si="7"/>
        <v>2.0029891872918717</v>
      </c>
      <c r="H11" s="59" t="s">
        <v>66</v>
      </c>
      <c r="I11" s="58" t="e">
        <f>+I3/$I$2</f>
        <v>#REF!</v>
      </c>
      <c r="J11" s="51" t="e">
        <f t="shared" si="1"/>
        <v>#REF!</v>
      </c>
      <c r="K11" s="51" t="e">
        <f t="shared" si="2"/>
        <v>#REF!</v>
      </c>
      <c r="L11" s="55" t="e">
        <f t="shared" si="3"/>
        <v>#REF!</v>
      </c>
      <c r="M11" s="51" t="e">
        <f t="shared" si="4"/>
        <v>#REF!</v>
      </c>
      <c r="N11" s="94" t="e">
        <f t="shared" si="8"/>
        <v>#REF!</v>
      </c>
      <c r="O11" s="56" t="e">
        <f t="shared" si="9"/>
        <v>#REF!</v>
      </c>
      <c r="P11" s="57" t="e">
        <f t="shared" si="5"/>
        <v>#REF!</v>
      </c>
      <c r="R11" s="47"/>
      <c r="S11" s="47"/>
      <c r="T11" s="47"/>
    </row>
    <row r="12" spans="1:20" ht="12.75" customHeight="1" x14ac:dyDescent="0.35">
      <c r="A12" s="49">
        <f>'New Vestas G30 85L'!Y17</f>
        <v>14.621761658031097</v>
      </c>
      <c r="B12" s="48">
        <f>'New Vestas G30 85L'!T17</f>
        <v>115.31834494014291</v>
      </c>
      <c r="C12" s="50">
        <f t="shared" si="0"/>
        <v>1.1649997004105554</v>
      </c>
      <c r="D12" s="50">
        <f t="shared" si="0"/>
        <v>2.0618984007251786</v>
      </c>
      <c r="E12" s="51">
        <f t="shared" si="6"/>
        <v>1.3572243019566839</v>
      </c>
      <c r="F12" s="51">
        <f t="shared" si="6"/>
        <v>4.2514250149130488</v>
      </c>
      <c r="G12" s="52">
        <f t="shared" si="7"/>
        <v>2.4021110191218367</v>
      </c>
      <c r="H12" s="59" t="s">
        <v>67</v>
      </c>
      <c r="I12" s="58">
        <f>+I4/$I$2</f>
        <v>2.1399445316292072</v>
      </c>
      <c r="J12" s="51" t="e">
        <f t="shared" si="1"/>
        <v>#REF!</v>
      </c>
      <c r="K12" s="51" t="e">
        <f t="shared" si="2"/>
        <v>#REF!</v>
      </c>
      <c r="L12" s="55" t="e">
        <f t="shared" si="3"/>
        <v>#REF!</v>
      </c>
      <c r="M12" s="51" t="e">
        <f t="shared" si="4"/>
        <v>#REF!</v>
      </c>
      <c r="N12" s="94" t="e">
        <f t="shared" si="8"/>
        <v>#REF!</v>
      </c>
      <c r="O12" s="56" t="e">
        <f t="shared" si="9"/>
        <v>#REF!</v>
      </c>
      <c r="P12" s="57" t="e">
        <f t="shared" si="5"/>
        <v>#REF!</v>
      </c>
      <c r="R12" s="47"/>
      <c r="S12" s="47"/>
      <c r="T12" s="47"/>
    </row>
    <row r="13" spans="1:20" ht="12.75" customHeight="1" x14ac:dyDescent="0.35">
      <c r="A13" s="49">
        <f>'New Vestas G30 85L'!Y18</f>
        <v>20.104922279792756</v>
      </c>
      <c r="B13" s="48">
        <f>'New Vestas G30 85L'!T18</f>
        <v>111.80252250868433</v>
      </c>
      <c r="C13" s="50">
        <f t="shared" si="0"/>
        <v>1.3033023985768371</v>
      </c>
      <c r="D13" s="50">
        <f t="shared" si="0"/>
        <v>2.0484516022914017</v>
      </c>
      <c r="E13" s="51">
        <f t="shared" si="6"/>
        <v>1.6985971421361366</v>
      </c>
      <c r="F13" s="51">
        <f t="shared" si="6"/>
        <v>4.1961539669302113</v>
      </c>
      <c r="G13" s="52">
        <f t="shared" si="7"/>
        <v>2.6697518866349488</v>
      </c>
      <c r="H13" s="59" t="s">
        <v>68</v>
      </c>
      <c r="I13" s="60" t="e">
        <f>+I10/I8</f>
        <v>#REF!</v>
      </c>
      <c r="J13" s="51" t="e">
        <f t="shared" si="1"/>
        <v>#REF!</v>
      </c>
      <c r="K13" s="51" t="e">
        <f t="shared" si="2"/>
        <v>#REF!</v>
      </c>
      <c r="L13" s="55" t="e">
        <f t="shared" si="3"/>
        <v>#REF!</v>
      </c>
      <c r="M13" s="51" t="e">
        <f t="shared" si="4"/>
        <v>#REF!</v>
      </c>
      <c r="N13" s="94" t="e">
        <f t="shared" si="8"/>
        <v>#REF!</v>
      </c>
      <c r="O13" s="56" t="e">
        <f t="shared" si="9"/>
        <v>#REF!</v>
      </c>
      <c r="P13" s="57" t="e">
        <f t="shared" si="5"/>
        <v>#REF!</v>
      </c>
      <c r="R13" s="47"/>
      <c r="S13" s="47"/>
      <c r="T13" s="47"/>
    </row>
    <row r="14" spans="1:20" ht="12.75" customHeight="1" x14ac:dyDescent="0.35">
      <c r="A14" s="49">
        <f>'New Vestas G30 85L'!Y19</f>
        <v>21.932642487046643</v>
      </c>
      <c r="B14" s="48">
        <f>'New Vestas G30 85L'!T19</f>
        <v>106.66033323073361</v>
      </c>
      <c r="C14" s="50">
        <f t="shared" si="0"/>
        <v>1.3410909594662368</v>
      </c>
      <c r="D14" s="50">
        <f t="shared" si="0"/>
        <v>2.0280029361820606</v>
      </c>
      <c r="E14" s="51">
        <f t="shared" si="6"/>
        <v>1.7985249615620715</v>
      </c>
      <c r="F14" s="51">
        <f t="shared" si="6"/>
        <v>4.1127959091630588</v>
      </c>
      <c r="G14" s="52">
        <f t="shared" si="7"/>
        <v>2.7197364034847449</v>
      </c>
      <c r="H14" s="59" t="s">
        <v>69</v>
      </c>
      <c r="I14" s="60" t="e">
        <f>+I12-I13*I11</f>
        <v>#REF!</v>
      </c>
      <c r="J14" s="51" t="e">
        <f t="shared" si="1"/>
        <v>#REF!</v>
      </c>
      <c r="K14" s="51" t="e">
        <f t="shared" si="2"/>
        <v>#REF!</v>
      </c>
      <c r="L14" s="55" t="e">
        <f t="shared" si="3"/>
        <v>#REF!</v>
      </c>
      <c r="M14" s="51" t="e">
        <f t="shared" si="4"/>
        <v>#REF!</v>
      </c>
      <c r="N14" s="94" t="e">
        <f t="shared" si="8"/>
        <v>#REF!</v>
      </c>
      <c r="O14" s="56" t="e">
        <f t="shared" si="9"/>
        <v>#REF!</v>
      </c>
      <c r="P14" s="57" t="e">
        <f t="shared" si="5"/>
        <v>#REF!</v>
      </c>
      <c r="R14" s="47"/>
      <c r="S14" s="47"/>
      <c r="T14" s="47"/>
    </row>
    <row r="15" spans="1:20" ht="12.75" customHeight="1" thickBot="1" x14ac:dyDescent="0.4">
      <c r="A15" s="49">
        <f>'New Vestas G30 85L'!Y20</f>
        <v>34.726683937823857</v>
      </c>
      <c r="B15" s="48">
        <f>'New Vestas G30 85L'!T20</f>
        <v>107.66485392543608</v>
      </c>
      <c r="C15" s="50">
        <f t="shared" si="0"/>
        <v>1.540663314371441</v>
      </c>
      <c r="D15" s="50">
        <f t="shared" si="0"/>
        <v>2.0320739555048672</v>
      </c>
      <c r="E15" s="51">
        <f t="shared" si="6"/>
        <v>2.3736434482499935</v>
      </c>
      <c r="F15" s="51">
        <f t="shared" si="6"/>
        <v>4.129324560641197</v>
      </c>
      <c r="G15" s="52">
        <f t="shared" si="7"/>
        <v>3.130741795336013</v>
      </c>
      <c r="H15" s="61" t="s">
        <v>70</v>
      </c>
      <c r="I15" s="62" t="e">
        <f>+I10^2/(I8*I9)</f>
        <v>#REF!</v>
      </c>
      <c r="J15" s="51" t="e">
        <f t="shared" si="1"/>
        <v>#REF!</v>
      </c>
      <c r="K15" s="51" t="e">
        <f t="shared" si="2"/>
        <v>#REF!</v>
      </c>
      <c r="L15" s="55" t="e">
        <f t="shared" si="3"/>
        <v>#REF!</v>
      </c>
      <c r="M15" s="51" t="e">
        <f t="shared" si="4"/>
        <v>#REF!</v>
      </c>
      <c r="N15" s="94" t="e">
        <f t="shared" si="8"/>
        <v>#REF!</v>
      </c>
      <c r="O15" s="56" t="e">
        <f t="shared" si="9"/>
        <v>#REF!</v>
      </c>
      <c r="P15" s="57" t="e">
        <f t="shared" si="5"/>
        <v>#REF!</v>
      </c>
      <c r="R15" s="47"/>
      <c r="S15" s="47"/>
      <c r="T15" s="47"/>
    </row>
    <row r="16" spans="1:20" ht="12.75" customHeight="1" x14ac:dyDescent="0.35">
      <c r="A16" s="49">
        <f>'New Vestas G30 85L'!Y21</f>
        <v>7.3108808290155487</v>
      </c>
      <c r="B16" s="48">
        <f>'New Vestas G30 85L'!T21</f>
        <v>126.05358399617073</v>
      </c>
      <c r="C16" s="50">
        <f t="shared" si="0"/>
        <v>0.86396970474657431</v>
      </c>
      <c r="D16" s="50">
        <f t="shared" si="0"/>
        <v>2.1005551981888417</v>
      </c>
      <c r="E16" s="51">
        <f t="shared" si="6"/>
        <v>0.74644365071988283</v>
      </c>
      <c r="F16" s="51">
        <f t="shared" si="6"/>
        <v>4.4123321406381644</v>
      </c>
      <c r="G16" s="52">
        <f t="shared" si="7"/>
        <v>1.8148160543830956</v>
      </c>
      <c r="H16" s="63" t="s">
        <v>71</v>
      </c>
      <c r="I16" s="64"/>
      <c r="J16" s="51" t="e">
        <f t="shared" si="1"/>
        <v>#REF!</v>
      </c>
      <c r="K16" s="51" t="e">
        <f t="shared" si="2"/>
        <v>#REF!</v>
      </c>
      <c r="L16" s="55" t="e">
        <f t="shared" si="3"/>
        <v>#REF!</v>
      </c>
      <c r="M16" s="51" t="e">
        <f t="shared" si="4"/>
        <v>#REF!</v>
      </c>
      <c r="N16" s="94" t="e">
        <f t="shared" si="8"/>
        <v>#REF!</v>
      </c>
      <c r="O16" s="56" t="e">
        <f t="shared" si="9"/>
        <v>#REF!</v>
      </c>
      <c r="P16" s="57" t="e">
        <f t="shared" si="5"/>
        <v>#REF!</v>
      </c>
      <c r="R16" s="47"/>
      <c r="S16" s="47"/>
      <c r="T16" s="47"/>
    </row>
    <row r="17" spans="1:20" ht="12.75" customHeight="1" x14ac:dyDescent="0.35">
      <c r="A17" s="49">
        <f>'New Vestas G30 85L'!Y22</f>
        <v>9.138601036269435</v>
      </c>
      <c r="B17" s="48">
        <f>'New Vestas G30 85L'!T22</f>
        <v>122.3402146342103</v>
      </c>
      <c r="C17" s="50">
        <f t="shared" si="0"/>
        <v>0.96087971775463077</v>
      </c>
      <c r="D17" s="50">
        <f t="shared" si="0"/>
        <v>2.0875692380905999</v>
      </c>
      <c r="E17" s="51">
        <f t="shared" si="6"/>
        <v>0.92328983199221892</v>
      </c>
      <c r="F17" s="51">
        <f t="shared" si="6"/>
        <v>4.3579453238221681</v>
      </c>
      <c r="G17" s="52">
        <f t="shared" si="7"/>
        <v>2.005902940289745</v>
      </c>
      <c r="H17" s="53" t="s">
        <v>72</v>
      </c>
      <c r="I17" s="65" t="e">
        <f>(+I9-(+I10^2/I8))/($I$2-2)</f>
        <v>#REF!</v>
      </c>
      <c r="J17" s="51" t="e">
        <f t="shared" si="1"/>
        <v>#REF!</v>
      </c>
      <c r="K17" s="51" t="e">
        <f t="shared" si="2"/>
        <v>#REF!</v>
      </c>
      <c r="L17" s="55" t="e">
        <f t="shared" si="3"/>
        <v>#REF!</v>
      </c>
      <c r="M17" s="51" t="e">
        <f t="shared" si="4"/>
        <v>#REF!</v>
      </c>
      <c r="N17" s="94" t="e">
        <f t="shared" si="8"/>
        <v>#REF!</v>
      </c>
      <c r="O17" s="56" t="e">
        <f t="shared" si="9"/>
        <v>#REF!</v>
      </c>
      <c r="P17" s="57" t="e">
        <f t="shared" si="5"/>
        <v>#REF!</v>
      </c>
      <c r="R17" s="47"/>
      <c r="S17" s="47"/>
      <c r="T17" s="47"/>
    </row>
    <row r="18" spans="1:20" ht="12.75" customHeight="1" x14ac:dyDescent="0.35">
      <c r="A18" s="49">
        <f>'New Vestas G30 85L'!Y23</f>
        <v>10.966321243523321</v>
      </c>
      <c r="B18" s="48">
        <f>'New Vestas G30 85L'!T23</f>
        <v>121.42984020955707</v>
      </c>
      <c r="C18" s="50">
        <f t="shared" si="0"/>
        <v>1.0400609638022555</v>
      </c>
      <c r="D18" s="50">
        <f t="shared" si="0"/>
        <v>2.0843254235258177</v>
      </c>
      <c r="E18" s="51">
        <f t="shared" si="6"/>
        <v>1.0817268084252767</v>
      </c>
      <c r="F18" s="51">
        <f t="shared" si="6"/>
        <v>4.3444124711560796</v>
      </c>
      <c r="G18" s="52">
        <f t="shared" si="7"/>
        <v>2.1678255088698064</v>
      </c>
      <c r="H18" s="66" t="s">
        <v>53</v>
      </c>
      <c r="I18" s="67">
        <v>0.95</v>
      </c>
      <c r="J18" s="51" t="e">
        <f t="shared" si="1"/>
        <v>#REF!</v>
      </c>
      <c r="K18" s="51" t="e">
        <f t="shared" si="2"/>
        <v>#REF!</v>
      </c>
      <c r="L18" s="55" t="e">
        <f t="shared" si="3"/>
        <v>#REF!</v>
      </c>
      <c r="M18" s="51" t="e">
        <f t="shared" si="4"/>
        <v>#REF!</v>
      </c>
      <c r="N18" s="94" t="e">
        <f t="shared" si="8"/>
        <v>#REF!</v>
      </c>
      <c r="O18" s="56" t="e">
        <f t="shared" si="9"/>
        <v>#REF!</v>
      </c>
      <c r="P18" s="57" t="e">
        <f t="shared" si="5"/>
        <v>#REF!</v>
      </c>
      <c r="R18" s="47"/>
      <c r="S18" s="47"/>
      <c r="T18" s="47"/>
    </row>
    <row r="19" spans="1:20" ht="12.75" customHeight="1" x14ac:dyDescent="0.35">
      <c r="A19" s="49">
        <f>'New Vestas G30 85L'!Y24</f>
        <v>14.621761658031097</v>
      </c>
      <c r="B19" s="48">
        <f>'New Vestas G30 85L'!T24</f>
        <v>120.2080219034444</v>
      </c>
      <c r="C19" s="50">
        <f t="shared" si="0"/>
        <v>1.1649997004105554</v>
      </c>
      <c r="D19" s="50">
        <f t="shared" si="0"/>
        <v>2.079933450629718</v>
      </c>
      <c r="E19" s="51">
        <f t="shared" si="6"/>
        <v>1.3572243019566839</v>
      </c>
      <c r="F19" s="51">
        <f t="shared" si="6"/>
        <v>4.3261231590484455</v>
      </c>
      <c r="G19" s="52">
        <f t="shared" si="7"/>
        <v>2.4231218468575144</v>
      </c>
      <c r="H19" s="53" t="s">
        <v>73</v>
      </c>
      <c r="I19" s="68">
        <f>_xlfn.T.INV(1-(1-I18)/2,I2-2)</f>
        <v>2.0243941639119702</v>
      </c>
      <c r="J19" s="51" t="e">
        <f t="shared" si="1"/>
        <v>#REF!</v>
      </c>
      <c r="K19" s="51" t="e">
        <f t="shared" si="2"/>
        <v>#REF!</v>
      </c>
      <c r="L19" s="55" t="e">
        <f t="shared" si="3"/>
        <v>#REF!</v>
      </c>
      <c r="M19" s="51" t="e">
        <f t="shared" si="4"/>
        <v>#REF!</v>
      </c>
      <c r="N19" s="94" t="e">
        <f t="shared" si="8"/>
        <v>#REF!</v>
      </c>
      <c r="O19" s="56" t="e">
        <f t="shared" si="9"/>
        <v>#REF!</v>
      </c>
      <c r="P19" s="57" t="e">
        <f t="shared" si="5"/>
        <v>#REF!</v>
      </c>
      <c r="R19" s="47"/>
      <c r="S19" s="47"/>
      <c r="T19" s="47"/>
    </row>
    <row r="20" spans="1:20" ht="12.75" customHeight="1" x14ac:dyDescent="0.35">
      <c r="A20" s="49">
        <f>'New Vestas G30 85L'!Y25</f>
        <v>18.27720207253887</v>
      </c>
      <c r="B20" s="48">
        <f>'New Vestas G30 85L'!T25</f>
        <v>119.65700580491604</v>
      </c>
      <c r="C20" s="50">
        <f t="shared" si="0"/>
        <v>1.2619097134186119</v>
      </c>
      <c r="D20" s="50">
        <f t="shared" si="0"/>
        <v>2.0779381312264675</v>
      </c>
      <c r="E20" s="51">
        <f t="shared" si="6"/>
        <v>1.5924161248202433</v>
      </c>
      <c r="F20" s="51">
        <f t="shared" si="6"/>
        <v>4.3178268772049444</v>
      </c>
      <c r="G20" s="52">
        <f t="shared" si="7"/>
        <v>2.6221703116775976</v>
      </c>
      <c r="H20" s="53" t="s">
        <v>74</v>
      </c>
      <c r="I20" s="68">
        <f>_xlfn.F.INV(I18,2,I2-2)</f>
        <v>3.2448183607328067</v>
      </c>
      <c r="J20" s="51" t="e">
        <f t="shared" si="1"/>
        <v>#REF!</v>
      </c>
      <c r="K20" s="51" t="e">
        <f t="shared" si="2"/>
        <v>#REF!</v>
      </c>
      <c r="L20" s="55" t="e">
        <f t="shared" si="3"/>
        <v>#REF!</v>
      </c>
      <c r="M20" s="51" t="e">
        <f t="shared" si="4"/>
        <v>#REF!</v>
      </c>
      <c r="N20" s="94" t="e">
        <f t="shared" si="8"/>
        <v>#REF!</v>
      </c>
      <c r="O20" s="56" t="e">
        <f t="shared" si="9"/>
        <v>#REF!</v>
      </c>
      <c r="P20" s="57" t="e">
        <f t="shared" si="5"/>
        <v>#REF!</v>
      </c>
      <c r="R20" s="47"/>
      <c r="S20" s="47"/>
      <c r="T20" s="47"/>
    </row>
    <row r="21" spans="1:20" ht="12.75" customHeight="1" x14ac:dyDescent="0.35">
      <c r="A21" s="49">
        <f>'New Vestas G30 85L'!Y26</f>
        <v>20.104922279792756</v>
      </c>
      <c r="B21" s="48">
        <f>'New Vestas G30 85L'!T26</f>
        <v>119.15390415001005</v>
      </c>
      <c r="C21" s="50">
        <f t="shared" si="0"/>
        <v>1.3033023985768371</v>
      </c>
      <c r="D21" s="50">
        <f t="shared" si="0"/>
        <v>2.0761082768379739</v>
      </c>
      <c r="E21" s="51">
        <f t="shared" si="6"/>
        <v>1.6985971421361366</v>
      </c>
      <c r="F21" s="51">
        <f t="shared" si="6"/>
        <v>4.3102255771551414</v>
      </c>
      <c r="G21" s="52">
        <f t="shared" si="7"/>
        <v>2.7057968969081556</v>
      </c>
      <c r="H21" s="53" t="s">
        <v>75</v>
      </c>
      <c r="I21" s="68" t="e">
        <f>I19*SQRT(I17)*(($I$8)^(-1/2))</f>
        <v>#REF!</v>
      </c>
      <c r="J21" s="51" t="e">
        <f t="shared" si="1"/>
        <v>#REF!</v>
      </c>
      <c r="K21" s="51" t="e">
        <f t="shared" si="2"/>
        <v>#REF!</v>
      </c>
      <c r="L21" s="55" t="e">
        <f t="shared" si="3"/>
        <v>#REF!</v>
      </c>
      <c r="M21" s="51" t="e">
        <f t="shared" si="4"/>
        <v>#REF!</v>
      </c>
      <c r="N21" s="94" t="e">
        <f t="shared" si="8"/>
        <v>#REF!</v>
      </c>
      <c r="O21" s="56" t="e">
        <f t="shared" si="9"/>
        <v>#REF!</v>
      </c>
      <c r="P21" s="57" t="e">
        <f t="shared" si="5"/>
        <v>#REF!</v>
      </c>
      <c r="R21" s="47"/>
      <c r="S21" s="47"/>
      <c r="T21" s="47"/>
    </row>
    <row r="22" spans="1:20" ht="12.75" customHeight="1" thickBot="1" x14ac:dyDescent="0.4">
      <c r="A22" s="49">
        <f>'New Vestas G30 85L'!Y27</f>
        <v>21.932642487046643</v>
      </c>
      <c r="B22" s="48">
        <f>'New Vestas G30 85L'!T27</f>
        <v>117.02171141820115</v>
      </c>
      <c r="C22" s="50">
        <f t="shared" si="0"/>
        <v>1.3410909594662368</v>
      </c>
      <c r="D22" s="50">
        <f t="shared" si="0"/>
        <v>2.0682664452876542</v>
      </c>
      <c r="E22" s="51">
        <f t="shared" si="6"/>
        <v>1.7985249615620715</v>
      </c>
      <c r="F22" s="51">
        <f t="shared" si="6"/>
        <v>4.2777260887028294</v>
      </c>
      <c r="G22" s="52">
        <f t="shared" si="7"/>
        <v>2.7737334315426434</v>
      </c>
      <c r="H22" s="61" t="s">
        <v>76</v>
      </c>
      <c r="I22" s="69" t="e">
        <f>I19*SQRT(I17)*(1/I2+I11^2/I8)^(1/2)</f>
        <v>#REF!</v>
      </c>
      <c r="J22" s="51" t="e">
        <f t="shared" si="1"/>
        <v>#REF!</v>
      </c>
      <c r="K22" s="51" t="e">
        <f t="shared" si="2"/>
        <v>#REF!</v>
      </c>
      <c r="L22" s="55" t="e">
        <f t="shared" si="3"/>
        <v>#REF!</v>
      </c>
      <c r="M22" s="51" t="e">
        <f t="shared" si="4"/>
        <v>#REF!</v>
      </c>
      <c r="N22" s="94" t="e">
        <f t="shared" si="8"/>
        <v>#REF!</v>
      </c>
      <c r="O22" s="56" t="e">
        <f t="shared" si="9"/>
        <v>#REF!</v>
      </c>
      <c r="P22" s="57" t="e">
        <f t="shared" si="5"/>
        <v>#REF!</v>
      </c>
      <c r="R22" s="47"/>
      <c r="S22" s="47"/>
      <c r="T22" s="47"/>
    </row>
    <row r="23" spans="1:20" ht="12.75" customHeight="1" x14ac:dyDescent="0.35">
      <c r="A23" s="49">
        <f>'New Vestas G30 85L'!Y28</f>
        <v>23.760362694300532</v>
      </c>
      <c r="B23" s="48">
        <f>'New Vestas G30 85L'!T28</f>
        <v>115.46449200568877</v>
      </c>
      <c r="C23" s="50">
        <f t="shared" si="0"/>
        <v>1.3758530657254486</v>
      </c>
      <c r="D23" s="50">
        <f t="shared" si="0"/>
        <v>2.0624484491901112</v>
      </c>
      <c r="E23" s="51">
        <f t="shared" si="6"/>
        <v>1.8929716584661156</v>
      </c>
      <c r="F23" s="51">
        <f t="shared" si="6"/>
        <v>4.2536936055666947</v>
      </c>
      <c r="G23" s="52">
        <f t="shared" si="7"/>
        <v>2.8376260217189118</v>
      </c>
      <c r="H23" s="63" t="s">
        <v>77</v>
      </c>
      <c r="I23" s="70"/>
      <c r="J23" s="51" t="e">
        <f t="shared" si="1"/>
        <v>#REF!</v>
      </c>
      <c r="K23" s="51" t="e">
        <f t="shared" si="2"/>
        <v>#REF!</v>
      </c>
      <c r="L23" s="55" t="e">
        <f t="shared" si="3"/>
        <v>#REF!</v>
      </c>
      <c r="M23" s="51" t="e">
        <f t="shared" si="4"/>
        <v>#REF!</v>
      </c>
      <c r="N23" s="94" t="e">
        <f t="shared" si="8"/>
        <v>#REF!</v>
      </c>
      <c r="O23" s="56" t="e">
        <f t="shared" si="9"/>
        <v>#REF!</v>
      </c>
      <c r="P23" s="57" t="e">
        <f t="shared" si="5"/>
        <v>#REF!</v>
      </c>
      <c r="R23" s="47"/>
      <c r="S23" s="47"/>
      <c r="T23" s="47"/>
    </row>
    <row r="24" spans="1:20" ht="12.75" customHeight="1" x14ac:dyDescent="0.35">
      <c r="A24" s="49">
        <f>'New Vestas G30 85L'!Y29</f>
        <v>31.071243523316081</v>
      </c>
      <c r="B24" s="48">
        <f>'New Vestas G30 85L'!T29</f>
        <v>114.19475925699673</v>
      </c>
      <c r="C24" s="50">
        <f t="shared" si="0"/>
        <v>1.4923586347968858</v>
      </c>
      <c r="D24" s="50">
        <f t="shared" si="0"/>
        <v>2.0576461732794136</v>
      </c>
      <c r="E24" s="51">
        <f t="shared" si="6"/>
        <v>2.2271342948528248</v>
      </c>
      <c r="F24" s="51">
        <f t="shared" si="6"/>
        <v>4.2339077744114144</v>
      </c>
      <c r="G24" s="52">
        <f t="shared" si="7"/>
        <v>3.0707460340503019</v>
      </c>
      <c r="H24" s="66" t="s">
        <v>78</v>
      </c>
      <c r="I24" s="71" t="e">
        <f>10^(MAX(C:C))</f>
        <v>#REF!</v>
      </c>
      <c r="J24" s="51" t="e">
        <f t="shared" si="1"/>
        <v>#REF!</v>
      </c>
      <c r="K24" s="51" t="e">
        <f t="shared" si="2"/>
        <v>#REF!</v>
      </c>
      <c r="L24" s="55" t="e">
        <f t="shared" si="3"/>
        <v>#REF!</v>
      </c>
      <c r="M24" s="51" t="e">
        <f t="shared" si="4"/>
        <v>#REF!</v>
      </c>
      <c r="N24" s="94" t="e">
        <f t="shared" si="8"/>
        <v>#REF!</v>
      </c>
      <c r="O24" s="56" t="e">
        <f t="shared" si="9"/>
        <v>#REF!</v>
      </c>
      <c r="P24" s="57" t="e">
        <f t="shared" si="5"/>
        <v>#REF!</v>
      </c>
      <c r="R24" s="47"/>
      <c r="S24" s="47"/>
      <c r="T24" s="47"/>
    </row>
    <row r="25" spans="1:20" ht="12.75" customHeight="1" thickBot="1" x14ac:dyDescent="0.4">
      <c r="A25" s="49">
        <f>'New Vestas G30 85L'!Y30</f>
        <v>34.726683937823857</v>
      </c>
      <c r="B25" s="48">
        <f>'New Vestas G30 85L'!T30</f>
        <v>113.21251317212499</v>
      </c>
      <c r="C25" s="50">
        <f t="shared" si="0"/>
        <v>1.540663314371441</v>
      </c>
      <c r="D25" s="50">
        <f t="shared" si="0"/>
        <v>2.0538944312804035</v>
      </c>
      <c r="E25" s="51">
        <f t="shared" si="6"/>
        <v>2.3736434482499935</v>
      </c>
      <c r="F25" s="51">
        <f t="shared" si="6"/>
        <v>4.2184823348446523</v>
      </c>
      <c r="G25" s="52">
        <f t="shared" si="7"/>
        <v>3.1643598018655124</v>
      </c>
      <c r="H25" s="72" t="s">
        <v>79</v>
      </c>
      <c r="I25" s="73" t="e">
        <f>10^(MIN(C:C))</f>
        <v>#REF!</v>
      </c>
      <c r="J25" s="51" t="e">
        <f t="shared" si="1"/>
        <v>#REF!</v>
      </c>
      <c r="K25" s="51" t="e">
        <f t="shared" si="2"/>
        <v>#REF!</v>
      </c>
      <c r="L25" s="55" t="e">
        <f t="shared" si="3"/>
        <v>#REF!</v>
      </c>
      <c r="M25" s="51" t="e">
        <f t="shared" si="4"/>
        <v>#REF!</v>
      </c>
      <c r="N25" s="94" t="e">
        <f t="shared" si="8"/>
        <v>#REF!</v>
      </c>
      <c r="O25" s="56" t="e">
        <f t="shared" si="9"/>
        <v>#REF!</v>
      </c>
      <c r="P25" s="57" t="e">
        <f t="shared" si="5"/>
        <v>#REF!</v>
      </c>
      <c r="R25" s="47"/>
      <c r="S25" s="47"/>
      <c r="T25" s="47"/>
    </row>
    <row r="26" spans="1:20" ht="12.75" customHeight="1" x14ac:dyDescent="0.35">
      <c r="A26" s="49">
        <f>'New Vestas G30 85L'!Y31</f>
        <v>2.1892271157167538</v>
      </c>
      <c r="B26" s="48">
        <f>'New Vestas G30 85L'!T31</f>
        <v>142.93996264007947</v>
      </c>
      <c r="C26" s="50">
        <f t="shared" si="0"/>
        <v>0.34029081866525496</v>
      </c>
      <c r="D26" s="50">
        <f t="shared" si="0"/>
        <v>2.1551536642545184</v>
      </c>
      <c r="E26" s="51">
        <f t="shared" si="6"/>
        <v>0.11579784126786943</v>
      </c>
      <c r="F26" s="51">
        <f t="shared" si="6"/>
        <v>4.6446873165496774</v>
      </c>
      <c r="G26" s="52">
        <f t="shared" si="7"/>
        <v>0.73337900475859408</v>
      </c>
      <c r="H26" s="63" t="s">
        <v>80</v>
      </c>
      <c r="I26" s="70"/>
      <c r="J26" s="51" t="e">
        <f t="shared" si="1"/>
        <v>#REF!</v>
      </c>
      <c r="K26" s="51" t="e">
        <f t="shared" si="2"/>
        <v>#REF!</v>
      </c>
      <c r="L26" s="55" t="e">
        <f t="shared" si="3"/>
        <v>#REF!</v>
      </c>
      <c r="M26" s="51" t="e">
        <f t="shared" si="4"/>
        <v>#REF!</v>
      </c>
      <c r="N26" s="94" t="e">
        <f t="shared" si="8"/>
        <v>#REF!</v>
      </c>
      <c r="O26" s="56" t="e">
        <f t="shared" si="9"/>
        <v>#REF!</v>
      </c>
      <c r="P26" s="57" t="e">
        <f t="shared" si="5"/>
        <v>#REF!</v>
      </c>
      <c r="R26" s="47" t="s">
        <v>81</v>
      </c>
      <c r="S26" s="47"/>
      <c r="T26" s="47"/>
    </row>
    <row r="27" spans="1:20" ht="12.75" customHeight="1" x14ac:dyDescent="0.35">
      <c r="A27" s="49">
        <f>'New Vestas G30 85L'!Y32</f>
        <v>3.2838406735751309</v>
      </c>
      <c r="B27" s="48">
        <f>'New Vestas G30 85L'!T32</f>
        <v>134.83928095904344</v>
      </c>
      <c r="C27" s="50">
        <f t="shared" si="0"/>
        <v>0.51638207772093625</v>
      </c>
      <c r="D27" s="50">
        <f t="shared" si="0"/>
        <v>2.129816427945995</v>
      </c>
      <c r="E27" s="51">
        <f t="shared" si="6"/>
        <v>0.26665045019139105</v>
      </c>
      <c r="F27" s="51">
        <f t="shared" si="6"/>
        <v>4.5361180167486381</v>
      </c>
      <c r="G27" s="52">
        <f t="shared" si="7"/>
        <v>1.0997990322269355</v>
      </c>
      <c r="H27" s="53" t="str">
        <f>"m lower " &amp; TEXT(I18,"##%") &amp; " conf"</f>
        <v>m lower 95% conf</v>
      </c>
      <c r="I27" s="74" t="e">
        <f>-I13-I21</f>
        <v>#REF!</v>
      </c>
      <c r="J27" s="51" t="e">
        <f t="shared" si="1"/>
        <v>#REF!</v>
      </c>
      <c r="K27" s="51" t="e">
        <f t="shared" si="2"/>
        <v>#REF!</v>
      </c>
      <c r="L27" s="55" t="e">
        <f t="shared" si="3"/>
        <v>#REF!</v>
      </c>
      <c r="M27" s="51" t="e">
        <f t="shared" si="4"/>
        <v>#REF!</v>
      </c>
      <c r="N27" s="94" t="e">
        <f t="shared" si="8"/>
        <v>#REF!</v>
      </c>
      <c r="O27" s="56" t="e">
        <f t="shared" si="9"/>
        <v>#REF!</v>
      </c>
      <c r="P27" s="57" t="e">
        <f t="shared" si="5"/>
        <v>#REF!</v>
      </c>
      <c r="R27" s="47"/>
      <c r="S27" s="47"/>
      <c r="T27" s="47"/>
    </row>
    <row r="28" spans="1:20" ht="12.75" customHeight="1" x14ac:dyDescent="0.35">
      <c r="A28" s="49">
        <f>'New Vestas G30 85L'!Y33</f>
        <v>4.3784542314335075</v>
      </c>
      <c r="B28" s="48">
        <f>'New Vestas G30 85L'!T33</f>
        <v>129.61118143440314</v>
      </c>
      <c r="C28" s="50">
        <f t="shared" si="0"/>
        <v>0.64132081432923616</v>
      </c>
      <c r="D28" s="50">
        <f t="shared" si="0"/>
        <v>2.1126424693261812</v>
      </c>
      <c r="E28" s="51">
        <f t="shared" si="6"/>
        <v>0.41129238689191461</v>
      </c>
      <c r="F28" s="51">
        <f t="shared" si="6"/>
        <v>4.4632582032006241</v>
      </c>
      <c r="G28" s="52">
        <f t="shared" si="7"/>
        <v>1.3548815888147949</v>
      </c>
      <c r="H28" s="75" t="s">
        <v>82</v>
      </c>
      <c r="I28" s="76" t="e">
        <f>-I13</f>
        <v>#REF!</v>
      </c>
      <c r="J28" s="51" t="e">
        <f t="shared" si="1"/>
        <v>#REF!</v>
      </c>
      <c r="K28" s="51" t="e">
        <f t="shared" si="2"/>
        <v>#REF!</v>
      </c>
      <c r="L28" s="55" t="e">
        <f t="shared" si="3"/>
        <v>#REF!</v>
      </c>
      <c r="M28" s="51" t="e">
        <f t="shared" si="4"/>
        <v>#REF!</v>
      </c>
      <c r="N28" s="94" t="e">
        <f t="shared" si="8"/>
        <v>#REF!</v>
      </c>
      <c r="O28" s="56" t="e">
        <f t="shared" si="9"/>
        <v>#REF!</v>
      </c>
      <c r="P28" s="57" t="e">
        <f t="shared" si="5"/>
        <v>#REF!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G30 85L'!Y34</f>
        <v>6.5676813471502618</v>
      </c>
      <c r="B29" s="48">
        <f>'New Vestas G30 85L'!T34</f>
        <v>123.86601712161163</v>
      </c>
      <c r="C29" s="50">
        <f t="shared" si="0"/>
        <v>0.81741207338491739</v>
      </c>
      <c r="D29" s="50">
        <f t="shared" si="0"/>
        <v>2.092952173196887</v>
      </c>
      <c r="E29" s="51">
        <f t="shared" si="6"/>
        <v>0.66816249771542957</v>
      </c>
      <c r="F29" s="51">
        <f t="shared" si="6"/>
        <v>4.3804487992895718</v>
      </c>
      <c r="G29" s="52">
        <f t="shared" si="7"/>
        <v>1.7108043753883362</v>
      </c>
      <c r="H29" s="77" t="str">
        <f>"m upper " &amp; TEXT(I18,"##%") &amp; " conf"</f>
        <v>m upper 95% conf</v>
      </c>
      <c r="I29" s="74" t="e">
        <f>-I13+I21</f>
        <v>#REF!</v>
      </c>
      <c r="J29" s="51" t="e">
        <f t="shared" si="1"/>
        <v>#REF!</v>
      </c>
      <c r="K29" s="51" t="e">
        <f t="shared" si="2"/>
        <v>#REF!</v>
      </c>
      <c r="L29" s="55" t="e">
        <f t="shared" si="3"/>
        <v>#REF!</v>
      </c>
      <c r="M29" s="51" t="e">
        <f t="shared" si="4"/>
        <v>#REF!</v>
      </c>
      <c r="N29" s="94" t="e">
        <f t="shared" si="8"/>
        <v>#REF!</v>
      </c>
      <c r="O29" s="56" t="e">
        <f t="shared" si="9"/>
        <v>#REF!</v>
      </c>
      <c r="P29" s="57" t="e">
        <f t="shared" si="5"/>
        <v>#REF!</v>
      </c>
      <c r="R29" s="47"/>
      <c r="S29" s="47"/>
      <c r="T29" s="47"/>
    </row>
    <row r="30" spans="1:20" ht="12.75" customHeight="1" x14ac:dyDescent="0.35">
      <c r="A30" s="49">
        <f>'New Vestas G30 85L'!Y35</f>
        <v>8.7569084628670151</v>
      </c>
      <c r="B30" s="48">
        <f>'New Vestas G30 85L'!T35</f>
        <v>116.62711008749434</v>
      </c>
      <c r="C30" s="50">
        <f t="shared" si="0"/>
        <v>0.94235080999321741</v>
      </c>
      <c r="D30" s="50">
        <f t="shared" si="0"/>
        <v>2.0667995143413949</v>
      </c>
      <c r="E30" s="51">
        <f t="shared" si="6"/>
        <v>0.8880250490948729</v>
      </c>
      <c r="F30" s="51">
        <f t="shared" si="6"/>
        <v>4.2716602324818256</v>
      </c>
      <c r="G30" s="52">
        <f t="shared" si="7"/>
        <v>1.9476501964332018</v>
      </c>
      <c r="H30" s="77" t="str">
        <f>"C lower " &amp; TEXT(I18,"##%") &amp; " conf"</f>
        <v>C lower 95% conf</v>
      </c>
      <c r="I30" s="78" t="e">
        <f>10^(I14-I22)</f>
        <v>#REF!</v>
      </c>
      <c r="J30" s="51" t="e">
        <f t="shared" si="1"/>
        <v>#REF!</v>
      </c>
      <c r="K30" s="51" t="e">
        <f t="shared" si="2"/>
        <v>#REF!</v>
      </c>
      <c r="L30" s="55" t="e">
        <f t="shared" si="3"/>
        <v>#REF!</v>
      </c>
      <c r="M30" s="51" t="e">
        <f t="shared" si="4"/>
        <v>#REF!</v>
      </c>
      <c r="N30" s="94" t="e">
        <f t="shared" si="8"/>
        <v>#REF!</v>
      </c>
      <c r="O30" s="56" t="e">
        <f t="shared" si="9"/>
        <v>#REF!</v>
      </c>
      <c r="P30" s="57" t="e">
        <f t="shared" si="5"/>
        <v>#REF!</v>
      </c>
      <c r="R30" s="47"/>
      <c r="S30" s="47"/>
      <c r="T30" s="47"/>
    </row>
    <row r="31" spans="1:20" ht="12.75" customHeight="1" x14ac:dyDescent="0.35">
      <c r="A31" s="49">
        <f>'New Vestas G30 85L'!Y36</f>
        <v>2.1892271157167538</v>
      </c>
      <c r="B31" s="48">
        <f>'New Vestas G30 85L'!T36</f>
        <v>146.77930375930265</v>
      </c>
      <c r="C31" s="50">
        <f t="shared" si="0"/>
        <v>0.34029081866525496</v>
      </c>
      <c r="D31" s="50">
        <f t="shared" si="0"/>
        <v>2.1666648233131256</v>
      </c>
      <c r="E31" s="51">
        <f t="shared" si="6"/>
        <v>0.11579784126786943</v>
      </c>
      <c r="F31" s="51">
        <f t="shared" si="6"/>
        <v>4.6944364565824976</v>
      </c>
      <c r="G31" s="52">
        <f t="shared" si="7"/>
        <v>0.73729614649843345</v>
      </c>
      <c r="H31" s="75" t="s">
        <v>83</v>
      </c>
      <c r="I31" s="79" t="e">
        <f>10^I14</f>
        <v>#REF!</v>
      </c>
      <c r="J31" s="51" t="e">
        <f t="shared" si="1"/>
        <v>#REF!</v>
      </c>
      <c r="K31" s="51" t="e">
        <f t="shared" si="2"/>
        <v>#REF!</v>
      </c>
      <c r="L31" s="55" t="e">
        <f t="shared" si="3"/>
        <v>#REF!</v>
      </c>
      <c r="M31" s="51" t="e">
        <f t="shared" si="4"/>
        <v>#REF!</v>
      </c>
      <c r="N31" s="94" t="e">
        <f t="shared" si="8"/>
        <v>#REF!</v>
      </c>
      <c r="O31" s="56" t="e">
        <f t="shared" si="9"/>
        <v>#REF!</v>
      </c>
      <c r="P31" s="57" t="e">
        <f t="shared" si="5"/>
        <v>#REF!</v>
      </c>
      <c r="R31" s="47"/>
      <c r="S31" s="47"/>
      <c r="T31" s="47"/>
    </row>
    <row r="32" spans="1:20" ht="12.75" customHeight="1" thickBot="1" x14ac:dyDescent="0.4">
      <c r="A32" s="49">
        <f>'New Vestas G30 85L'!Y37</f>
        <v>3.2838406735751309</v>
      </c>
      <c r="B32" s="48">
        <f>'New Vestas G30 85L'!T37</f>
        <v>138.46534309984125</v>
      </c>
      <c r="C32" s="50">
        <f t="shared" si="0"/>
        <v>0.51638207772093625</v>
      </c>
      <c r="D32" s="50">
        <f t="shared" si="0"/>
        <v>2.1413410861516664</v>
      </c>
      <c r="E32" s="51">
        <f t="shared" si="6"/>
        <v>0.26665045019139105</v>
      </c>
      <c r="F32" s="51">
        <f t="shared" si="6"/>
        <v>4.5853416472411981</v>
      </c>
      <c r="G32" s="52">
        <f t="shared" si="7"/>
        <v>1.1057501591762038</v>
      </c>
      <c r="H32" s="61" t="str">
        <f>"C upper " &amp; TEXT(I18,"##%") &amp; " conf"</f>
        <v>C upper 95% conf</v>
      </c>
      <c r="I32" s="80" t="e">
        <f>10^(I14+I22)</f>
        <v>#REF!</v>
      </c>
      <c r="J32" s="51" t="e">
        <f t="shared" si="1"/>
        <v>#REF!</v>
      </c>
      <c r="K32" s="51" t="e">
        <f t="shared" si="2"/>
        <v>#REF!</v>
      </c>
      <c r="L32" s="55" t="e">
        <f t="shared" si="3"/>
        <v>#REF!</v>
      </c>
      <c r="M32" s="51" t="e">
        <f t="shared" si="4"/>
        <v>#REF!</v>
      </c>
      <c r="N32" s="94" t="e">
        <f t="shared" si="8"/>
        <v>#REF!</v>
      </c>
      <c r="O32" s="56" t="e">
        <f t="shared" si="9"/>
        <v>#REF!</v>
      </c>
      <c r="P32" s="57" t="e">
        <f t="shared" si="5"/>
        <v>#REF!</v>
      </c>
      <c r="R32" s="47"/>
      <c r="S32" s="47"/>
      <c r="T32" s="47"/>
    </row>
    <row r="33" spans="1:20" ht="12.75" customHeight="1" x14ac:dyDescent="0.35">
      <c r="A33" s="49">
        <f>'New Vestas G30 85L'!Y38</f>
        <v>4.3784542314335075</v>
      </c>
      <c r="B33" s="48">
        <f>'New Vestas G30 85L'!T38</f>
        <v>136.13513267246216</v>
      </c>
      <c r="C33" s="50">
        <f t="shared" si="0"/>
        <v>0.64132081432923616</v>
      </c>
      <c r="D33" s="50">
        <f t="shared" si="0"/>
        <v>2.1339702189343659</v>
      </c>
      <c r="E33" s="51">
        <f t="shared" si="6"/>
        <v>0.41129238689191461</v>
      </c>
      <c r="F33" s="51">
        <f t="shared" si="6"/>
        <v>4.5538288952987855</v>
      </c>
      <c r="G33" s="52">
        <f t="shared" si="7"/>
        <v>1.368559518561326</v>
      </c>
      <c r="H33" s="63" t="s">
        <v>84</v>
      </c>
      <c r="I33" s="81"/>
      <c r="J33" s="51" t="e">
        <f t="shared" si="1"/>
        <v>#REF!</v>
      </c>
      <c r="K33" s="51" t="e">
        <f t="shared" si="2"/>
        <v>#REF!</v>
      </c>
      <c r="L33" s="55" t="e">
        <f t="shared" si="3"/>
        <v>#REF!</v>
      </c>
      <c r="M33" s="51" t="e">
        <f t="shared" si="4"/>
        <v>#REF!</v>
      </c>
      <c r="N33" s="94" t="e">
        <f t="shared" si="8"/>
        <v>#REF!</v>
      </c>
      <c r="O33" s="56" t="e">
        <f t="shared" si="9"/>
        <v>#REF!</v>
      </c>
      <c r="P33" s="57" t="e">
        <f t="shared" si="5"/>
        <v>#REF!</v>
      </c>
      <c r="R33" s="47"/>
      <c r="S33" s="47"/>
      <c r="T33" s="47"/>
    </row>
    <row r="34" spans="1:20" ht="12.75" customHeight="1" thickBot="1" x14ac:dyDescent="0.4">
      <c r="A34" s="49">
        <f>'New Vestas G30 85L'!Y39</f>
        <v>5.4730677892918846</v>
      </c>
      <c r="B34" s="48">
        <f>'New Vestas G30 85L'!T39</f>
        <v>127.64856384573423</v>
      </c>
      <c r="C34" s="50">
        <f t="shared" si="0"/>
        <v>0.73823082733729262</v>
      </c>
      <c r="D34" s="50">
        <f t="shared" si="0"/>
        <v>2.1060159329876531</v>
      </c>
      <c r="E34" s="51">
        <f t="shared" si="6"/>
        <v>0.5449847544311035</v>
      </c>
      <c r="F34" s="51">
        <f t="shared" si="6"/>
        <v>4.4353031099978546</v>
      </c>
      <c r="G34" s="52">
        <f t="shared" si="7"/>
        <v>1.5547258845949954</v>
      </c>
      <c r="H34" s="82" t="e">
        <f>"G27 Fit: S = " &amp; TEXT(I31,"0,00 E+00 ") &amp; " * N ^ -" &amp; TEXT(I28,"0,00")</f>
        <v>#REF!</v>
      </c>
      <c r="I34" s="62"/>
      <c r="J34" s="51" t="e">
        <f t="shared" si="1"/>
        <v>#REF!</v>
      </c>
      <c r="K34" s="51" t="e">
        <f t="shared" si="2"/>
        <v>#REF!</v>
      </c>
      <c r="L34" s="55" t="e">
        <f t="shared" si="3"/>
        <v>#REF!</v>
      </c>
      <c r="M34" s="51" t="e">
        <f t="shared" si="4"/>
        <v>#REF!</v>
      </c>
      <c r="N34" s="94" t="e">
        <f t="shared" si="8"/>
        <v>#REF!</v>
      </c>
      <c r="O34" s="56" t="e">
        <f t="shared" si="9"/>
        <v>#REF!</v>
      </c>
      <c r="P34" s="57" t="e">
        <f t="shared" si="5"/>
        <v>#REF!</v>
      </c>
      <c r="R34" s="47"/>
      <c r="S34" s="47"/>
      <c r="T34" s="47"/>
    </row>
    <row r="35" spans="1:20" ht="12.75" customHeight="1" thickBot="1" x14ac:dyDescent="0.4">
      <c r="A35" s="49">
        <f>'New Vestas G30 85L'!Y40</f>
        <v>7.6622949050086389</v>
      </c>
      <c r="B35" s="48">
        <f>'New Vestas G30 85L'!T40</f>
        <v>125.692337807626</v>
      </c>
      <c r="C35" s="50">
        <f t="shared" si="0"/>
        <v>0.88435886301553068</v>
      </c>
      <c r="D35" s="50">
        <f t="shared" si="0"/>
        <v>2.0993088039445751</v>
      </c>
      <c r="E35" s="51">
        <f t="shared" si="6"/>
        <v>0.78209059859412211</v>
      </c>
      <c r="F35" s="51">
        <f t="shared" si="6"/>
        <v>4.4070974543192021</v>
      </c>
      <c r="G35" s="52">
        <f t="shared" si="7"/>
        <v>1.856542346974918</v>
      </c>
      <c r="H35" s="82" t="e">
        <f>"G27 Fit: N = " &amp; TEXT((1/I31)^(-1/I28),"0,00 E+00 ") &amp; " * S ^ -" &amp; TEXT(1/I28,"0,00")</f>
        <v>#REF!</v>
      </c>
      <c r="I35" s="84"/>
      <c r="J35" s="51" t="e">
        <f t="shared" si="1"/>
        <v>#REF!</v>
      </c>
      <c r="K35" s="51" t="e">
        <f t="shared" si="2"/>
        <v>#REF!</v>
      </c>
      <c r="L35" s="55" t="e">
        <f t="shared" si="3"/>
        <v>#REF!</v>
      </c>
      <c r="M35" s="51" t="e">
        <f t="shared" si="4"/>
        <v>#REF!</v>
      </c>
      <c r="N35" s="94" t="e">
        <f t="shared" si="8"/>
        <v>#REF!</v>
      </c>
      <c r="O35" s="56" t="e">
        <f t="shared" si="9"/>
        <v>#REF!</v>
      </c>
      <c r="P35" s="57" t="e">
        <f t="shared" si="5"/>
        <v>#REF!</v>
      </c>
      <c r="R35" s="47"/>
      <c r="S35" s="47"/>
      <c r="T35" s="47"/>
    </row>
    <row r="36" spans="1:20" ht="12.75" customHeight="1" x14ac:dyDescent="0.35">
      <c r="A36" s="49">
        <f>'New Vestas G30 85L'!Y41</f>
        <v>8.7569084628670151</v>
      </c>
      <c r="B36" s="48">
        <f>'New Vestas G30 85L'!T41</f>
        <v>124.16763221579347</v>
      </c>
      <c r="C36" s="50">
        <f t="shared" si="0"/>
        <v>0.94235080999321741</v>
      </c>
      <c r="D36" s="50">
        <f t="shared" si="0"/>
        <v>2.0940083995272856</v>
      </c>
      <c r="E36" s="51">
        <f t="shared" si="6"/>
        <v>0.8880250490948729</v>
      </c>
      <c r="F36" s="51">
        <f t="shared" si="6"/>
        <v>4.3848711772908242</v>
      </c>
      <c r="G36" s="52">
        <f t="shared" si="7"/>
        <v>1.9732905114271384</v>
      </c>
      <c r="H36" s="83"/>
      <c r="I36" s="83"/>
      <c r="J36" s="51" t="e">
        <f t="shared" si="1"/>
        <v>#REF!</v>
      </c>
      <c r="K36" s="51" t="e">
        <f t="shared" si="2"/>
        <v>#REF!</v>
      </c>
      <c r="L36" s="55" t="e">
        <f t="shared" si="3"/>
        <v>#REF!</v>
      </c>
      <c r="M36" s="51" t="e">
        <f t="shared" si="4"/>
        <v>#REF!</v>
      </c>
      <c r="N36" s="94" t="e">
        <f t="shared" si="8"/>
        <v>#REF!</v>
      </c>
      <c r="O36" s="56" t="e">
        <f t="shared" si="9"/>
        <v>#REF!</v>
      </c>
      <c r="P36" s="57" t="e">
        <f t="shared" si="5"/>
        <v>#REF!</v>
      </c>
      <c r="R36" s="47"/>
      <c r="S36" s="47"/>
      <c r="T36" s="47"/>
    </row>
    <row r="37" spans="1:20" ht="12.75" customHeight="1" x14ac:dyDescent="0.35">
      <c r="A37" s="49">
        <f>'New Vestas G30 85L'!Y42</f>
        <v>1.0946135578583769</v>
      </c>
      <c r="B37" s="48">
        <f>'New Vestas G30 85L'!T42</f>
        <v>149.57811851645184</v>
      </c>
      <c r="C37" s="50">
        <f t="shared" si="0"/>
        <v>3.9260823001273773E-2</v>
      </c>
      <c r="D37" s="50">
        <f t="shared" si="0"/>
        <v>2.1748680661045463</v>
      </c>
      <c r="E37" s="51">
        <f t="shared" si="6"/>
        <v>1.5414122227373477E-3</v>
      </c>
      <c r="F37" s="51">
        <f t="shared" si="6"/>
        <v>4.730051104961329</v>
      </c>
      <c r="G37" s="52">
        <f t="shared" si="7"/>
        <v>8.5387110194453178E-2</v>
      </c>
      <c r="H37" s="95" t="e">
        <f>1/I28</f>
        <v>#REF!</v>
      </c>
      <c r="I37" s="85" t="e">
        <f>I31-I30</f>
        <v>#REF!</v>
      </c>
      <c r="J37" s="51" t="e">
        <f t="shared" si="1"/>
        <v>#REF!</v>
      </c>
      <c r="K37" s="51" t="e">
        <f t="shared" si="2"/>
        <v>#REF!</v>
      </c>
      <c r="L37" s="55" t="e">
        <f t="shared" si="3"/>
        <v>#REF!</v>
      </c>
      <c r="M37" s="51" t="e">
        <f t="shared" si="4"/>
        <v>#REF!</v>
      </c>
      <c r="N37" s="94" t="e">
        <f t="shared" si="8"/>
        <v>#REF!</v>
      </c>
      <c r="O37" s="56" t="e">
        <f t="shared" si="9"/>
        <v>#REF!</v>
      </c>
      <c r="P37" s="57" t="e">
        <f t="shared" si="5"/>
        <v>#REF!</v>
      </c>
      <c r="R37" s="47"/>
      <c r="S37" s="47"/>
      <c r="T37" s="47"/>
    </row>
    <row r="38" spans="1:20" ht="12.75" customHeight="1" x14ac:dyDescent="0.35">
      <c r="A38" s="49">
        <f>'New Vestas G30 85L'!Y43</f>
        <v>2.1892271157167538</v>
      </c>
      <c r="B38" s="48">
        <f>'New Vestas G30 85L'!T43</f>
        <v>146.47767934153356</v>
      </c>
      <c r="C38" s="50">
        <f t="shared" si="0"/>
        <v>0.34029081866525496</v>
      </c>
      <c r="D38" s="50">
        <f t="shared" si="0"/>
        <v>2.1657714507833314</v>
      </c>
      <c r="E38" s="51">
        <f t="shared" si="6"/>
        <v>0.11579784126786943</v>
      </c>
      <c r="F38" s="51">
        <f t="shared" si="6"/>
        <v>4.690565977028136</v>
      </c>
      <c r="G38" s="52">
        <f t="shared" si="7"/>
        <v>0.73699214002889679</v>
      </c>
      <c r="H38" s="95" t="e">
        <f>((1/I27)-(1/I29))/2</f>
        <v>#REF!</v>
      </c>
      <c r="I38" s="85" t="e">
        <f>I32-I31</f>
        <v>#REF!</v>
      </c>
      <c r="J38" s="51" t="e">
        <f t="shared" si="1"/>
        <v>#REF!</v>
      </c>
      <c r="K38" s="51" t="e">
        <f t="shared" si="2"/>
        <v>#REF!</v>
      </c>
      <c r="L38" s="55" t="e">
        <f t="shared" si="3"/>
        <v>#REF!</v>
      </c>
      <c r="M38" s="51" t="e">
        <f t="shared" si="4"/>
        <v>#REF!</v>
      </c>
      <c r="N38" s="94" t="e">
        <f t="shared" si="8"/>
        <v>#REF!</v>
      </c>
      <c r="O38" s="56" t="e">
        <f t="shared" si="9"/>
        <v>#REF!</v>
      </c>
      <c r="P38" s="57" t="e">
        <f t="shared" si="5"/>
        <v>#REF!</v>
      </c>
      <c r="R38" s="47"/>
      <c r="S38" s="47"/>
      <c r="T38" s="47"/>
    </row>
    <row r="39" spans="1:20" ht="12.75" customHeight="1" x14ac:dyDescent="0.35">
      <c r="A39" s="49">
        <f>'New Vestas G30 85L'!Y44</f>
        <v>3.2838406735751309</v>
      </c>
      <c r="B39" s="48">
        <f>'New Vestas G30 85L'!T44</f>
        <v>140.53517091794299</v>
      </c>
      <c r="C39" s="50">
        <f t="shared" si="0"/>
        <v>0.51638207772093625</v>
      </c>
      <c r="D39" s="50">
        <f t="shared" si="0"/>
        <v>2.1477850261919325</v>
      </c>
      <c r="E39" s="51">
        <f t="shared" si="6"/>
        <v>0.26665045019139105</v>
      </c>
      <c r="F39" s="51">
        <f t="shared" si="6"/>
        <v>4.6129805187342798</v>
      </c>
      <c r="G39" s="52">
        <f t="shared" si="7"/>
        <v>1.1090776943229055</v>
      </c>
      <c r="H39" s="86"/>
      <c r="I39" s="86"/>
      <c r="J39" s="51" t="e">
        <f t="shared" si="1"/>
        <v>#REF!</v>
      </c>
      <c r="K39" s="51" t="e">
        <f t="shared" si="2"/>
        <v>#REF!</v>
      </c>
      <c r="L39" s="55" t="e">
        <f t="shared" si="3"/>
        <v>#REF!</v>
      </c>
      <c r="M39" s="51" t="e">
        <f t="shared" si="4"/>
        <v>#REF!</v>
      </c>
      <c r="N39" s="94" t="e">
        <f t="shared" si="8"/>
        <v>#REF!</v>
      </c>
      <c r="O39" s="56" t="e">
        <f t="shared" si="9"/>
        <v>#REF!</v>
      </c>
      <c r="P39" s="57" t="e">
        <f t="shared" si="5"/>
        <v>#REF!</v>
      </c>
      <c r="R39" s="47"/>
      <c r="S39" s="47"/>
      <c r="T39" s="47"/>
    </row>
    <row r="40" spans="1:20" ht="12.75" customHeight="1" x14ac:dyDescent="0.35">
      <c r="A40" s="49">
        <f>'New Vestas G30 85L'!Y45</f>
        <v>4.3784542314335075</v>
      </c>
      <c r="B40" s="48">
        <f>'New Vestas G30 85L'!T45</f>
        <v>133.81755271061729</v>
      </c>
      <c r="C40" s="50">
        <f t="shared" si="0"/>
        <v>0.64132081432923616</v>
      </c>
      <c r="D40" s="50">
        <f t="shared" si="0"/>
        <v>2.1265130831282777</v>
      </c>
      <c r="E40" s="51">
        <f t="shared" si="6"/>
        <v>0.41129238689191461</v>
      </c>
      <c r="F40" s="51">
        <f t="shared" si="6"/>
        <v>4.5220578927157336</v>
      </c>
      <c r="G40" s="52">
        <f t="shared" si="7"/>
        <v>1.3637771021536018</v>
      </c>
      <c r="H40" s="86" t="e">
        <f>H37=H38</f>
        <v>#REF!</v>
      </c>
      <c r="I40" s="86"/>
      <c r="J40" s="51" t="e">
        <f t="shared" si="1"/>
        <v>#REF!</v>
      </c>
      <c r="K40" s="51" t="e">
        <f t="shared" si="2"/>
        <v>#REF!</v>
      </c>
      <c r="L40" s="55" t="e">
        <f t="shared" si="3"/>
        <v>#REF!</v>
      </c>
      <c r="M40" s="51" t="e">
        <f t="shared" si="4"/>
        <v>#REF!</v>
      </c>
      <c r="N40" s="94" t="e">
        <f t="shared" si="8"/>
        <v>#REF!</v>
      </c>
      <c r="O40" s="56" t="e">
        <f t="shared" si="9"/>
        <v>#REF!</v>
      </c>
      <c r="P40" s="57" t="e">
        <f t="shared" si="5"/>
        <v>#REF!</v>
      </c>
      <c r="R40" s="47"/>
      <c r="S40" s="47"/>
      <c r="T40" s="47"/>
    </row>
    <row r="41" spans="1:20" ht="12.75" customHeight="1" x14ac:dyDescent="0.35">
      <c r="A41" s="49">
        <f>'New Vestas G30 85L'!Y46</f>
        <v>6.5676813471502618</v>
      </c>
      <c r="B41" s="48">
        <f>'New Vestas G30 85L'!T46</f>
        <v>130.7171135332004</v>
      </c>
      <c r="C41" s="50">
        <f t="shared" si="0"/>
        <v>0.81741207338491739</v>
      </c>
      <c r="D41" s="50">
        <f t="shared" si="0"/>
        <v>2.1163324492981648</v>
      </c>
      <c r="E41" s="51">
        <f t="shared" si="6"/>
        <v>0.66816249771542957</v>
      </c>
      <c r="F41" s="51">
        <f t="shared" si="6"/>
        <v>4.4788630359523696</v>
      </c>
      <c r="G41" s="52">
        <f t="shared" si="7"/>
        <v>1.7299156953525934</v>
      </c>
      <c r="H41" s="86"/>
      <c r="I41" s="86"/>
      <c r="J41" s="51" t="e">
        <f t="shared" si="1"/>
        <v>#REF!</v>
      </c>
      <c r="K41" s="51" t="e">
        <f t="shared" si="2"/>
        <v>#REF!</v>
      </c>
      <c r="L41" s="55" t="e">
        <f t="shared" si="3"/>
        <v>#REF!</v>
      </c>
      <c r="M41" s="51" t="e">
        <f t="shared" si="4"/>
        <v>#REF!</v>
      </c>
      <c r="N41" s="94" t="e">
        <f t="shared" si="8"/>
        <v>#REF!</v>
      </c>
      <c r="O41" s="56" t="e">
        <f t="shared" si="9"/>
        <v>#REF!</v>
      </c>
      <c r="P41" s="57" t="e">
        <f t="shared" si="5"/>
        <v>#REF!</v>
      </c>
      <c r="R41" s="47"/>
      <c r="S41" s="47"/>
      <c r="T41" s="47"/>
    </row>
    <row r="42" spans="1:20" ht="12.75" customHeight="1" x14ac:dyDescent="0.35">
      <c r="A42" s="49">
        <f>'New Vestas G30 85L'!Y47</f>
        <v>8.7569084628670151</v>
      </c>
      <c r="B42" s="48">
        <f>'New Vestas G30 85L'!T47</f>
        <v>122.36315241384239</v>
      </c>
      <c r="C42" s="50">
        <f t="shared" si="0"/>
        <v>0.94235080999321741</v>
      </c>
      <c r="D42" s="50">
        <f t="shared" si="0"/>
        <v>2.0876506570859386</v>
      </c>
      <c r="E42" s="51">
        <f t="shared" si="6"/>
        <v>0.8880250490948729</v>
      </c>
      <c r="F42" s="51">
        <f t="shared" si="6"/>
        <v>4.3582852660313511</v>
      </c>
      <c r="G42" s="52">
        <f t="shared" si="7"/>
        <v>1.9672992876878068</v>
      </c>
      <c r="H42" s="86"/>
      <c r="I42" s="86"/>
      <c r="J42" s="51" t="e">
        <f t="shared" si="1"/>
        <v>#REF!</v>
      </c>
      <c r="K42" s="51" t="e">
        <f t="shared" si="2"/>
        <v>#REF!</v>
      </c>
      <c r="L42" s="55" t="e">
        <f t="shared" si="3"/>
        <v>#REF!</v>
      </c>
      <c r="M42" s="51" t="e">
        <f t="shared" si="4"/>
        <v>#REF!</v>
      </c>
      <c r="N42" s="94" t="e">
        <f t="shared" si="8"/>
        <v>#REF!</v>
      </c>
      <c r="O42" s="56" t="e">
        <f t="shared" si="9"/>
        <v>#REF!</v>
      </c>
      <c r="P42" s="57" t="e">
        <f t="shared" si="5"/>
        <v>#REF!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e">
        <f>"G27 Fit: N = " &amp; TEXT((1/J39)^(-1/J36),"0,00 E+00 ") &amp; " * S ^ -" &amp; TEXT(1/J36,"0,00")</f>
        <v>#REF!</v>
      </c>
      <c r="J43" s="51" t="e">
        <f t="shared" si="1"/>
        <v>#REF!</v>
      </c>
      <c r="K43" s="51" t="e">
        <f t="shared" si="2"/>
        <v>#REF!</v>
      </c>
      <c r="L43" s="55" t="e">
        <f t="shared" si="3"/>
        <v>#REF!</v>
      </c>
      <c r="M43" s="51" t="e">
        <f t="shared" si="4"/>
        <v>#REF!</v>
      </c>
      <c r="N43" s="94" t="e">
        <f t="shared" si="8"/>
        <v>#REF!</v>
      </c>
      <c r="O43" s="56" t="e">
        <f t="shared" si="9"/>
        <v>#REF!</v>
      </c>
      <c r="P43" s="57" t="e">
        <f t="shared" si="5"/>
        <v>#REF!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/>
      <c r="I44" s="86"/>
      <c r="J44" s="51" t="e">
        <f t="shared" si="1"/>
        <v>#REF!</v>
      </c>
      <c r="K44" s="51" t="e">
        <f t="shared" si="2"/>
        <v>#REF!</v>
      </c>
      <c r="L44" s="55" t="e">
        <f t="shared" si="3"/>
        <v>#REF!</v>
      </c>
      <c r="M44" s="51" t="e">
        <f t="shared" si="4"/>
        <v>#REF!</v>
      </c>
      <c r="N44" s="94" t="e">
        <f t="shared" si="8"/>
        <v>#REF!</v>
      </c>
      <c r="O44" s="56" t="e">
        <f t="shared" si="9"/>
        <v>#REF!</v>
      </c>
      <c r="P44" s="57" t="e">
        <f t="shared" si="5"/>
        <v>#REF!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/>
      <c r="I45" s="86"/>
      <c r="J45" s="51" t="e">
        <f t="shared" si="1"/>
        <v>#REF!</v>
      </c>
      <c r="K45" s="51" t="e">
        <f t="shared" si="2"/>
        <v>#REF!</v>
      </c>
      <c r="L45" s="55" t="e">
        <f t="shared" si="3"/>
        <v>#REF!</v>
      </c>
      <c r="M45" s="51" t="e">
        <f t="shared" si="4"/>
        <v>#REF!</v>
      </c>
      <c r="N45" s="94" t="e">
        <f t="shared" si="8"/>
        <v>#REF!</v>
      </c>
      <c r="O45" s="56" t="e">
        <f t="shared" si="9"/>
        <v>#REF!</v>
      </c>
      <c r="P45" s="57" t="e">
        <f t="shared" si="5"/>
        <v>#REF!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 t="e">
        <f t="shared" si="1"/>
        <v>#REF!</v>
      </c>
      <c r="K46" s="51" t="e">
        <f t="shared" si="2"/>
        <v>#REF!</v>
      </c>
      <c r="L46" s="55" t="e">
        <f t="shared" si="3"/>
        <v>#REF!</v>
      </c>
      <c r="M46" s="51" t="e">
        <f t="shared" si="4"/>
        <v>#REF!</v>
      </c>
      <c r="N46" s="94" t="e">
        <f t="shared" si="8"/>
        <v>#REF!</v>
      </c>
      <c r="O46" s="56" t="e">
        <f t="shared" si="9"/>
        <v>#REF!</v>
      </c>
      <c r="P46" s="57" t="e">
        <f t="shared" si="5"/>
        <v>#REF!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 t="e">
        <f t="shared" si="1"/>
        <v>#REF!</v>
      </c>
      <c r="K47" s="51" t="e">
        <f t="shared" si="2"/>
        <v>#REF!</v>
      </c>
      <c r="L47" s="55" t="e">
        <f t="shared" si="3"/>
        <v>#REF!</v>
      </c>
      <c r="M47" s="51" t="e">
        <f t="shared" si="4"/>
        <v>#REF!</v>
      </c>
      <c r="N47" s="94" t="e">
        <f t="shared" si="8"/>
        <v>#REF!</v>
      </c>
      <c r="O47" s="56" t="e">
        <f t="shared" si="9"/>
        <v>#REF!</v>
      </c>
      <c r="P47" s="57" t="e">
        <f t="shared" si="5"/>
        <v>#REF!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 t="e">
        <f t="shared" si="1"/>
        <v>#REF!</v>
      </c>
      <c r="K48" s="51" t="e">
        <f t="shared" si="2"/>
        <v>#REF!</v>
      </c>
      <c r="L48" s="55" t="e">
        <f t="shared" si="3"/>
        <v>#REF!</v>
      </c>
      <c r="M48" s="51" t="e">
        <f t="shared" si="4"/>
        <v>#REF!</v>
      </c>
      <c r="N48" s="94" t="e">
        <f t="shared" si="8"/>
        <v>#REF!</v>
      </c>
      <c r="O48" s="56" t="e">
        <f t="shared" si="9"/>
        <v>#REF!</v>
      </c>
      <c r="P48" s="57" t="e">
        <f t="shared" si="5"/>
        <v>#REF!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 t="e">
        <f t="shared" si="1"/>
        <v>#REF!</v>
      </c>
      <c r="K49" s="51" t="e">
        <f t="shared" si="2"/>
        <v>#REF!</v>
      </c>
      <c r="L49" s="55" t="e">
        <f t="shared" si="3"/>
        <v>#REF!</v>
      </c>
      <c r="M49" s="51" t="e">
        <f t="shared" si="4"/>
        <v>#REF!</v>
      </c>
      <c r="N49" s="94" t="e">
        <f t="shared" si="8"/>
        <v>#REF!</v>
      </c>
      <c r="O49" s="56" t="e">
        <f t="shared" si="9"/>
        <v>#REF!</v>
      </c>
      <c r="P49" s="57" t="e">
        <f t="shared" si="5"/>
        <v>#REF!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 t="e">
        <f t="shared" si="1"/>
        <v>#REF!</v>
      </c>
      <c r="K50" s="51" t="e">
        <f t="shared" si="2"/>
        <v>#REF!</v>
      </c>
      <c r="L50" s="55" t="e">
        <f t="shared" si="3"/>
        <v>#REF!</v>
      </c>
      <c r="M50" s="51" t="e">
        <f t="shared" si="4"/>
        <v>#REF!</v>
      </c>
      <c r="N50" s="94" t="e">
        <f t="shared" si="8"/>
        <v>#REF!</v>
      </c>
      <c r="O50" s="56" t="e">
        <f t="shared" si="9"/>
        <v>#REF!</v>
      </c>
      <c r="P50" s="57" t="e">
        <f t="shared" si="5"/>
        <v>#REF!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 t="e">
        <f t="shared" si="1"/>
        <v>#REF!</v>
      </c>
      <c r="K51" s="51" t="e">
        <f t="shared" si="2"/>
        <v>#REF!</v>
      </c>
      <c r="L51" s="55" t="e">
        <f t="shared" si="3"/>
        <v>#REF!</v>
      </c>
      <c r="M51" s="51" t="e">
        <f t="shared" si="4"/>
        <v>#REF!</v>
      </c>
      <c r="N51" s="94" t="e">
        <f t="shared" si="8"/>
        <v>#REF!</v>
      </c>
      <c r="O51" s="56" t="e">
        <f t="shared" si="9"/>
        <v>#REF!</v>
      </c>
      <c r="P51" s="57" t="e">
        <f t="shared" si="5"/>
        <v>#REF!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 t="e">
        <f t="shared" si="1"/>
        <v>#REF!</v>
      </c>
      <c r="K52" s="51" t="e">
        <f t="shared" si="2"/>
        <v>#REF!</v>
      </c>
      <c r="L52" s="55" t="e">
        <f t="shared" si="3"/>
        <v>#REF!</v>
      </c>
      <c r="M52" s="51" t="e">
        <f t="shared" si="4"/>
        <v>#REF!</v>
      </c>
      <c r="N52" s="94" t="e">
        <f t="shared" si="8"/>
        <v>#REF!</v>
      </c>
      <c r="O52" s="56" t="e">
        <f t="shared" si="9"/>
        <v>#REF!</v>
      </c>
      <c r="P52" s="57" t="e">
        <f t="shared" si="5"/>
        <v>#REF!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 t="e">
        <f t="shared" si="1"/>
        <v>#REF!</v>
      </c>
      <c r="K53" s="51" t="e">
        <f t="shared" si="2"/>
        <v>#REF!</v>
      </c>
      <c r="L53" s="55" t="e">
        <f t="shared" si="3"/>
        <v>#REF!</v>
      </c>
      <c r="M53" s="51" t="e">
        <f t="shared" si="4"/>
        <v>#REF!</v>
      </c>
      <c r="N53" s="94" t="e">
        <f t="shared" si="8"/>
        <v>#REF!</v>
      </c>
      <c r="O53" s="56" t="e">
        <f t="shared" si="9"/>
        <v>#REF!</v>
      </c>
      <c r="P53" s="57" t="e">
        <f t="shared" si="5"/>
        <v>#REF!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 t="e">
        <f t="shared" si="1"/>
        <v>#REF!</v>
      </c>
      <c r="K54" s="51" t="e">
        <f t="shared" si="2"/>
        <v>#REF!</v>
      </c>
      <c r="L54" s="55" t="e">
        <f t="shared" si="3"/>
        <v>#REF!</v>
      </c>
      <c r="M54" s="51" t="e">
        <f t="shared" si="4"/>
        <v>#REF!</v>
      </c>
      <c r="N54" s="94" t="e">
        <f t="shared" si="8"/>
        <v>#REF!</v>
      </c>
      <c r="O54" s="56" t="e">
        <f t="shared" si="9"/>
        <v>#REF!</v>
      </c>
      <c r="P54" s="57" t="e">
        <f t="shared" si="5"/>
        <v>#REF!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 t="e">
        <f t="shared" si="1"/>
        <v>#REF!</v>
      </c>
      <c r="K55" s="51" t="e">
        <f t="shared" si="2"/>
        <v>#REF!</v>
      </c>
      <c r="L55" s="55" t="e">
        <f t="shared" si="3"/>
        <v>#REF!</v>
      </c>
      <c r="M55" s="51" t="e">
        <f t="shared" si="4"/>
        <v>#REF!</v>
      </c>
      <c r="N55" s="94" t="e">
        <f t="shared" si="8"/>
        <v>#REF!</v>
      </c>
      <c r="O55" s="56" t="e">
        <f t="shared" si="9"/>
        <v>#REF!</v>
      </c>
      <c r="P55" s="57" t="e">
        <f t="shared" si="5"/>
        <v>#REF!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 t="e">
        <f t="shared" si="1"/>
        <v>#REF!</v>
      </c>
      <c r="K56" s="51" t="e">
        <f t="shared" si="2"/>
        <v>#REF!</v>
      </c>
      <c r="L56" s="55" t="e">
        <f t="shared" si="3"/>
        <v>#REF!</v>
      </c>
      <c r="M56" s="51" t="e">
        <f t="shared" si="4"/>
        <v>#REF!</v>
      </c>
      <c r="N56" s="94" t="e">
        <f t="shared" si="8"/>
        <v>#REF!</v>
      </c>
      <c r="O56" s="56" t="e">
        <f t="shared" si="9"/>
        <v>#REF!</v>
      </c>
      <c r="P56" s="57" t="e">
        <f t="shared" si="5"/>
        <v>#REF!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 t="e">
        <f t="shared" si="1"/>
        <v>#REF!</v>
      </c>
      <c r="K57" s="51" t="e">
        <f t="shared" si="2"/>
        <v>#REF!</v>
      </c>
      <c r="L57" s="55" t="e">
        <f t="shared" si="3"/>
        <v>#REF!</v>
      </c>
      <c r="M57" s="51" t="e">
        <f t="shared" si="4"/>
        <v>#REF!</v>
      </c>
      <c r="N57" s="94" t="e">
        <f t="shared" si="8"/>
        <v>#REF!</v>
      </c>
      <c r="O57" s="56" t="e">
        <f t="shared" si="9"/>
        <v>#REF!</v>
      </c>
      <c r="P57" s="57" t="e">
        <f t="shared" si="5"/>
        <v>#REF!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 t="e">
        <f t="shared" si="1"/>
        <v>#REF!</v>
      </c>
      <c r="K58" s="51" t="e">
        <f t="shared" si="2"/>
        <v>#REF!</v>
      </c>
      <c r="L58" s="55" t="e">
        <f t="shared" si="3"/>
        <v>#REF!</v>
      </c>
      <c r="M58" s="51" t="e">
        <f t="shared" si="4"/>
        <v>#REF!</v>
      </c>
      <c r="N58" s="94" t="e">
        <f t="shared" si="8"/>
        <v>#REF!</v>
      </c>
      <c r="O58" s="56" t="e">
        <f t="shared" si="9"/>
        <v>#REF!</v>
      </c>
      <c r="P58" s="57" t="e">
        <f t="shared" si="5"/>
        <v>#REF!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 t="e">
        <f t="shared" si="1"/>
        <v>#REF!</v>
      </c>
      <c r="K59" s="51" t="e">
        <f t="shared" si="2"/>
        <v>#REF!</v>
      </c>
      <c r="L59" s="55" t="e">
        <f t="shared" si="3"/>
        <v>#REF!</v>
      </c>
      <c r="M59" s="51" t="e">
        <f t="shared" si="4"/>
        <v>#REF!</v>
      </c>
      <c r="N59" s="94" t="e">
        <f t="shared" si="8"/>
        <v>#REF!</v>
      </c>
      <c r="O59" s="56" t="e">
        <f t="shared" si="9"/>
        <v>#REF!</v>
      </c>
      <c r="P59" s="57" t="e">
        <f t="shared" si="5"/>
        <v>#REF!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 t="e">
        <f t="shared" si="1"/>
        <v>#REF!</v>
      </c>
      <c r="K60" s="51" t="e">
        <f t="shared" si="2"/>
        <v>#REF!</v>
      </c>
      <c r="L60" s="55" t="e">
        <f t="shared" si="3"/>
        <v>#REF!</v>
      </c>
      <c r="M60" s="51" t="e">
        <f t="shared" si="4"/>
        <v>#REF!</v>
      </c>
      <c r="N60" s="94" t="e">
        <f t="shared" si="8"/>
        <v>#REF!</v>
      </c>
      <c r="O60" s="56" t="e">
        <f t="shared" si="9"/>
        <v>#REF!</v>
      </c>
      <c r="P60" s="57" t="e">
        <f t="shared" si="5"/>
        <v>#REF!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 t="e">
        <f t="shared" si="1"/>
        <v>#REF!</v>
      </c>
      <c r="K61" s="51" t="e">
        <f t="shared" si="2"/>
        <v>#REF!</v>
      </c>
      <c r="L61" s="55" t="e">
        <f t="shared" si="3"/>
        <v>#REF!</v>
      </c>
      <c r="M61" s="51" t="e">
        <f t="shared" si="4"/>
        <v>#REF!</v>
      </c>
      <c r="N61" s="94" t="e">
        <f t="shared" si="8"/>
        <v>#REF!</v>
      </c>
      <c r="O61" s="56" t="e">
        <f t="shared" si="9"/>
        <v>#REF!</v>
      </c>
      <c r="P61" s="57" t="e">
        <f t="shared" si="5"/>
        <v>#REF!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 t="e">
        <f t="shared" si="1"/>
        <v>#REF!</v>
      </c>
      <c r="K62" s="51" t="e">
        <f t="shared" si="2"/>
        <v>#REF!</v>
      </c>
      <c r="L62" s="55" t="e">
        <f t="shared" si="3"/>
        <v>#REF!</v>
      </c>
      <c r="M62" s="51" t="e">
        <f t="shared" si="4"/>
        <v>#REF!</v>
      </c>
      <c r="N62" s="94" t="e">
        <f t="shared" si="8"/>
        <v>#REF!</v>
      </c>
      <c r="O62" s="56" t="e">
        <f t="shared" si="9"/>
        <v>#REF!</v>
      </c>
      <c r="P62" s="57" t="e">
        <f t="shared" si="5"/>
        <v>#REF!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 t="e">
        <f t="shared" si="1"/>
        <v>#REF!</v>
      </c>
      <c r="K63" s="51" t="e">
        <f t="shared" si="2"/>
        <v>#REF!</v>
      </c>
      <c r="L63" s="55" t="e">
        <f t="shared" si="3"/>
        <v>#REF!</v>
      </c>
      <c r="M63" s="51" t="e">
        <f t="shared" si="4"/>
        <v>#REF!</v>
      </c>
      <c r="N63" s="94" t="e">
        <f t="shared" si="8"/>
        <v>#REF!</v>
      </c>
      <c r="O63" s="56" t="e">
        <f t="shared" si="9"/>
        <v>#REF!</v>
      </c>
      <c r="P63" s="57" t="e">
        <f t="shared" si="5"/>
        <v>#REF!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 t="e">
        <f t="shared" si="1"/>
        <v>#REF!</v>
      </c>
      <c r="K64" s="51" t="e">
        <f t="shared" si="2"/>
        <v>#REF!</v>
      </c>
      <c r="L64" s="55" t="e">
        <f t="shared" si="3"/>
        <v>#REF!</v>
      </c>
      <c r="M64" s="51" t="e">
        <f t="shared" si="4"/>
        <v>#REF!</v>
      </c>
      <c r="N64" s="94" t="e">
        <f t="shared" si="8"/>
        <v>#REF!</v>
      </c>
      <c r="O64" s="56" t="e">
        <f t="shared" si="9"/>
        <v>#REF!</v>
      </c>
      <c r="P64" s="57" t="e">
        <f t="shared" si="5"/>
        <v>#REF!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 t="e">
        <f t="shared" si="1"/>
        <v>#REF!</v>
      </c>
      <c r="K65" s="51" t="e">
        <f t="shared" si="2"/>
        <v>#REF!</v>
      </c>
      <c r="L65" s="55" t="e">
        <f t="shared" si="3"/>
        <v>#REF!</v>
      </c>
      <c r="M65" s="51" t="e">
        <f t="shared" si="4"/>
        <v>#REF!</v>
      </c>
      <c r="N65" s="94" t="e">
        <f t="shared" si="8"/>
        <v>#REF!</v>
      </c>
      <c r="O65" s="56" t="e">
        <f t="shared" si="9"/>
        <v>#REF!</v>
      </c>
      <c r="P65" s="57" t="e">
        <f t="shared" si="5"/>
        <v>#REF!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 t="e">
        <f t="shared" ref="J66:J102" si="10">LOG($I$24+($I$25-$I$24)*(ROW()-2)/100)</f>
        <v>#REF!</v>
      </c>
      <c r="K66" s="51" t="e">
        <f t="shared" ref="K66:K129" si="11">+$I$14+$I$13*J66</f>
        <v>#REF!</v>
      </c>
      <c r="L66" s="55" t="e">
        <f t="shared" ref="L66:L129" si="12">SQRT(2*$I$20*$I$17)*SQRT((1/$I$2)+((J66-$I$11)^2/$I$8))</f>
        <v>#REF!</v>
      </c>
      <c r="M66" s="51" t="e">
        <f t="shared" ref="M66:M102" si="13">+$I$14+$I$13*J66-L66</f>
        <v>#REF!</v>
      </c>
      <c r="N66" s="94" t="e">
        <f t="shared" si="8"/>
        <v>#REF!</v>
      </c>
      <c r="O66" s="56" t="e">
        <f t="shared" si="9"/>
        <v>#REF!</v>
      </c>
      <c r="P66" s="57" t="e">
        <f t="shared" ref="P66:P102" si="14">10^M66</f>
        <v>#REF!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 t="e">
        <f t="shared" si="10"/>
        <v>#REF!</v>
      </c>
      <c r="K67" s="51" t="e">
        <f t="shared" si="11"/>
        <v>#REF!</v>
      </c>
      <c r="L67" s="55" t="e">
        <f t="shared" si="12"/>
        <v>#REF!</v>
      </c>
      <c r="M67" s="51" t="e">
        <f t="shared" si="13"/>
        <v>#REF!</v>
      </c>
      <c r="N67" s="94" t="e">
        <f t="shared" ref="N67:N101" si="15">10^$J67</f>
        <v>#REF!</v>
      </c>
      <c r="O67" s="56" t="e">
        <f t="shared" ref="O67:O102" si="16">10^K67</f>
        <v>#REF!</v>
      </c>
      <c r="P67" s="57" t="e">
        <f t="shared" si="14"/>
        <v>#REF!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 t="e">
        <f t="shared" si="10"/>
        <v>#REF!</v>
      </c>
      <c r="K68" s="51" t="e">
        <f t="shared" si="11"/>
        <v>#REF!</v>
      </c>
      <c r="L68" s="55" t="e">
        <f t="shared" si="12"/>
        <v>#REF!</v>
      </c>
      <c r="M68" s="51" t="e">
        <f t="shared" si="13"/>
        <v>#REF!</v>
      </c>
      <c r="N68" s="94" t="e">
        <f t="shared" si="15"/>
        <v>#REF!</v>
      </c>
      <c r="O68" s="56" t="e">
        <f t="shared" si="16"/>
        <v>#REF!</v>
      </c>
      <c r="P68" s="57" t="e">
        <f t="shared" si="14"/>
        <v>#REF!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 t="e">
        <f t="shared" si="10"/>
        <v>#REF!</v>
      </c>
      <c r="K69" s="51" t="e">
        <f t="shared" si="11"/>
        <v>#REF!</v>
      </c>
      <c r="L69" s="55" t="e">
        <f t="shared" si="12"/>
        <v>#REF!</v>
      </c>
      <c r="M69" s="51" t="e">
        <f t="shared" si="13"/>
        <v>#REF!</v>
      </c>
      <c r="N69" s="94" t="e">
        <f t="shared" si="15"/>
        <v>#REF!</v>
      </c>
      <c r="O69" s="56" t="e">
        <f t="shared" si="16"/>
        <v>#REF!</v>
      </c>
      <c r="P69" s="57" t="e">
        <f t="shared" si="14"/>
        <v>#REF!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 t="e">
        <f t="shared" si="10"/>
        <v>#REF!</v>
      </c>
      <c r="K70" s="51" t="e">
        <f t="shared" si="11"/>
        <v>#REF!</v>
      </c>
      <c r="L70" s="55" t="e">
        <f t="shared" si="12"/>
        <v>#REF!</v>
      </c>
      <c r="M70" s="51" t="e">
        <f t="shared" si="13"/>
        <v>#REF!</v>
      </c>
      <c r="N70" s="94" t="e">
        <f t="shared" si="15"/>
        <v>#REF!</v>
      </c>
      <c r="O70" s="56" t="e">
        <f t="shared" si="16"/>
        <v>#REF!</v>
      </c>
      <c r="P70" s="57" t="e">
        <f t="shared" si="14"/>
        <v>#REF!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 t="e">
        <f t="shared" si="10"/>
        <v>#REF!</v>
      </c>
      <c r="K71" s="51" t="e">
        <f t="shared" si="11"/>
        <v>#REF!</v>
      </c>
      <c r="L71" s="55" t="e">
        <f t="shared" si="12"/>
        <v>#REF!</v>
      </c>
      <c r="M71" s="51" t="e">
        <f t="shared" si="13"/>
        <v>#REF!</v>
      </c>
      <c r="N71" s="94" t="e">
        <f t="shared" si="15"/>
        <v>#REF!</v>
      </c>
      <c r="O71" s="56" t="e">
        <f t="shared" si="16"/>
        <v>#REF!</v>
      </c>
      <c r="P71" s="57" t="e">
        <f t="shared" si="14"/>
        <v>#REF!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 t="e">
        <f t="shared" si="10"/>
        <v>#REF!</v>
      </c>
      <c r="K72" s="51" t="e">
        <f t="shared" si="11"/>
        <v>#REF!</v>
      </c>
      <c r="L72" s="55" t="e">
        <f t="shared" si="12"/>
        <v>#REF!</v>
      </c>
      <c r="M72" s="51" t="e">
        <f t="shared" si="13"/>
        <v>#REF!</v>
      </c>
      <c r="N72" s="94" t="e">
        <f t="shared" si="15"/>
        <v>#REF!</v>
      </c>
      <c r="O72" s="56" t="e">
        <f t="shared" si="16"/>
        <v>#REF!</v>
      </c>
      <c r="P72" s="57" t="e">
        <f t="shared" si="14"/>
        <v>#REF!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 t="e">
        <f t="shared" si="10"/>
        <v>#REF!</v>
      </c>
      <c r="K73" s="51" t="e">
        <f t="shared" si="11"/>
        <v>#REF!</v>
      </c>
      <c r="L73" s="55" t="e">
        <f t="shared" si="12"/>
        <v>#REF!</v>
      </c>
      <c r="M73" s="51" t="e">
        <f t="shared" si="13"/>
        <v>#REF!</v>
      </c>
      <c r="N73" s="94" t="e">
        <f t="shared" si="15"/>
        <v>#REF!</v>
      </c>
      <c r="O73" s="56" t="e">
        <f t="shared" si="16"/>
        <v>#REF!</v>
      </c>
      <c r="P73" s="57" t="e">
        <f t="shared" si="14"/>
        <v>#REF!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 t="e">
        <f t="shared" si="10"/>
        <v>#REF!</v>
      </c>
      <c r="K74" s="51" t="e">
        <f t="shared" si="11"/>
        <v>#REF!</v>
      </c>
      <c r="L74" s="55" t="e">
        <f t="shared" si="12"/>
        <v>#REF!</v>
      </c>
      <c r="M74" s="51" t="e">
        <f t="shared" si="13"/>
        <v>#REF!</v>
      </c>
      <c r="N74" s="94" t="e">
        <f t="shared" si="15"/>
        <v>#REF!</v>
      </c>
      <c r="O74" s="56" t="e">
        <f t="shared" si="16"/>
        <v>#REF!</v>
      </c>
      <c r="P74" s="57" t="e">
        <f t="shared" si="14"/>
        <v>#REF!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 t="e">
        <f t="shared" si="10"/>
        <v>#REF!</v>
      </c>
      <c r="K75" s="51" t="e">
        <f t="shared" si="11"/>
        <v>#REF!</v>
      </c>
      <c r="L75" s="55" t="e">
        <f t="shared" si="12"/>
        <v>#REF!</v>
      </c>
      <c r="M75" s="51" t="e">
        <f t="shared" si="13"/>
        <v>#REF!</v>
      </c>
      <c r="N75" s="94" t="e">
        <f t="shared" si="15"/>
        <v>#REF!</v>
      </c>
      <c r="O75" s="56" t="e">
        <f t="shared" si="16"/>
        <v>#REF!</v>
      </c>
      <c r="P75" s="57" t="e">
        <f t="shared" si="14"/>
        <v>#REF!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 t="e">
        <f t="shared" si="10"/>
        <v>#REF!</v>
      </c>
      <c r="K76" s="51" t="e">
        <f t="shared" si="11"/>
        <v>#REF!</v>
      </c>
      <c r="L76" s="55" t="e">
        <f t="shared" si="12"/>
        <v>#REF!</v>
      </c>
      <c r="M76" s="51" t="e">
        <f t="shared" si="13"/>
        <v>#REF!</v>
      </c>
      <c r="N76" s="94" t="e">
        <f t="shared" si="15"/>
        <v>#REF!</v>
      </c>
      <c r="O76" s="56" t="e">
        <f t="shared" si="16"/>
        <v>#REF!</v>
      </c>
      <c r="P76" s="57" t="e">
        <f t="shared" si="14"/>
        <v>#REF!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 t="e">
        <f t="shared" si="10"/>
        <v>#REF!</v>
      </c>
      <c r="K77" s="51" t="e">
        <f t="shared" si="11"/>
        <v>#REF!</v>
      </c>
      <c r="L77" s="55" t="e">
        <f t="shared" si="12"/>
        <v>#REF!</v>
      </c>
      <c r="M77" s="51" t="e">
        <f t="shared" si="13"/>
        <v>#REF!</v>
      </c>
      <c r="N77" s="94" t="e">
        <f t="shared" si="15"/>
        <v>#REF!</v>
      </c>
      <c r="O77" s="56" t="e">
        <f t="shared" si="16"/>
        <v>#REF!</v>
      </c>
      <c r="P77" s="57" t="e">
        <f t="shared" si="14"/>
        <v>#REF!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 t="e">
        <f t="shared" si="10"/>
        <v>#REF!</v>
      </c>
      <c r="K78" s="51" t="e">
        <f t="shared" si="11"/>
        <v>#REF!</v>
      </c>
      <c r="L78" s="55" t="e">
        <f t="shared" si="12"/>
        <v>#REF!</v>
      </c>
      <c r="M78" s="51" t="e">
        <f t="shared" si="13"/>
        <v>#REF!</v>
      </c>
      <c r="N78" s="94" t="e">
        <f t="shared" si="15"/>
        <v>#REF!</v>
      </c>
      <c r="O78" s="56" t="e">
        <f t="shared" si="16"/>
        <v>#REF!</v>
      </c>
      <c r="P78" s="57" t="e">
        <f t="shared" si="14"/>
        <v>#REF!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 t="e">
        <f t="shared" si="10"/>
        <v>#REF!</v>
      </c>
      <c r="K79" s="51" t="e">
        <f t="shared" si="11"/>
        <v>#REF!</v>
      </c>
      <c r="L79" s="55" t="e">
        <f t="shared" si="12"/>
        <v>#REF!</v>
      </c>
      <c r="M79" s="51" t="e">
        <f t="shared" si="13"/>
        <v>#REF!</v>
      </c>
      <c r="N79" s="94" t="e">
        <f t="shared" si="15"/>
        <v>#REF!</v>
      </c>
      <c r="O79" s="56" t="e">
        <f t="shared" si="16"/>
        <v>#REF!</v>
      </c>
      <c r="P79" s="57" t="e">
        <f t="shared" si="14"/>
        <v>#REF!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 t="e">
        <f t="shared" si="10"/>
        <v>#REF!</v>
      </c>
      <c r="K80" s="51" t="e">
        <f t="shared" si="11"/>
        <v>#REF!</v>
      </c>
      <c r="L80" s="55" t="e">
        <f t="shared" si="12"/>
        <v>#REF!</v>
      </c>
      <c r="M80" s="51" t="e">
        <f t="shared" si="13"/>
        <v>#REF!</v>
      </c>
      <c r="N80" s="94" t="e">
        <f t="shared" si="15"/>
        <v>#REF!</v>
      </c>
      <c r="O80" s="56" t="e">
        <f t="shared" si="16"/>
        <v>#REF!</v>
      </c>
      <c r="P80" s="57" t="e">
        <f t="shared" si="14"/>
        <v>#REF!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 t="e">
        <f t="shared" si="10"/>
        <v>#REF!</v>
      </c>
      <c r="K81" s="51" t="e">
        <f t="shared" si="11"/>
        <v>#REF!</v>
      </c>
      <c r="L81" s="55" t="e">
        <f t="shared" si="12"/>
        <v>#REF!</v>
      </c>
      <c r="M81" s="51" t="e">
        <f t="shared" si="13"/>
        <v>#REF!</v>
      </c>
      <c r="N81" s="94" t="e">
        <f t="shared" si="15"/>
        <v>#REF!</v>
      </c>
      <c r="O81" s="56" t="e">
        <f t="shared" si="16"/>
        <v>#REF!</v>
      </c>
      <c r="P81" s="57" t="e">
        <f t="shared" si="14"/>
        <v>#REF!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 t="e">
        <f t="shared" si="10"/>
        <v>#REF!</v>
      </c>
      <c r="K82" s="51" t="e">
        <f t="shared" si="11"/>
        <v>#REF!</v>
      </c>
      <c r="L82" s="55" t="e">
        <f t="shared" si="12"/>
        <v>#REF!</v>
      </c>
      <c r="M82" s="51" t="e">
        <f t="shared" si="13"/>
        <v>#REF!</v>
      </c>
      <c r="N82" s="94" t="e">
        <f t="shared" si="15"/>
        <v>#REF!</v>
      </c>
      <c r="O82" s="56" t="e">
        <f t="shared" si="16"/>
        <v>#REF!</v>
      </c>
      <c r="P82" s="57" t="e">
        <f t="shared" si="14"/>
        <v>#REF!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 t="e">
        <f t="shared" si="10"/>
        <v>#REF!</v>
      </c>
      <c r="K83" s="51" t="e">
        <f t="shared" si="11"/>
        <v>#REF!</v>
      </c>
      <c r="L83" s="55" t="e">
        <f t="shared" si="12"/>
        <v>#REF!</v>
      </c>
      <c r="M83" s="51" t="e">
        <f t="shared" si="13"/>
        <v>#REF!</v>
      </c>
      <c r="N83" s="94" t="e">
        <f t="shared" si="15"/>
        <v>#REF!</v>
      </c>
      <c r="O83" s="56" t="e">
        <f t="shared" si="16"/>
        <v>#REF!</v>
      </c>
      <c r="P83" s="57" t="e">
        <f t="shared" si="14"/>
        <v>#REF!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 t="e">
        <f t="shared" si="10"/>
        <v>#REF!</v>
      </c>
      <c r="K84" s="51" t="e">
        <f t="shared" si="11"/>
        <v>#REF!</v>
      </c>
      <c r="L84" s="55" t="e">
        <f t="shared" si="12"/>
        <v>#REF!</v>
      </c>
      <c r="M84" s="51" t="e">
        <f t="shared" si="13"/>
        <v>#REF!</v>
      </c>
      <c r="N84" s="94" t="e">
        <f t="shared" si="15"/>
        <v>#REF!</v>
      </c>
      <c r="O84" s="56" t="e">
        <f t="shared" si="16"/>
        <v>#REF!</v>
      </c>
      <c r="P84" s="57" t="e">
        <f t="shared" si="14"/>
        <v>#REF!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 t="e">
        <f t="shared" si="10"/>
        <v>#REF!</v>
      </c>
      <c r="K85" s="51" t="e">
        <f t="shared" si="11"/>
        <v>#REF!</v>
      </c>
      <c r="L85" s="55" t="e">
        <f t="shared" si="12"/>
        <v>#REF!</v>
      </c>
      <c r="M85" s="51" t="e">
        <f t="shared" si="13"/>
        <v>#REF!</v>
      </c>
      <c r="N85" s="94" t="e">
        <f t="shared" si="15"/>
        <v>#REF!</v>
      </c>
      <c r="O85" s="56" t="e">
        <f t="shared" si="16"/>
        <v>#REF!</v>
      </c>
      <c r="P85" s="57" t="e">
        <f t="shared" si="14"/>
        <v>#REF!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 t="e">
        <f t="shared" si="10"/>
        <v>#REF!</v>
      </c>
      <c r="K86" s="51" t="e">
        <f t="shared" si="11"/>
        <v>#REF!</v>
      </c>
      <c r="L86" s="55" t="e">
        <f t="shared" si="12"/>
        <v>#REF!</v>
      </c>
      <c r="M86" s="51" t="e">
        <f t="shared" si="13"/>
        <v>#REF!</v>
      </c>
      <c r="N86" s="94" t="e">
        <f t="shared" si="15"/>
        <v>#REF!</v>
      </c>
      <c r="O86" s="56" t="e">
        <f t="shared" si="16"/>
        <v>#REF!</v>
      </c>
      <c r="P86" s="57" t="e">
        <f t="shared" si="14"/>
        <v>#REF!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 t="e">
        <f t="shared" si="10"/>
        <v>#REF!</v>
      </c>
      <c r="K87" s="51" t="e">
        <f t="shared" si="11"/>
        <v>#REF!</v>
      </c>
      <c r="L87" s="55" t="e">
        <f t="shared" si="12"/>
        <v>#REF!</v>
      </c>
      <c r="M87" s="51" t="e">
        <f t="shared" si="13"/>
        <v>#REF!</v>
      </c>
      <c r="N87" s="94" t="e">
        <f t="shared" si="15"/>
        <v>#REF!</v>
      </c>
      <c r="O87" s="56" t="e">
        <f t="shared" si="16"/>
        <v>#REF!</v>
      </c>
      <c r="P87" s="57" t="e">
        <f t="shared" si="14"/>
        <v>#REF!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 t="e">
        <f t="shared" si="10"/>
        <v>#REF!</v>
      </c>
      <c r="K88" s="51" t="e">
        <f t="shared" si="11"/>
        <v>#REF!</v>
      </c>
      <c r="L88" s="55" t="e">
        <f t="shared" si="12"/>
        <v>#REF!</v>
      </c>
      <c r="M88" s="51" t="e">
        <f t="shared" si="13"/>
        <v>#REF!</v>
      </c>
      <c r="N88" s="94" t="e">
        <f t="shared" si="15"/>
        <v>#REF!</v>
      </c>
      <c r="O88" s="56" t="e">
        <f t="shared" si="16"/>
        <v>#REF!</v>
      </c>
      <c r="P88" s="57" t="e">
        <f t="shared" si="14"/>
        <v>#REF!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 t="e">
        <f t="shared" si="10"/>
        <v>#REF!</v>
      </c>
      <c r="K89" s="51" t="e">
        <f t="shared" si="11"/>
        <v>#REF!</v>
      </c>
      <c r="L89" s="55" t="e">
        <f t="shared" si="12"/>
        <v>#REF!</v>
      </c>
      <c r="M89" s="51" t="e">
        <f t="shared" si="13"/>
        <v>#REF!</v>
      </c>
      <c r="N89" s="94" t="e">
        <f t="shared" si="15"/>
        <v>#REF!</v>
      </c>
      <c r="O89" s="56" t="e">
        <f t="shared" si="16"/>
        <v>#REF!</v>
      </c>
      <c r="P89" s="57" t="e">
        <f t="shared" si="14"/>
        <v>#REF!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 t="e">
        <f t="shared" si="10"/>
        <v>#REF!</v>
      </c>
      <c r="K90" s="51" t="e">
        <f t="shared" si="11"/>
        <v>#REF!</v>
      </c>
      <c r="L90" s="55" t="e">
        <f t="shared" si="12"/>
        <v>#REF!</v>
      </c>
      <c r="M90" s="51" t="e">
        <f t="shared" si="13"/>
        <v>#REF!</v>
      </c>
      <c r="N90" s="94" t="e">
        <f t="shared" si="15"/>
        <v>#REF!</v>
      </c>
      <c r="O90" s="56" t="e">
        <f t="shared" si="16"/>
        <v>#REF!</v>
      </c>
      <c r="P90" s="57" t="e">
        <f t="shared" si="14"/>
        <v>#REF!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 t="e">
        <f t="shared" si="10"/>
        <v>#REF!</v>
      </c>
      <c r="K91" s="51" t="e">
        <f t="shared" si="11"/>
        <v>#REF!</v>
      </c>
      <c r="L91" s="55" t="e">
        <f t="shared" si="12"/>
        <v>#REF!</v>
      </c>
      <c r="M91" s="51" t="e">
        <f t="shared" si="13"/>
        <v>#REF!</v>
      </c>
      <c r="N91" s="94" t="e">
        <f t="shared" si="15"/>
        <v>#REF!</v>
      </c>
      <c r="O91" s="56" t="e">
        <f t="shared" si="16"/>
        <v>#REF!</v>
      </c>
      <c r="P91" s="57" t="e">
        <f t="shared" si="14"/>
        <v>#REF!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 t="e">
        <f t="shared" si="10"/>
        <v>#REF!</v>
      </c>
      <c r="K92" s="51" t="e">
        <f t="shared" si="11"/>
        <v>#REF!</v>
      </c>
      <c r="L92" s="55" t="e">
        <f t="shared" si="12"/>
        <v>#REF!</v>
      </c>
      <c r="M92" s="51" t="e">
        <f t="shared" si="13"/>
        <v>#REF!</v>
      </c>
      <c r="N92" s="94" t="e">
        <f t="shared" si="15"/>
        <v>#REF!</v>
      </c>
      <c r="O92" s="56" t="e">
        <f t="shared" si="16"/>
        <v>#REF!</v>
      </c>
      <c r="P92" s="57" t="e">
        <f t="shared" si="14"/>
        <v>#REF!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 t="e">
        <f t="shared" si="10"/>
        <v>#REF!</v>
      </c>
      <c r="K93" s="51" t="e">
        <f t="shared" si="11"/>
        <v>#REF!</v>
      </c>
      <c r="L93" s="55" t="e">
        <f t="shared" si="12"/>
        <v>#REF!</v>
      </c>
      <c r="M93" s="51" t="e">
        <f t="shared" si="13"/>
        <v>#REF!</v>
      </c>
      <c r="N93" s="94" t="e">
        <f t="shared" si="15"/>
        <v>#REF!</v>
      </c>
      <c r="O93" s="56" t="e">
        <f t="shared" si="16"/>
        <v>#REF!</v>
      </c>
      <c r="P93" s="57" t="e">
        <f t="shared" si="14"/>
        <v>#REF!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 t="e">
        <f t="shared" si="10"/>
        <v>#REF!</v>
      </c>
      <c r="K94" s="51" t="e">
        <f t="shared" si="11"/>
        <v>#REF!</v>
      </c>
      <c r="L94" s="55" t="e">
        <f t="shared" si="12"/>
        <v>#REF!</v>
      </c>
      <c r="M94" s="51" t="e">
        <f t="shared" si="13"/>
        <v>#REF!</v>
      </c>
      <c r="N94" s="94" t="e">
        <f t="shared" si="15"/>
        <v>#REF!</v>
      </c>
      <c r="O94" s="56" t="e">
        <f t="shared" si="16"/>
        <v>#REF!</v>
      </c>
      <c r="P94" s="57" t="e">
        <f t="shared" si="14"/>
        <v>#REF!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 t="e">
        <f t="shared" si="10"/>
        <v>#REF!</v>
      </c>
      <c r="K95" s="51" t="e">
        <f t="shared" si="11"/>
        <v>#REF!</v>
      </c>
      <c r="L95" s="55" t="e">
        <f t="shared" si="12"/>
        <v>#REF!</v>
      </c>
      <c r="M95" s="51" t="e">
        <f t="shared" si="13"/>
        <v>#REF!</v>
      </c>
      <c r="N95" s="94" t="e">
        <f t="shared" si="15"/>
        <v>#REF!</v>
      </c>
      <c r="O95" s="56" t="e">
        <f t="shared" si="16"/>
        <v>#REF!</v>
      </c>
      <c r="P95" s="57" t="e">
        <f t="shared" si="14"/>
        <v>#REF!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 t="e">
        <f t="shared" si="10"/>
        <v>#REF!</v>
      </c>
      <c r="K96" s="51" t="e">
        <f t="shared" si="11"/>
        <v>#REF!</v>
      </c>
      <c r="L96" s="55" t="e">
        <f t="shared" si="12"/>
        <v>#REF!</v>
      </c>
      <c r="M96" s="51" t="e">
        <f t="shared" si="13"/>
        <v>#REF!</v>
      </c>
      <c r="N96" s="94" t="e">
        <f t="shared" si="15"/>
        <v>#REF!</v>
      </c>
      <c r="O96" s="56" t="e">
        <f t="shared" si="16"/>
        <v>#REF!</v>
      </c>
      <c r="P96" s="57" t="e">
        <f t="shared" si="14"/>
        <v>#REF!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 t="e">
        <f t="shared" si="10"/>
        <v>#REF!</v>
      </c>
      <c r="K97" s="51" t="e">
        <f t="shared" si="11"/>
        <v>#REF!</v>
      </c>
      <c r="L97" s="55" t="e">
        <f t="shared" si="12"/>
        <v>#REF!</v>
      </c>
      <c r="M97" s="51" t="e">
        <f t="shared" si="13"/>
        <v>#REF!</v>
      </c>
      <c r="N97" s="94" t="e">
        <f t="shared" si="15"/>
        <v>#REF!</v>
      </c>
      <c r="O97" s="56" t="e">
        <f t="shared" si="16"/>
        <v>#REF!</v>
      </c>
      <c r="P97" s="57" t="e">
        <f t="shared" si="14"/>
        <v>#REF!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 t="e">
        <f t="shared" si="10"/>
        <v>#REF!</v>
      </c>
      <c r="K98" s="51" t="e">
        <f t="shared" si="11"/>
        <v>#REF!</v>
      </c>
      <c r="L98" s="55" t="e">
        <f t="shared" si="12"/>
        <v>#REF!</v>
      </c>
      <c r="M98" s="51" t="e">
        <f t="shared" si="13"/>
        <v>#REF!</v>
      </c>
      <c r="N98" s="94" t="e">
        <f t="shared" si="15"/>
        <v>#REF!</v>
      </c>
      <c r="O98" s="56" t="e">
        <f t="shared" si="16"/>
        <v>#REF!</v>
      </c>
      <c r="P98" s="57" t="e">
        <f t="shared" si="14"/>
        <v>#REF!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 t="e">
        <f t="shared" si="10"/>
        <v>#REF!</v>
      </c>
      <c r="K99" s="51" t="e">
        <f t="shared" si="11"/>
        <v>#REF!</v>
      </c>
      <c r="L99" s="55" t="e">
        <f t="shared" si="12"/>
        <v>#REF!</v>
      </c>
      <c r="M99" s="51" t="e">
        <f t="shared" si="13"/>
        <v>#REF!</v>
      </c>
      <c r="N99" s="94" t="e">
        <f t="shared" si="15"/>
        <v>#REF!</v>
      </c>
      <c r="O99" s="56" t="e">
        <f t="shared" si="16"/>
        <v>#REF!</v>
      </c>
      <c r="P99" s="57" t="e">
        <f t="shared" si="14"/>
        <v>#REF!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 t="e">
        <f t="shared" si="10"/>
        <v>#REF!</v>
      </c>
      <c r="K100" s="51" t="e">
        <f t="shared" si="11"/>
        <v>#REF!</v>
      </c>
      <c r="L100" s="55" t="e">
        <f t="shared" si="12"/>
        <v>#REF!</v>
      </c>
      <c r="M100" s="51" t="e">
        <f t="shared" si="13"/>
        <v>#REF!</v>
      </c>
      <c r="N100" s="94" t="e">
        <f t="shared" si="15"/>
        <v>#REF!</v>
      </c>
      <c r="O100" s="56" t="e">
        <f t="shared" si="16"/>
        <v>#REF!</v>
      </c>
      <c r="P100" s="57" t="e">
        <f t="shared" si="14"/>
        <v>#REF!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 t="e">
        <f t="shared" si="10"/>
        <v>#REF!</v>
      </c>
      <c r="K101" s="51" t="e">
        <f t="shared" si="11"/>
        <v>#REF!</v>
      </c>
      <c r="L101" s="55" t="e">
        <f t="shared" si="12"/>
        <v>#REF!</v>
      </c>
      <c r="M101" s="51" t="e">
        <f t="shared" si="13"/>
        <v>#REF!</v>
      </c>
      <c r="N101" s="94" t="e">
        <f t="shared" si="15"/>
        <v>#REF!</v>
      </c>
      <c r="O101" s="56" t="e">
        <f t="shared" si="16"/>
        <v>#REF!</v>
      </c>
      <c r="P101" s="57" t="e">
        <f t="shared" si="14"/>
        <v>#REF!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 t="e">
        <f t="shared" si="10"/>
        <v>#REF!</v>
      </c>
      <c r="K102" s="51" t="e">
        <f t="shared" si="11"/>
        <v>#REF!</v>
      </c>
      <c r="L102" s="55" t="e">
        <f t="shared" si="12"/>
        <v>#REF!</v>
      </c>
      <c r="M102" s="51" t="e">
        <f t="shared" si="13"/>
        <v>#REF!</v>
      </c>
      <c r="N102" s="94" t="e">
        <f>10^$J102</f>
        <v>#REF!</v>
      </c>
      <c r="O102" s="56" t="e">
        <f t="shared" si="16"/>
        <v>#REF!</v>
      </c>
      <c r="P102" s="57" t="e">
        <f t="shared" si="14"/>
        <v>#REF!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 t="e">
        <f>LOG($I$24+($I$25-$I$24)*(ROW()-104)/100)</f>
        <v>#REF!</v>
      </c>
      <c r="K104" s="51" t="e">
        <f t="shared" si="11"/>
        <v>#REF!</v>
      </c>
      <c r="L104" s="55" t="e">
        <f t="shared" si="12"/>
        <v>#REF!</v>
      </c>
      <c r="M104" s="51" t="e">
        <f>+$I$14+$I$13*J104+L104</f>
        <v>#REF!</v>
      </c>
      <c r="N104" s="94" t="e">
        <f t="shared" ref="N104:N167" si="17">10^$J104</f>
        <v>#REF!</v>
      </c>
      <c r="O104" s="56" t="e">
        <f t="shared" ref="O104:O167" si="18">10^K104</f>
        <v>#REF!</v>
      </c>
      <c r="P104" s="57" t="e">
        <f t="shared" ref="P104:P167" si="19">10^M104</f>
        <v>#REF!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 t="e">
        <f t="shared" ref="J105:J168" si="20">LOG($I$24+($I$25-$I$24)*(ROW()-104)/100)</f>
        <v>#REF!</v>
      </c>
      <c r="K105" s="51" t="e">
        <f t="shared" si="11"/>
        <v>#REF!</v>
      </c>
      <c r="L105" s="55" t="e">
        <f t="shared" si="12"/>
        <v>#REF!</v>
      </c>
      <c r="M105" s="51" t="e">
        <f t="shared" ref="M105:M168" si="21">+$I$14+$I$13*J105+L105</f>
        <v>#REF!</v>
      </c>
      <c r="N105" s="94" t="e">
        <f t="shared" si="17"/>
        <v>#REF!</v>
      </c>
      <c r="O105" s="56" t="e">
        <f t="shared" si="18"/>
        <v>#REF!</v>
      </c>
      <c r="P105" s="57" t="e">
        <f t="shared" si="19"/>
        <v>#REF!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 t="e">
        <f t="shared" si="20"/>
        <v>#REF!</v>
      </c>
      <c r="K106" s="51" t="e">
        <f t="shared" si="11"/>
        <v>#REF!</v>
      </c>
      <c r="L106" s="55" t="e">
        <f t="shared" si="12"/>
        <v>#REF!</v>
      </c>
      <c r="M106" s="51" t="e">
        <f t="shared" si="21"/>
        <v>#REF!</v>
      </c>
      <c r="N106" s="94" t="e">
        <f t="shared" si="17"/>
        <v>#REF!</v>
      </c>
      <c r="O106" s="56" t="e">
        <f t="shared" si="18"/>
        <v>#REF!</v>
      </c>
      <c r="P106" s="57" t="e">
        <f t="shared" si="19"/>
        <v>#REF!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 t="e">
        <f t="shared" si="20"/>
        <v>#REF!</v>
      </c>
      <c r="K107" s="51" t="e">
        <f t="shared" si="11"/>
        <v>#REF!</v>
      </c>
      <c r="L107" s="55" t="e">
        <f t="shared" si="12"/>
        <v>#REF!</v>
      </c>
      <c r="M107" s="51" t="e">
        <f t="shared" si="21"/>
        <v>#REF!</v>
      </c>
      <c r="N107" s="94" t="e">
        <f t="shared" si="17"/>
        <v>#REF!</v>
      </c>
      <c r="O107" s="56" t="e">
        <f t="shared" si="18"/>
        <v>#REF!</v>
      </c>
      <c r="P107" s="57" t="e">
        <f t="shared" si="19"/>
        <v>#REF!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 t="e">
        <f t="shared" si="20"/>
        <v>#REF!</v>
      </c>
      <c r="K108" s="51" t="e">
        <f t="shared" si="11"/>
        <v>#REF!</v>
      </c>
      <c r="L108" s="55" t="e">
        <f t="shared" si="12"/>
        <v>#REF!</v>
      </c>
      <c r="M108" s="51" t="e">
        <f t="shared" si="21"/>
        <v>#REF!</v>
      </c>
      <c r="N108" s="94" t="e">
        <f t="shared" si="17"/>
        <v>#REF!</v>
      </c>
      <c r="O108" s="56" t="e">
        <f t="shared" si="18"/>
        <v>#REF!</v>
      </c>
      <c r="P108" s="57" t="e">
        <f t="shared" si="19"/>
        <v>#REF!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 t="e">
        <f t="shared" si="20"/>
        <v>#REF!</v>
      </c>
      <c r="K109" s="51" t="e">
        <f t="shared" si="11"/>
        <v>#REF!</v>
      </c>
      <c r="L109" s="55" t="e">
        <f t="shared" si="12"/>
        <v>#REF!</v>
      </c>
      <c r="M109" s="51" t="e">
        <f t="shared" si="21"/>
        <v>#REF!</v>
      </c>
      <c r="N109" s="94" t="e">
        <f t="shared" si="17"/>
        <v>#REF!</v>
      </c>
      <c r="O109" s="56" t="e">
        <f t="shared" si="18"/>
        <v>#REF!</v>
      </c>
      <c r="P109" s="57" t="e">
        <f t="shared" si="19"/>
        <v>#REF!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 t="e">
        <f t="shared" si="20"/>
        <v>#REF!</v>
      </c>
      <c r="K110" s="51" t="e">
        <f t="shared" si="11"/>
        <v>#REF!</v>
      </c>
      <c r="L110" s="55" t="e">
        <f t="shared" si="12"/>
        <v>#REF!</v>
      </c>
      <c r="M110" s="51" t="e">
        <f t="shared" si="21"/>
        <v>#REF!</v>
      </c>
      <c r="N110" s="94" t="e">
        <f t="shared" si="17"/>
        <v>#REF!</v>
      </c>
      <c r="O110" s="56" t="e">
        <f t="shared" si="18"/>
        <v>#REF!</v>
      </c>
      <c r="P110" s="57" t="e">
        <f t="shared" si="19"/>
        <v>#REF!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 t="e">
        <f t="shared" si="20"/>
        <v>#REF!</v>
      </c>
      <c r="K111" s="51" t="e">
        <f t="shared" si="11"/>
        <v>#REF!</v>
      </c>
      <c r="L111" s="55" t="e">
        <f t="shared" si="12"/>
        <v>#REF!</v>
      </c>
      <c r="M111" s="51" t="e">
        <f t="shared" si="21"/>
        <v>#REF!</v>
      </c>
      <c r="N111" s="94" t="e">
        <f t="shared" si="17"/>
        <v>#REF!</v>
      </c>
      <c r="O111" s="56" t="e">
        <f t="shared" si="18"/>
        <v>#REF!</v>
      </c>
      <c r="P111" s="57" t="e">
        <f t="shared" si="19"/>
        <v>#REF!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 t="e">
        <f t="shared" si="20"/>
        <v>#REF!</v>
      </c>
      <c r="K112" s="51" t="e">
        <f t="shared" si="11"/>
        <v>#REF!</v>
      </c>
      <c r="L112" s="55" t="e">
        <f t="shared" si="12"/>
        <v>#REF!</v>
      </c>
      <c r="M112" s="51" t="e">
        <f t="shared" si="21"/>
        <v>#REF!</v>
      </c>
      <c r="N112" s="94" t="e">
        <f t="shared" si="17"/>
        <v>#REF!</v>
      </c>
      <c r="O112" s="56" t="e">
        <f t="shared" si="18"/>
        <v>#REF!</v>
      </c>
      <c r="P112" s="57" t="e">
        <f t="shared" si="19"/>
        <v>#REF!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 t="e">
        <f t="shared" si="20"/>
        <v>#REF!</v>
      </c>
      <c r="K113" s="51" t="e">
        <f t="shared" si="11"/>
        <v>#REF!</v>
      </c>
      <c r="L113" s="55" t="e">
        <f t="shared" si="12"/>
        <v>#REF!</v>
      </c>
      <c r="M113" s="51" t="e">
        <f t="shared" si="21"/>
        <v>#REF!</v>
      </c>
      <c r="N113" s="94" t="e">
        <f t="shared" si="17"/>
        <v>#REF!</v>
      </c>
      <c r="O113" s="56" t="e">
        <f t="shared" si="18"/>
        <v>#REF!</v>
      </c>
      <c r="P113" s="57" t="e">
        <f t="shared" si="19"/>
        <v>#REF!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 t="e">
        <f t="shared" si="20"/>
        <v>#REF!</v>
      </c>
      <c r="K114" s="51" t="e">
        <f t="shared" si="11"/>
        <v>#REF!</v>
      </c>
      <c r="L114" s="55" t="e">
        <f t="shared" si="12"/>
        <v>#REF!</v>
      </c>
      <c r="M114" s="51" t="e">
        <f t="shared" si="21"/>
        <v>#REF!</v>
      </c>
      <c r="N114" s="94" t="e">
        <f t="shared" si="17"/>
        <v>#REF!</v>
      </c>
      <c r="O114" s="56" t="e">
        <f t="shared" si="18"/>
        <v>#REF!</v>
      </c>
      <c r="P114" s="57" t="e">
        <f t="shared" si="19"/>
        <v>#REF!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 t="e">
        <f t="shared" si="20"/>
        <v>#REF!</v>
      </c>
      <c r="K115" s="51" t="e">
        <f t="shared" si="11"/>
        <v>#REF!</v>
      </c>
      <c r="L115" s="55" t="e">
        <f t="shared" si="12"/>
        <v>#REF!</v>
      </c>
      <c r="M115" s="51" t="e">
        <f t="shared" si="21"/>
        <v>#REF!</v>
      </c>
      <c r="N115" s="94" t="e">
        <f t="shared" si="17"/>
        <v>#REF!</v>
      </c>
      <c r="O115" s="56" t="e">
        <f t="shared" si="18"/>
        <v>#REF!</v>
      </c>
      <c r="P115" s="57" t="e">
        <f t="shared" si="19"/>
        <v>#REF!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 t="e">
        <f t="shared" si="20"/>
        <v>#REF!</v>
      </c>
      <c r="K116" s="51" t="e">
        <f t="shared" si="11"/>
        <v>#REF!</v>
      </c>
      <c r="L116" s="55" t="e">
        <f t="shared" si="12"/>
        <v>#REF!</v>
      </c>
      <c r="M116" s="51" t="e">
        <f t="shared" si="21"/>
        <v>#REF!</v>
      </c>
      <c r="N116" s="94" t="e">
        <f t="shared" si="17"/>
        <v>#REF!</v>
      </c>
      <c r="O116" s="56" t="e">
        <f t="shared" si="18"/>
        <v>#REF!</v>
      </c>
      <c r="P116" s="57" t="e">
        <f t="shared" si="19"/>
        <v>#REF!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 t="e">
        <f t="shared" si="20"/>
        <v>#REF!</v>
      </c>
      <c r="K117" s="51" t="e">
        <f t="shared" si="11"/>
        <v>#REF!</v>
      </c>
      <c r="L117" s="55" t="e">
        <f t="shared" si="12"/>
        <v>#REF!</v>
      </c>
      <c r="M117" s="51" t="e">
        <f t="shared" si="21"/>
        <v>#REF!</v>
      </c>
      <c r="N117" s="94" t="e">
        <f t="shared" si="17"/>
        <v>#REF!</v>
      </c>
      <c r="O117" s="56" t="e">
        <f t="shared" si="18"/>
        <v>#REF!</v>
      </c>
      <c r="P117" s="57" t="e">
        <f t="shared" si="19"/>
        <v>#REF!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 t="e">
        <f t="shared" si="20"/>
        <v>#REF!</v>
      </c>
      <c r="K118" s="51" t="e">
        <f t="shared" si="11"/>
        <v>#REF!</v>
      </c>
      <c r="L118" s="55" t="e">
        <f t="shared" si="12"/>
        <v>#REF!</v>
      </c>
      <c r="M118" s="51" t="e">
        <f t="shared" si="21"/>
        <v>#REF!</v>
      </c>
      <c r="N118" s="94" t="e">
        <f t="shared" si="17"/>
        <v>#REF!</v>
      </c>
      <c r="O118" s="56" t="e">
        <f t="shared" si="18"/>
        <v>#REF!</v>
      </c>
      <c r="P118" s="57" t="e">
        <f t="shared" si="19"/>
        <v>#REF!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 t="e">
        <f t="shared" si="20"/>
        <v>#REF!</v>
      </c>
      <c r="K119" s="51" t="e">
        <f t="shared" si="11"/>
        <v>#REF!</v>
      </c>
      <c r="L119" s="55" t="e">
        <f t="shared" si="12"/>
        <v>#REF!</v>
      </c>
      <c r="M119" s="51" t="e">
        <f t="shared" si="21"/>
        <v>#REF!</v>
      </c>
      <c r="N119" s="94" t="e">
        <f t="shared" si="17"/>
        <v>#REF!</v>
      </c>
      <c r="O119" s="56" t="e">
        <f t="shared" si="18"/>
        <v>#REF!</v>
      </c>
      <c r="P119" s="57" t="e">
        <f t="shared" si="19"/>
        <v>#REF!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 t="e">
        <f t="shared" si="20"/>
        <v>#REF!</v>
      </c>
      <c r="K120" s="51" t="e">
        <f t="shared" si="11"/>
        <v>#REF!</v>
      </c>
      <c r="L120" s="55" t="e">
        <f t="shared" si="12"/>
        <v>#REF!</v>
      </c>
      <c r="M120" s="51" t="e">
        <f t="shared" si="21"/>
        <v>#REF!</v>
      </c>
      <c r="N120" s="94" t="e">
        <f t="shared" si="17"/>
        <v>#REF!</v>
      </c>
      <c r="O120" s="56" t="e">
        <f t="shared" si="18"/>
        <v>#REF!</v>
      </c>
      <c r="P120" s="57" t="e">
        <f t="shared" si="19"/>
        <v>#REF!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 t="e">
        <f t="shared" si="20"/>
        <v>#REF!</v>
      </c>
      <c r="K121" s="51" t="e">
        <f t="shared" si="11"/>
        <v>#REF!</v>
      </c>
      <c r="L121" s="55" t="e">
        <f t="shared" si="12"/>
        <v>#REF!</v>
      </c>
      <c r="M121" s="51" t="e">
        <f t="shared" si="21"/>
        <v>#REF!</v>
      </c>
      <c r="N121" s="94" t="e">
        <f t="shared" si="17"/>
        <v>#REF!</v>
      </c>
      <c r="O121" s="56" t="e">
        <f t="shared" si="18"/>
        <v>#REF!</v>
      </c>
      <c r="P121" s="57" t="e">
        <f t="shared" si="19"/>
        <v>#REF!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 t="e">
        <f t="shared" si="20"/>
        <v>#REF!</v>
      </c>
      <c r="K122" s="51" t="e">
        <f t="shared" si="11"/>
        <v>#REF!</v>
      </c>
      <c r="L122" s="55" t="e">
        <f t="shared" si="12"/>
        <v>#REF!</v>
      </c>
      <c r="M122" s="51" t="e">
        <f t="shared" si="21"/>
        <v>#REF!</v>
      </c>
      <c r="N122" s="94" t="e">
        <f t="shared" si="17"/>
        <v>#REF!</v>
      </c>
      <c r="O122" s="56" t="e">
        <f t="shared" si="18"/>
        <v>#REF!</v>
      </c>
      <c r="P122" s="57" t="e">
        <f t="shared" si="19"/>
        <v>#REF!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 t="e">
        <f t="shared" si="20"/>
        <v>#REF!</v>
      </c>
      <c r="K123" s="51" t="e">
        <f t="shared" si="11"/>
        <v>#REF!</v>
      </c>
      <c r="L123" s="55" t="e">
        <f t="shared" si="12"/>
        <v>#REF!</v>
      </c>
      <c r="M123" s="51" t="e">
        <f t="shared" si="21"/>
        <v>#REF!</v>
      </c>
      <c r="N123" s="94" t="e">
        <f t="shared" si="17"/>
        <v>#REF!</v>
      </c>
      <c r="O123" s="56" t="e">
        <f t="shared" si="18"/>
        <v>#REF!</v>
      </c>
      <c r="P123" s="57" t="e">
        <f t="shared" si="19"/>
        <v>#REF!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 t="e">
        <f t="shared" si="20"/>
        <v>#REF!</v>
      </c>
      <c r="K124" s="51" t="e">
        <f t="shared" si="11"/>
        <v>#REF!</v>
      </c>
      <c r="L124" s="55" t="e">
        <f t="shared" si="12"/>
        <v>#REF!</v>
      </c>
      <c r="M124" s="51" t="e">
        <f t="shared" si="21"/>
        <v>#REF!</v>
      </c>
      <c r="N124" s="94" t="e">
        <f t="shared" si="17"/>
        <v>#REF!</v>
      </c>
      <c r="O124" s="56" t="e">
        <f t="shared" si="18"/>
        <v>#REF!</v>
      </c>
      <c r="P124" s="57" t="e">
        <f t="shared" si="19"/>
        <v>#REF!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 t="e">
        <f t="shared" si="20"/>
        <v>#REF!</v>
      </c>
      <c r="K125" s="51" t="e">
        <f t="shared" si="11"/>
        <v>#REF!</v>
      </c>
      <c r="L125" s="55" t="e">
        <f t="shared" si="12"/>
        <v>#REF!</v>
      </c>
      <c r="M125" s="51" t="e">
        <f t="shared" si="21"/>
        <v>#REF!</v>
      </c>
      <c r="N125" s="94" t="e">
        <f t="shared" si="17"/>
        <v>#REF!</v>
      </c>
      <c r="O125" s="56" t="e">
        <f t="shared" si="18"/>
        <v>#REF!</v>
      </c>
      <c r="P125" s="57" t="e">
        <f t="shared" si="19"/>
        <v>#REF!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 t="e">
        <f t="shared" si="20"/>
        <v>#REF!</v>
      </c>
      <c r="K126" s="51" t="e">
        <f t="shared" si="11"/>
        <v>#REF!</v>
      </c>
      <c r="L126" s="55" t="e">
        <f t="shared" si="12"/>
        <v>#REF!</v>
      </c>
      <c r="M126" s="51" t="e">
        <f t="shared" si="21"/>
        <v>#REF!</v>
      </c>
      <c r="N126" s="94" t="e">
        <f t="shared" si="17"/>
        <v>#REF!</v>
      </c>
      <c r="O126" s="56" t="e">
        <f t="shared" si="18"/>
        <v>#REF!</v>
      </c>
      <c r="P126" s="57" t="e">
        <f t="shared" si="19"/>
        <v>#REF!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 t="e">
        <f t="shared" si="20"/>
        <v>#REF!</v>
      </c>
      <c r="K127" s="51" t="e">
        <f t="shared" si="11"/>
        <v>#REF!</v>
      </c>
      <c r="L127" s="55" t="e">
        <f t="shared" si="12"/>
        <v>#REF!</v>
      </c>
      <c r="M127" s="51" t="e">
        <f t="shared" si="21"/>
        <v>#REF!</v>
      </c>
      <c r="N127" s="94" t="e">
        <f t="shared" si="17"/>
        <v>#REF!</v>
      </c>
      <c r="O127" s="56" t="e">
        <f t="shared" si="18"/>
        <v>#REF!</v>
      </c>
      <c r="P127" s="57" t="e">
        <f t="shared" si="19"/>
        <v>#REF!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 t="e">
        <f t="shared" si="20"/>
        <v>#REF!</v>
      </c>
      <c r="K128" s="51" t="e">
        <f t="shared" si="11"/>
        <v>#REF!</v>
      </c>
      <c r="L128" s="55" t="e">
        <f t="shared" si="12"/>
        <v>#REF!</v>
      </c>
      <c r="M128" s="51" t="e">
        <f t="shared" si="21"/>
        <v>#REF!</v>
      </c>
      <c r="N128" s="94" t="e">
        <f t="shared" si="17"/>
        <v>#REF!</v>
      </c>
      <c r="O128" s="56" t="e">
        <f t="shared" si="18"/>
        <v>#REF!</v>
      </c>
      <c r="P128" s="57" t="e">
        <f t="shared" si="19"/>
        <v>#REF!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 t="e">
        <f t="shared" si="20"/>
        <v>#REF!</v>
      </c>
      <c r="K129" s="51" t="e">
        <f t="shared" si="11"/>
        <v>#REF!</v>
      </c>
      <c r="L129" s="55" t="e">
        <f t="shared" si="12"/>
        <v>#REF!</v>
      </c>
      <c r="M129" s="51" t="e">
        <f t="shared" si="21"/>
        <v>#REF!</v>
      </c>
      <c r="N129" s="94" t="e">
        <f t="shared" si="17"/>
        <v>#REF!</v>
      </c>
      <c r="O129" s="56" t="e">
        <f t="shared" si="18"/>
        <v>#REF!</v>
      </c>
      <c r="P129" s="57" t="e">
        <f t="shared" si="19"/>
        <v>#REF!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 t="e">
        <f t="shared" si="20"/>
        <v>#REF!</v>
      </c>
      <c r="K130" s="51" t="e">
        <f t="shared" ref="K130:K193" si="22">+$I$14+$I$13*J130</f>
        <v>#REF!</v>
      </c>
      <c r="L130" s="55" t="e">
        <f t="shared" ref="L130:L193" si="23">SQRT(2*$I$20*$I$17)*SQRT((1/$I$2)+((J130-$I$11)^2/$I$8))</f>
        <v>#REF!</v>
      </c>
      <c r="M130" s="51" t="e">
        <f t="shared" si="21"/>
        <v>#REF!</v>
      </c>
      <c r="N130" s="94" t="e">
        <f t="shared" si="17"/>
        <v>#REF!</v>
      </c>
      <c r="O130" s="56" t="e">
        <f t="shared" si="18"/>
        <v>#REF!</v>
      </c>
      <c r="P130" s="57" t="e">
        <f t="shared" si="19"/>
        <v>#REF!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 t="e">
        <f t="shared" si="20"/>
        <v>#REF!</v>
      </c>
      <c r="K131" s="51" t="e">
        <f t="shared" si="22"/>
        <v>#REF!</v>
      </c>
      <c r="L131" s="55" t="e">
        <f t="shared" si="23"/>
        <v>#REF!</v>
      </c>
      <c r="M131" s="51" t="e">
        <f t="shared" si="21"/>
        <v>#REF!</v>
      </c>
      <c r="N131" s="94" t="e">
        <f t="shared" si="17"/>
        <v>#REF!</v>
      </c>
      <c r="O131" s="56" t="e">
        <f t="shared" si="18"/>
        <v>#REF!</v>
      </c>
      <c r="P131" s="57" t="e">
        <f t="shared" si="19"/>
        <v>#REF!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 t="e">
        <f t="shared" si="20"/>
        <v>#REF!</v>
      </c>
      <c r="K132" s="51" t="e">
        <f t="shared" si="22"/>
        <v>#REF!</v>
      </c>
      <c r="L132" s="55" t="e">
        <f t="shared" si="23"/>
        <v>#REF!</v>
      </c>
      <c r="M132" s="51" t="e">
        <f t="shared" si="21"/>
        <v>#REF!</v>
      </c>
      <c r="N132" s="94" t="e">
        <f t="shared" si="17"/>
        <v>#REF!</v>
      </c>
      <c r="O132" s="56" t="e">
        <f t="shared" si="18"/>
        <v>#REF!</v>
      </c>
      <c r="P132" s="57" t="e">
        <f t="shared" si="19"/>
        <v>#REF!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 t="e">
        <f t="shared" si="20"/>
        <v>#REF!</v>
      </c>
      <c r="K133" s="51" t="e">
        <f t="shared" si="22"/>
        <v>#REF!</v>
      </c>
      <c r="L133" s="55" t="e">
        <f t="shared" si="23"/>
        <v>#REF!</v>
      </c>
      <c r="M133" s="51" t="e">
        <f t="shared" si="21"/>
        <v>#REF!</v>
      </c>
      <c r="N133" s="94" t="e">
        <f t="shared" si="17"/>
        <v>#REF!</v>
      </c>
      <c r="O133" s="56" t="e">
        <f t="shared" si="18"/>
        <v>#REF!</v>
      </c>
      <c r="P133" s="57" t="e">
        <f t="shared" si="19"/>
        <v>#REF!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 t="e">
        <f t="shared" si="20"/>
        <v>#REF!</v>
      </c>
      <c r="K134" s="51" t="e">
        <f t="shared" si="22"/>
        <v>#REF!</v>
      </c>
      <c r="L134" s="55" t="e">
        <f t="shared" si="23"/>
        <v>#REF!</v>
      </c>
      <c r="M134" s="51" t="e">
        <f t="shared" si="21"/>
        <v>#REF!</v>
      </c>
      <c r="N134" s="94" t="e">
        <f t="shared" si="17"/>
        <v>#REF!</v>
      </c>
      <c r="O134" s="56" t="e">
        <f t="shared" si="18"/>
        <v>#REF!</v>
      </c>
      <c r="P134" s="57" t="e">
        <f t="shared" si="19"/>
        <v>#REF!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 t="e">
        <f t="shared" si="20"/>
        <v>#REF!</v>
      </c>
      <c r="K135" s="51" t="e">
        <f t="shared" si="22"/>
        <v>#REF!</v>
      </c>
      <c r="L135" s="55" t="e">
        <f t="shared" si="23"/>
        <v>#REF!</v>
      </c>
      <c r="M135" s="51" t="e">
        <f t="shared" si="21"/>
        <v>#REF!</v>
      </c>
      <c r="N135" s="94" t="e">
        <f t="shared" si="17"/>
        <v>#REF!</v>
      </c>
      <c r="O135" s="56" t="e">
        <f t="shared" si="18"/>
        <v>#REF!</v>
      </c>
      <c r="P135" s="57" t="e">
        <f t="shared" si="19"/>
        <v>#REF!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 t="e">
        <f t="shared" si="20"/>
        <v>#REF!</v>
      </c>
      <c r="K136" s="51" t="e">
        <f t="shared" si="22"/>
        <v>#REF!</v>
      </c>
      <c r="L136" s="55" t="e">
        <f t="shared" si="23"/>
        <v>#REF!</v>
      </c>
      <c r="M136" s="51" t="e">
        <f t="shared" si="21"/>
        <v>#REF!</v>
      </c>
      <c r="N136" s="94" t="e">
        <f t="shared" si="17"/>
        <v>#REF!</v>
      </c>
      <c r="O136" s="56" t="e">
        <f t="shared" si="18"/>
        <v>#REF!</v>
      </c>
      <c r="P136" s="57" t="e">
        <f t="shared" si="19"/>
        <v>#REF!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 t="e">
        <f t="shared" si="20"/>
        <v>#REF!</v>
      </c>
      <c r="K137" s="51" t="e">
        <f t="shared" si="22"/>
        <v>#REF!</v>
      </c>
      <c r="L137" s="55" t="e">
        <f t="shared" si="23"/>
        <v>#REF!</v>
      </c>
      <c r="M137" s="51" t="e">
        <f t="shared" si="21"/>
        <v>#REF!</v>
      </c>
      <c r="N137" s="94" t="e">
        <f t="shared" si="17"/>
        <v>#REF!</v>
      </c>
      <c r="O137" s="56" t="e">
        <f t="shared" si="18"/>
        <v>#REF!</v>
      </c>
      <c r="P137" s="57" t="e">
        <f t="shared" si="19"/>
        <v>#REF!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 t="e">
        <f t="shared" si="20"/>
        <v>#REF!</v>
      </c>
      <c r="K138" s="51" t="e">
        <f t="shared" si="22"/>
        <v>#REF!</v>
      </c>
      <c r="L138" s="55" t="e">
        <f t="shared" si="23"/>
        <v>#REF!</v>
      </c>
      <c r="M138" s="51" t="e">
        <f t="shared" si="21"/>
        <v>#REF!</v>
      </c>
      <c r="N138" s="94" t="e">
        <f t="shared" si="17"/>
        <v>#REF!</v>
      </c>
      <c r="O138" s="56" t="e">
        <f t="shared" si="18"/>
        <v>#REF!</v>
      </c>
      <c r="P138" s="57" t="e">
        <f t="shared" si="19"/>
        <v>#REF!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 t="e">
        <f t="shared" si="20"/>
        <v>#REF!</v>
      </c>
      <c r="K139" s="51" t="e">
        <f t="shared" si="22"/>
        <v>#REF!</v>
      </c>
      <c r="L139" s="55" t="e">
        <f t="shared" si="23"/>
        <v>#REF!</v>
      </c>
      <c r="M139" s="51" t="e">
        <f t="shared" si="21"/>
        <v>#REF!</v>
      </c>
      <c r="N139" s="94" t="e">
        <f t="shared" si="17"/>
        <v>#REF!</v>
      </c>
      <c r="O139" s="56" t="e">
        <f t="shared" si="18"/>
        <v>#REF!</v>
      </c>
      <c r="P139" s="57" t="e">
        <f t="shared" si="19"/>
        <v>#REF!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 t="e">
        <f t="shared" si="20"/>
        <v>#REF!</v>
      </c>
      <c r="K140" s="51" t="e">
        <f t="shared" si="22"/>
        <v>#REF!</v>
      </c>
      <c r="L140" s="55" t="e">
        <f t="shared" si="23"/>
        <v>#REF!</v>
      </c>
      <c r="M140" s="51" t="e">
        <f t="shared" si="21"/>
        <v>#REF!</v>
      </c>
      <c r="N140" s="94" t="e">
        <f t="shared" si="17"/>
        <v>#REF!</v>
      </c>
      <c r="O140" s="56" t="e">
        <f t="shared" si="18"/>
        <v>#REF!</v>
      </c>
      <c r="P140" s="57" t="e">
        <f t="shared" si="19"/>
        <v>#REF!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 t="e">
        <f t="shared" si="20"/>
        <v>#REF!</v>
      </c>
      <c r="K141" s="51" t="e">
        <f t="shared" si="22"/>
        <v>#REF!</v>
      </c>
      <c r="L141" s="55" t="e">
        <f t="shared" si="23"/>
        <v>#REF!</v>
      </c>
      <c r="M141" s="51" t="e">
        <f t="shared" si="21"/>
        <v>#REF!</v>
      </c>
      <c r="N141" s="94" t="e">
        <f t="shared" si="17"/>
        <v>#REF!</v>
      </c>
      <c r="O141" s="56" t="e">
        <f t="shared" si="18"/>
        <v>#REF!</v>
      </c>
      <c r="P141" s="57" t="e">
        <f t="shared" si="19"/>
        <v>#REF!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 t="e">
        <f t="shared" si="20"/>
        <v>#REF!</v>
      </c>
      <c r="K142" s="51" t="e">
        <f t="shared" si="22"/>
        <v>#REF!</v>
      </c>
      <c r="L142" s="55" t="e">
        <f t="shared" si="23"/>
        <v>#REF!</v>
      </c>
      <c r="M142" s="51" t="e">
        <f t="shared" si="21"/>
        <v>#REF!</v>
      </c>
      <c r="N142" s="94" t="e">
        <f t="shared" si="17"/>
        <v>#REF!</v>
      </c>
      <c r="O142" s="56" t="e">
        <f t="shared" si="18"/>
        <v>#REF!</v>
      </c>
      <c r="P142" s="57" t="e">
        <f t="shared" si="19"/>
        <v>#REF!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 t="e">
        <f t="shared" si="20"/>
        <v>#REF!</v>
      </c>
      <c r="K143" s="51" t="e">
        <f t="shared" si="22"/>
        <v>#REF!</v>
      </c>
      <c r="L143" s="55" t="e">
        <f t="shared" si="23"/>
        <v>#REF!</v>
      </c>
      <c r="M143" s="51" t="e">
        <f t="shared" si="21"/>
        <v>#REF!</v>
      </c>
      <c r="N143" s="94" t="e">
        <f t="shared" si="17"/>
        <v>#REF!</v>
      </c>
      <c r="O143" s="56" t="e">
        <f t="shared" si="18"/>
        <v>#REF!</v>
      </c>
      <c r="P143" s="57" t="e">
        <f t="shared" si="19"/>
        <v>#REF!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 t="e">
        <f t="shared" si="20"/>
        <v>#REF!</v>
      </c>
      <c r="K144" s="51" t="e">
        <f t="shared" si="22"/>
        <v>#REF!</v>
      </c>
      <c r="L144" s="55" t="e">
        <f t="shared" si="23"/>
        <v>#REF!</v>
      </c>
      <c r="M144" s="51" t="e">
        <f t="shared" si="21"/>
        <v>#REF!</v>
      </c>
      <c r="N144" s="94" t="e">
        <f t="shared" si="17"/>
        <v>#REF!</v>
      </c>
      <c r="O144" s="56" t="e">
        <f t="shared" si="18"/>
        <v>#REF!</v>
      </c>
      <c r="P144" s="57" t="e">
        <f t="shared" si="19"/>
        <v>#REF!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 t="e">
        <f t="shared" si="20"/>
        <v>#REF!</v>
      </c>
      <c r="K145" s="51" t="e">
        <f t="shared" si="22"/>
        <v>#REF!</v>
      </c>
      <c r="L145" s="55" t="e">
        <f t="shared" si="23"/>
        <v>#REF!</v>
      </c>
      <c r="M145" s="51" t="e">
        <f t="shared" si="21"/>
        <v>#REF!</v>
      </c>
      <c r="N145" s="94" t="e">
        <f t="shared" si="17"/>
        <v>#REF!</v>
      </c>
      <c r="O145" s="56" t="e">
        <f t="shared" si="18"/>
        <v>#REF!</v>
      </c>
      <c r="P145" s="57" t="e">
        <f t="shared" si="19"/>
        <v>#REF!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 t="e">
        <f t="shared" si="20"/>
        <v>#REF!</v>
      </c>
      <c r="K146" s="51" t="e">
        <f t="shared" si="22"/>
        <v>#REF!</v>
      </c>
      <c r="L146" s="55" t="e">
        <f t="shared" si="23"/>
        <v>#REF!</v>
      </c>
      <c r="M146" s="51" t="e">
        <f t="shared" si="21"/>
        <v>#REF!</v>
      </c>
      <c r="N146" s="94" t="e">
        <f t="shared" si="17"/>
        <v>#REF!</v>
      </c>
      <c r="O146" s="56" t="e">
        <f t="shared" si="18"/>
        <v>#REF!</v>
      </c>
      <c r="P146" s="57" t="e">
        <f t="shared" si="19"/>
        <v>#REF!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 t="e">
        <f t="shared" si="20"/>
        <v>#REF!</v>
      </c>
      <c r="K147" s="51" t="e">
        <f t="shared" si="22"/>
        <v>#REF!</v>
      </c>
      <c r="L147" s="55" t="e">
        <f t="shared" si="23"/>
        <v>#REF!</v>
      </c>
      <c r="M147" s="51" t="e">
        <f t="shared" si="21"/>
        <v>#REF!</v>
      </c>
      <c r="N147" s="94" t="e">
        <f t="shared" si="17"/>
        <v>#REF!</v>
      </c>
      <c r="O147" s="56" t="e">
        <f t="shared" si="18"/>
        <v>#REF!</v>
      </c>
      <c r="P147" s="57" t="e">
        <f t="shared" si="19"/>
        <v>#REF!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 t="e">
        <f t="shared" si="20"/>
        <v>#REF!</v>
      </c>
      <c r="K148" s="51" t="e">
        <f t="shared" si="22"/>
        <v>#REF!</v>
      </c>
      <c r="L148" s="55" t="e">
        <f t="shared" si="23"/>
        <v>#REF!</v>
      </c>
      <c r="M148" s="51" t="e">
        <f t="shared" si="21"/>
        <v>#REF!</v>
      </c>
      <c r="N148" s="94" t="e">
        <f t="shared" si="17"/>
        <v>#REF!</v>
      </c>
      <c r="O148" s="56" t="e">
        <f t="shared" si="18"/>
        <v>#REF!</v>
      </c>
      <c r="P148" s="57" t="e">
        <f t="shared" si="19"/>
        <v>#REF!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 t="e">
        <f t="shared" si="20"/>
        <v>#REF!</v>
      </c>
      <c r="K149" s="51" t="e">
        <f t="shared" si="22"/>
        <v>#REF!</v>
      </c>
      <c r="L149" s="55" t="e">
        <f t="shared" si="23"/>
        <v>#REF!</v>
      </c>
      <c r="M149" s="51" t="e">
        <f t="shared" si="21"/>
        <v>#REF!</v>
      </c>
      <c r="N149" s="94" t="e">
        <f t="shared" si="17"/>
        <v>#REF!</v>
      </c>
      <c r="O149" s="56" t="e">
        <f t="shared" si="18"/>
        <v>#REF!</v>
      </c>
      <c r="P149" s="57" t="e">
        <f t="shared" si="19"/>
        <v>#REF!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 t="e">
        <f t="shared" si="20"/>
        <v>#REF!</v>
      </c>
      <c r="K150" s="51" t="e">
        <f t="shared" si="22"/>
        <v>#REF!</v>
      </c>
      <c r="L150" s="55" t="e">
        <f t="shared" si="23"/>
        <v>#REF!</v>
      </c>
      <c r="M150" s="51" t="e">
        <f t="shared" si="21"/>
        <v>#REF!</v>
      </c>
      <c r="N150" s="94" t="e">
        <f t="shared" si="17"/>
        <v>#REF!</v>
      </c>
      <c r="O150" s="56" t="e">
        <f t="shared" si="18"/>
        <v>#REF!</v>
      </c>
      <c r="P150" s="57" t="e">
        <f t="shared" si="19"/>
        <v>#REF!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 t="e">
        <f t="shared" si="20"/>
        <v>#REF!</v>
      </c>
      <c r="K151" s="51" t="e">
        <f t="shared" si="22"/>
        <v>#REF!</v>
      </c>
      <c r="L151" s="55" t="e">
        <f t="shared" si="23"/>
        <v>#REF!</v>
      </c>
      <c r="M151" s="51" t="e">
        <f t="shared" si="21"/>
        <v>#REF!</v>
      </c>
      <c r="N151" s="94" t="e">
        <f t="shared" si="17"/>
        <v>#REF!</v>
      </c>
      <c r="O151" s="56" t="e">
        <f t="shared" si="18"/>
        <v>#REF!</v>
      </c>
      <c r="P151" s="57" t="e">
        <f t="shared" si="19"/>
        <v>#REF!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 t="e">
        <f t="shared" si="20"/>
        <v>#REF!</v>
      </c>
      <c r="K152" s="51" t="e">
        <f t="shared" si="22"/>
        <v>#REF!</v>
      </c>
      <c r="L152" s="55" t="e">
        <f t="shared" si="23"/>
        <v>#REF!</v>
      </c>
      <c r="M152" s="51" t="e">
        <f t="shared" si="21"/>
        <v>#REF!</v>
      </c>
      <c r="N152" s="94" t="e">
        <f t="shared" si="17"/>
        <v>#REF!</v>
      </c>
      <c r="O152" s="56" t="e">
        <f t="shared" si="18"/>
        <v>#REF!</v>
      </c>
      <c r="P152" s="57" t="e">
        <f t="shared" si="19"/>
        <v>#REF!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 t="e">
        <f t="shared" si="20"/>
        <v>#REF!</v>
      </c>
      <c r="K153" s="51" t="e">
        <f t="shared" si="22"/>
        <v>#REF!</v>
      </c>
      <c r="L153" s="55" t="e">
        <f t="shared" si="23"/>
        <v>#REF!</v>
      </c>
      <c r="M153" s="51" t="e">
        <f t="shared" si="21"/>
        <v>#REF!</v>
      </c>
      <c r="N153" s="94" t="e">
        <f t="shared" si="17"/>
        <v>#REF!</v>
      </c>
      <c r="O153" s="56" t="e">
        <f t="shared" si="18"/>
        <v>#REF!</v>
      </c>
      <c r="P153" s="57" t="e">
        <f t="shared" si="19"/>
        <v>#REF!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 t="e">
        <f t="shared" si="20"/>
        <v>#REF!</v>
      </c>
      <c r="K154" s="51" t="e">
        <f t="shared" si="22"/>
        <v>#REF!</v>
      </c>
      <c r="L154" s="55" t="e">
        <f t="shared" si="23"/>
        <v>#REF!</v>
      </c>
      <c r="M154" s="51" t="e">
        <f t="shared" si="21"/>
        <v>#REF!</v>
      </c>
      <c r="N154" s="94" t="e">
        <f t="shared" si="17"/>
        <v>#REF!</v>
      </c>
      <c r="O154" s="56" t="e">
        <f t="shared" si="18"/>
        <v>#REF!</v>
      </c>
      <c r="P154" s="57" t="e">
        <f t="shared" si="19"/>
        <v>#REF!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 t="e">
        <f t="shared" si="20"/>
        <v>#REF!</v>
      </c>
      <c r="K155" s="51" t="e">
        <f t="shared" si="22"/>
        <v>#REF!</v>
      </c>
      <c r="L155" s="55" t="e">
        <f t="shared" si="23"/>
        <v>#REF!</v>
      </c>
      <c r="M155" s="51" t="e">
        <f t="shared" si="21"/>
        <v>#REF!</v>
      </c>
      <c r="N155" s="94" t="e">
        <f t="shared" si="17"/>
        <v>#REF!</v>
      </c>
      <c r="O155" s="56" t="e">
        <f t="shared" si="18"/>
        <v>#REF!</v>
      </c>
      <c r="P155" s="57" t="e">
        <f t="shared" si="19"/>
        <v>#REF!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 t="e">
        <f t="shared" si="20"/>
        <v>#REF!</v>
      </c>
      <c r="K156" s="51" t="e">
        <f t="shared" si="22"/>
        <v>#REF!</v>
      </c>
      <c r="L156" s="55" t="e">
        <f t="shared" si="23"/>
        <v>#REF!</v>
      </c>
      <c r="M156" s="51" t="e">
        <f t="shared" si="21"/>
        <v>#REF!</v>
      </c>
      <c r="N156" s="94" t="e">
        <f t="shared" si="17"/>
        <v>#REF!</v>
      </c>
      <c r="O156" s="56" t="e">
        <f t="shared" si="18"/>
        <v>#REF!</v>
      </c>
      <c r="P156" s="57" t="e">
        <f t="shared" si="19"/>
        <v>#REF!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 t="e">
        <f t="shared" si="20"/>
        <v>#REF!</v>
      </c>
      <c r="K157" s="51" t="e">
        <f t="shared" si="22"/>
        <v>#REF!</v>
      </c>
      <c r="L157" s="55" t="e">
        <f t="shared" si="23"/>
        <v>#REF!</v>
      </c>
      <c r="M157" s="51" t="e">
        <f t="shared" si="21"/>
        <v>#REF!</v>
      </c>
      <c r="N157" s="94" t="e">
        <f t="shared" si="17"/>
        <v>#REF!</v>
      </c>
      <c r="O157" s="56" t="e">
        <f t="shared" si="18"/>
        <v>#REF!</v>
      </c>
      <c r="P157" s="57" t="e">
        <f t="shared" si="19"/>
        <v>#REF!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 t="e">
        <f t="shared" si="20"/>
        <v>#REF!</v>
      </c>
      <c r="K158" s="51" t="e">
        <f t="shared" si="22"/>
        <v>#REF!</v>
      </c>
      <c r="L158" s="55" t="e">
        <f t="shared" si="23"/>
        <v>#REF!</v>
      </c>
      <c r="M158" s="51" t="e">
        <f t="shared" si="21"/>
        <v>#REF!</v>
      </c>
      <c r="N158" s="94" t="e">
        <f t="shared" si="17"/>
        <v>#REF!</v>
      </c>
      <c r="O158" s="56" t="e">
        <f t="shared" si="18"/>
        <v>#REF!</v>
      </c>
      <c r="P158" s="57" t="e">
        <f t="shared" si="19"/>
        <v>#REF!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 t="e">
        <f t="shared" si="20"/>
        <v>#REF!</v>
      </c>
      <c r="K159" s="51" t="e">
        <f t="shared" si="22"/>
        <v>#REF!</v>
      </c>
      <c r="L159" s="55" t="e">
        <f t="shared" si="23"/>
        <v>#REF!</v>
      </c>
      <c r="M159" s="51" t="e">
        <f t="shared" si="21"/>
        <v>#REF!</v>
      </c>
      <c r="N159" s="94" t="e">
        <f t="shared" si="17"/>
        <v>#REF!</v>
      </c>
      <c r="O159" s="56" t="e">
        <f t="shared" si="18"/>
        <v>#REF!</v>
      </c>
      <c r="P159" s="57" t="e">
        <f t="shared" si="19"/>
        <v>#REF!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 t="e">
        <f t="shared" si="20"/>
        <v>#REF!</v>
      </c>
      <c r="K160" s="51" t="e">
        <f t="shared" si="22"/>
        <v>#REF!</v>
      </c>
      <c r="L160" s="55" t="e">
        <f t="shared" si="23"/>
        <v>#REF!</v>
      </c>
      <c r="M160" s="51" t="e">
        <f t="shared" si="21"/>
        <v>#REF!</v>
      </c>
      <c r="N160" s="94" t="e">
        <f t="shared" si="17"/>
        <v>#REF!</v>
      </c>
      <c r="O160" s="56" t="e">
        <f t="shared" si="18"/>
        <v>#REF!</v>
      </c>
      <c r="P160" s="57" t="e">
        <f t="shared" si="19"/>
        <v>#REF!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 t="e">
        <f t="shared" si="20"/>
        <v>#REF!</v>
      </c>
      <c r="K161" s="51" t="e">
        <f t="shared" si="22"/>
        <v>#REF!</v>
      </c>
      <c r="L161" s="55" t="e">
        <f t="shared" si="23"/>
        <v>#REF!</v>
      </c>
      <c r="M161" s="51" t="e">
        <f t="shared" si="21"/>
        <v>#REF!</v>
      </c>
      <c r="N161" s="94" t="e">
        <f t="shared" si="17"/>
        <v>#REF!</v>
      </c>
      <c r="O161" s="56" t="e">
        <f t="shared" si="18"/>
        <v>#REF!</v>
      </c>
      <c r="P161" s="57" t="e">
        <f t="shared" si="19"/>
        <v>#REF!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 t="e">
        <f t="shared" si="20"/>
        <v>#REF!</v>
      </c>
      <c r="K162" s="51" t="e">
        <f t="shared" si="22"/>
        <v>#REF!</v>
      </c>
      <c r="L162" s="55" t="e">
        <f t="shared" si="23"/>
        <v>#REF!</v>
      </c>
      <c r="M162" s="51" t="e">
        <f t="shared" si="21"/>
        <v>#REF!</v>
      </c>
      <c r="N162" s="94" t="e">
        <f t="shared" si="17"/>
        <v>#REF!</v>
      </c>
      <c r="O162" s="56" t="e">
        <f t="shared" si="18"/>
        <v>#REF!</v>
      </c>
      <c r="P162" s="57" t="e">
        <f t="shared" si="19"/>
        <v>#REF!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 t="e">
        <f t="shared" si="20"/>
        <v>#REF!</v>
      </c>
      <c r="K163" s="51" t="e">
        <f t="shared" si="22"/>
        <v>#REF!</v>
      </c>
      <c r="L163" s="55" t="e">
        <f t="shared" si="23"/>
        <v>#REF!</v>
      </c>
      <c r="M163" s="51" t="e">
        <f t="shared" si="21"/>
        <v>#REF!</v>
      </c>
      <c r="N163" s="94" t="e">
        <f t="shared" si="17"/>
        <v>#REF!</v>
      </c>
      <c r="O163" s="56" t="e">
        <f t="shared" si="18"/>
        <v>#REF!</v>
      </c>
      <c r="P163" s="57" t="e">
        <f t="shared" si="19"/>
        <v>#REF!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 t="e">
        <f t="shared" si="20"/>
        <v>#REF!</v>
      </c>
      <c r="K164" s="51" t="e">
        <f t="shared" si="22"/>
        <v>#REF!</v>
      </c>
      <c r="L164" s="55" t="e">
        <f t="shared" si="23"/>
        <v>#REF!</v>
      </c>
      <c r="M164" s="51" t="e">
        <f t="shared" si="21"/>
        <v>#REF!</v>
      </c>
      <c r="N164" s="94" t="e">
        <f t="shared" si="17"/>
        <v>#REF!</v>
      </c>
      <c r="O164" s="56" t="e">
        <f t="shared" si="18"/>
        <v>#REF!</v>
      </c>
      <c r="P164" s="57" t="e">
        <f t="shared" si="19"/>
        <v>#REF!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 t="e">
        <f t="shared" si="20"/>
        <v>#REF!</v>
      </c>
      <c r="K165" s="51" t="e">
        <f t="shared" si="22"/>
        <v>#REF!</v>
      </c>
      <c r="L165" s="55" t="e">
        <f t="shared" si="23"/>
        <v>#REF!</v>
      </c>
      <c r="M165" s="51" t="e">
        <f t="shared" si="21"/>
        <v>#REF!</v>
      </c>
      <c r="N165" s="94" t="e">
        <f t="shared" si="17"/>
        <v>#REF!</v>
      </c>
      <c r="O165" s="56" t="e">
        <f t="shared" si="18"/>
        <v>#REF!</v>
      </c>
      <c r="P165" s="57" t="e">
        <f t="shared" si="19"/>
        <v>#REF!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 t="e">
        <f t="shared" si="20"/>
        <v>#REF!</v>
      </c>
      <c r="K166" s="51" t="e">
        <f t="shared" si="22"/>
        <v>#REF!</v>
      </c>
      <c r="L166" s="55" t="e">
        <f t="shared" si="23"/>
        <v>#REF!</v>
      </c>
      <c r="M166" s="51" t="e">
        <f t="shared" si="21"/>
        <v>#REF!</v>
      </c>
      <c r="N166" s="94" t="e">
        <f t="shared" si="17"/>
        <v>#REF!</v>
      </c>
      <c r="O166" s="56" t="e">
        <f t="shared" si="18"/>
        <v>#REF!</v>
      </c>
      <c r="P166" s="57" t="e">
        <f t="shared" si="19"/>
        <v>#REF!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 t="e">
        <f t="shared" si="20"/>
        <v>#REF!</v>
      </c>
      <c r="K167" s="51" t="e">
        <f t="shared" si="22"/>
        <v>#REF!</v>
      </c>
      <c r="L167" s="55" t="e">
        <f t="shared" si="23"/>
        <v>#REF!</v>
      </c>
      <c r="M167" s="51" t="e">
        <f t="shared" si="21"/>
        <v>#REF!</v>
      </c>
      <c r="N167" s="94" t="e">
        <f t="shared" si="17"/>
        <v>#REF!</v>
      </c>
      <c r="O167" s="56" t="e">
        <f t="shared" si="18"/>
        <v>#REF!</v>
      </c>
      <c r="P167" s="57" t="e">
        <f t="shared" si="19"/>
        <v>#REF!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 t="e">
        <f t="shared" si="20"/>
        <v>#REF!</v>
      </c>
      <c r="K168" s="51" t="e">
        <f t="shared" si="22"/>
        <v>#REF!</v>
      </c>
      <c r="L168" s="55" t="e">
        <f t="shared" si="23"/>
        <v>#REF!</v>
      </c>
      <c r="M168" s="51" t="e">
        <f t="shared" si="21"/>
        <v>#REF!</v>
      </c>
      <c r="N168" s="94" t="e">
        <f t="shared" ref="N168:N204" si="24">10^$J168</f>
        <v>#REF!</v>
      </c>
      <c r="O168" s="56" t="e">
        <f t="shared" ref="O168:O204" si="25">10^K168</f>
        <v>#REF!</v>
      </c>
      <c r="P168" s="57" t="e">
        <f t="shared" ref="P168:P204" si="26">10^M168</f>
        <v>#REF!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 t="e">
        <f t="shared" ref="J169:J204" si="27">LOG($I$24+($I$25-$I$24)*(ROW()-104)/100)</f>
        <v>#REF!</v>
      </c>
      <c r="K169" s="51" t="e">
        <f t="shared" si="22"/>
        <v>#REF!</v>
      </c>
      <c r="L169" s="55" t="e">
        <f t="shared" si="23"/>
        <v>#REF!</v>
      </c>
      <c r="M169" s="51" t="e">
        <f t="shared" ref="M169:M204" si="28">+$I$14+$I$13*J169+L169</f>
        <v>#REF!</v>
      </c>
      <c r="N169" s="94" t="e">
        <f t="shared" si="24"/>
        <v>#REF!</v>
      </c>
      <c r="O169" s="56" t="e">
        <f t="shared" si="25"/>
        <v>#REF!</v>
      </c>
      <c r="P169" s="57" t="e">
        <f t="shared" si="26"/>
        <v>#REF!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 t="e">
        <f t="shared" si="27"/>
        <v>#REF!</v>
      </c>
      <c r="K170" s="51" t="e">
        <f t="shared" si="22"/>
        <v>#REF!</v>
      </c>
      <c r="L170" s="55" t="e">
        <f t="shared" si="23"/>
        <v>#REF!</v>
      </c>
      <c r="M170" s="51" t="e">
        <f t="shared" si="28"/>
        <v>#REF!</v>
      </c>
      <c r="N170" s="94" t="e">
        <f t="shared" si="24"/>
        <v>#REF!</v>
      </c>
      <c r="O170" s="56" t="e">
        <f t="shared" si="25"/>
        <v>#REF!</v>
      </c>
      <c r="P170" s="57" t="e">
        <f t="shared" si="26"/>
        <v>#REF!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 t="e">
        <f t="shared" si="27"/>
        <v>#REF!</v>
      </c>
      <c r="K171" s="51" t="e">
        <f t="shared" si="22"/>
        <v>#REF!</v>
      </c>
      <c r="L171" s="55" t="e">
        <f t="shared" si="23"/>
        <v>#REF!</v>
      </c>
      <c r="M171" s="51" t="e">
        <f t="shared" si="28"/>
        <v>#REF!</v>
      </c>
      <c r="N171" s="94" t="e">
        <f t="shared" si="24"/>
        <v>#REF!</v>
      </c>
      <c r="O171" s="56" t="e">
        <f t="shared" si="25"/>
        <v>#REF!</v>
      </c>
      <c r="P171" s="57" t="e">
        <f t="shared" si="26"/>
        <v>#REF!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 t="e">
        <f t="shared" si="27"/>
        <v>#REF!</v>
      </c>
      <c r="K172" s="51" t="e">
        <f t="shared" si="22"/>
        <v>#REF!</v>
      </c>
      <c r="L172" s="55" t="e">
        <f t="shared" si="23"/>
        <v>#REF!</v>
      </c>
      <c r="M172" s="51" t="e">
        <f t="shared" si="28"/>
        <v>#REF!</v>
      </c>
      <c r="N172" s="94" t="e">
        <f t="shared" si="24"/>
        <v>#REF!</v>
      </c>
      <c r="O172" s="56" t="e">
        <f t="shared" si="25"/>
        <v>#REF!</v>
      </c>
      <c r="P172" s="57" t="e">
        <f t="shared" si="26"/>
        <v>#REF!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 t="e">
        <f t="shared" si="27"/>
        <v>#REF!</v>
      </c>
      <c r="K173" s="51" t="e">
        <f t="shared" si="22"/>
        <v>#REF!</v>
      </c>
      <c r="L173" s="55" t="e">
        <f t="shared" si="23"/>
        <v>#REF!</v>
      </c>
      <c r="M173" s="51" t="e">
        <f t="shared" si="28"/>
        <v>#REF!</v>
      </c>
      <c r="N173" s="94" t="e">
        <f t="shared" si="24"/>
        <v>#REF!</v>
      </c>
      <c r="O173" s="56" t="e">
        <f t="shared" si="25"/>
        <v>#REF!</v>
      </c>
      <c r="P173" s="57" t="e">
        <f t="shared" si="26"/>
        <v>#REF!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 t="e">
        <f t="shared" si="27"/>
        <v>#REF!</v>
      </c>
      <c r="K174" s="51" t="e">
        <f t="shared" si="22"/>
        <v>#REF!</v>
      </c>
      <c r="L174" s="55" t="e">
        <f t="shared" si="23"/>
        <v>#REF!</v>
      </c>
      <c r="M174" s="51" t="e">
        <f t="shared" si="28"/>
        <v>#REF!</v>
      </c>
      <c r="N174" s="94" t="e">
        <f t="shared" si="24"/>
        <v>#REF!</v>
      </c>
      <c r="O174" s="56" t="e">
        <f t="shared" si="25"/>
        <v>#REF!</v>
      </c>
      <c r="P174" s="57" t="e">
        <f t="shared" si="26"/>
        <v>#REF!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 t="e">
        <f t="shared" si="27"/>
        <v>#REF!</v>
      </c>
      <c r="K175" s="51" t="e">
        <f t="shared" si="22"/>
        <v>#REF!</v>
      </c>
      <c r="L175" s="55" t="e">
        <f t="shared" si="23"/>
        <v>#REF!</v>
      </c>
      <c r="M175" s="51" t="e">
        <f t="shared" si="28"/>
        <v>#REF!</v>
      </c>
      <c r="N175" s="94" t="e">
        <f t="shared" si="24"/>
        <v>#REF!</v>
      </c>
      <c r="O175" s="56" t="e">
        <f t="shared" si="25"/>
        <v>#REF!</v>
      </c>
      <c r="P175" s="57" t="e">
        <f t="shared" si="26"/>
        <v>#REF!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 t="e">
        <f t="shared" si="27"/>
        <v>#REF!</v>
      </c>
      <c r="K176" s="51" t="e">
        <f t="shared" si="22"/>
        <v>#REF!</v>
      </c>
      <c r="L176" s="55" t="e">
        <f t="shared" si="23"/>
        <v>#REF!</v>
      </c>
      <c r="M176" s="51" t="e">
        <f t="shared" si="28"/>
        <v>#REF!</v>
      </c>
      <c r="N176" s="94" t="e">
        <f t="shared" si="24"/>
        <v>#REF!</v>
      </c>
      <c r="O176" s="56" t="e">
        <f t="shared" si="25"/>
        <v>#REF!</v>
      </c>
      <c r="P176" s="57" t="e">
        <f t="shared" si="26"/>
        <v>#REF!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 t="e">
        <f t="shared" si="27"/>
        <v>#REF!</v>
      </c>
      <c r="K177" s="51" t="e">
        <f t="shared" si="22"/>
        <v>#REF!</v>
      </c>
      <c r="L177" s="55" t="e">
        <f t="shared" si="23"/>
        <v>#REF!</v>
      </c>
      <c r="M177" s="51" t="e">
        <f t="shared" si="28"/>
        <v>#REF!</v>
      </c>
      <c r="N177" s="94" t="e">
        <f t="shared" si="24"/>
        <v>#REF!</v>
      </c>
      <c r="O177" s="56" t="e">
        <f t="shared" si="25"/>
        <v>#REF!</v>
      </c>
      <c r="P177" s="57" t="e">
        <f t="shared" si="26"/>
        <v>#REF!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 t="e">
        <f t="shared" si="27"/>
        <v>#REF!</v>
      </c>
      <c r="K178" s="51" t="e">
        <f t="shared" si="22"/>
        <v>#REF!</v>
      </c>
      <c r="L178" s="55" t="e">
        <f t="shared" si="23"/>
        <v>#REF!</v>
      </c>
      <c r="M178" s="51" t="e">
        <f t="shared" si="28"/>
        <v>#REF!</v>
      </c>
      <c r="N178" s="94" t="e">
        <f t="shared" si="24"/>
        <v>#REF!</v>
      </c>
      <c r="O178" s="56" t="e">
        <f t="shared" si="25"/>
        <v>#REF!</v>
      </c>
      <c r="P178" s="57" t="e">
        <f t="shared" si="26"/>
        <v>#REF!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 t="e">
        <f t="shared" si="27"/>
        <v>#REF!</v>
      </c>
      <c r="K179" s="51" t="e">
        <f t="shared" si="22"/>
        <v>#REF!</v>
      </c>
      <c r="L179" s="55" t="e">
        <f t="shared" si="23"/>
        <v>#REF!</v>
      </c>
      <c r="M179" s="51" t="e">
        <f t="shared" si="28"/>
        <v>#REF!</v>
      </c>
      <c r="N179" s="94" t="e">
        <f t="shared" si="24"/>
        <v>#REF!</v>
      </c>
      <c r="O179" s="56" t="e">
        <f t="shared" si="25"/>
        <v>#REF!</v>
      </c>
      <c r="P179" s="57" t="e">
        <f t="shared" si="26"/>
        <v>#REF!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 t="e">
        <f t="shared" si="27"/>
        <v>#REF!</v>
      </c>
      <c r="K180" s="51" t="e">
        <f t="shared" si="22"/>
        <v>#REF!</v>
      </c>
      <c r="L180" s="55" t="e">
        <f t="shared" si="23"/>
        <v>#REF!</v>
      </c>
      <c r="M180" s="51" t="e">
        <f t="shared" si="28"/>
        <v>#REF!</v>
      </c>
      <c r="N180" s="94" t="e">
        <f t="shared" si="24"/>
        <v>#REF!</v>
      </c>
      <c r="O180" s="56" t="e">
        <f t="shared" si="25"/>
        <v>#REF!</v>
      </c>
      <c r="P180" s="57" t="e">
        <f t="shared" si="26"/>
        <v>#REF!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 t="e">
        <f t="shared" si="27"/>
        <v>#REF!</v>
      </c>
      <c r="K181" s="51" t="e">
        <f t="shared" si="22"/>
        <v>#REF!</v>
      </c>
      <c r="L181" s="55" t="e">
        <f t="shared" si="23"/>
        <v>#REF!</v>
      </c>
      <c r="M181" s="51" t="e">
        <f t="shared" si="28"/>
        <v>#REF!</v>
      </c>
      <c r="N181" s="94" t="e">
        <f t="shared" si="24"/>
        <v>#REF!</v>
      </c>
      <c r="O181" s="56" t="e">
        <f t="shared" si="25"/>
        <v>#REF!</v>
      </c>
      <c r="P181" s="57" t="e">
        <f t="shared" si="26"/>
        <v>#REF!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 t="e">
        <f t="shared" si="27"/>
        <v>#REF!</v>
      </c>
      <c r="K182" s="51" t="e">
        <f t="shared" si="22"/>
        <v>#REF!</v>
      </c>
      <c r="L182" s="55" t="e">
        <f t="shared" si="23"/>
        <v>#REF!</v>
      </c>
      <c r="M182" s="51" t="e">
        <f t="shared" si="28"/>
        <v>#REF!</v>
      </c>
      <c r="N182" s="94" t="e">
        <f t="shared" si="24"/>
        <v>#REF!</v>
      </c>
      <c r="O182" s="56" t="e">
        <f t="shared" si="25"/>
        <v>#REF!</v>
      </c>
      <c r="P182" s="57" t="e">
        <f t="shared" si="26"/>
        <v>#REF!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 t="e">
        <f t="shared" si="27"/>
        <v>#REF!</v>
      </c>
      <c r="K183" s="51" t="e">
        <f t="shared" si="22"/>
        <v>#REF!</v>
      </c>
      <c r="L183" s="55" t="e">
        <f t="shared" si="23"/>
        <v>#REF!</v>
      </c>
      <c r="M183" s="51" t="e">
        <f t="shared" si="28"/>
        <v>#REF!</v>
      </c>
      <c r="N183" s="94" t="e">
        <f t="shared" si="24"/>
        <v>#REF!</v>
      </c>
      <c r="O183" s="56" t="e">
        <f t="shared" si="25"/>
        <v>#REF!</v>
      </c>
      <c r="P183" s="57" t="e">
        <f t="shared" si="26"/>
        <v>#REF!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 t="e">
        <f t="shared" si="27"/>
        <v>#REF!</v>
      </c>
      <c r="K184" s="51" t="e">
        <f t="shared" si="22"/>
        <v>#REF!</v>
      </c>
      <c r="L184" s="55" t="e">
        <f t="shared" si="23"/>
        <v>#REF!</v>
      </c>
      <c r="M184" s="51" t="e">
        <f t="shared" si="28"/>
        <v>#REF!</v>
      </c>
      <c r="N184" s="94" t="e">
        <f t="shared" si="24"/>
        <v>#REF!</v>
      </c>
      <c r="O184" s="56" t="e">
        <f t="shared" si="25"/>
        <v>#REF!</v>
      </c>
      <c r="P184" s="57" t="e">
        <f t="shared" si="26"/>
        <v>#REF!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 t="e">
        <f t="shared" si="27"/>
        <v>#REF!</v>
      </c>
      <c r="K185" s="51" t="e">
        <f t="shared" si="22"/>
        <v>#REF!</v>
      </c>
      <c r="L185" s="55" t="e">
        <f t="shared" si="23"/>
        <v>#REF!</v>
      </c>
      <c r="M185" s="51" t="e">
        <f t="shared" si="28"/>
        <v>#REF!</v>
      </c>
      <c r="N185" s="94" t="e">
        <f t="shared" si="24"/>
        <v>#REF!</v>
      </c>
      <c r="O185" s="56" t="e">
        <f t="shared" si="25"/>
        <v>#REF!</v>
      </c>
      <c r="P185" s="57" t="e">
        <f t="shared" si="26"/>
        <v>#REF!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 t="e">
        <f t="shared" si="27"/>
        <v>#REF!</v>
      </c>
      <c r="K186" s="51" t="e">
        <f t="shared" si="22"/>
        <v>#REF!</v>
      </c>
      <c r="L186" s="55" t="e">
        <f t="shared" si="23"/>
        <v>#REF!</v>
      </c>
      <c r="M186" s="51" t="e">
        <f t="shared" si="28"/>
        <v>#REF!</v>
      </c>
      <c r="N186" s="94" t="e">
        <f t="shared" si="24"/>
        <v>#REF!</v>
      </c>
      <c r="O186" s="56" t="e">
        <f t="shared" si="25"/>
        <v>#REF!</v>
      </c>
      <c r="P186" s="57" t="e">
        <f t="shared" si="26"/>
        <v>#REF!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 t="e">
        <f t="shared" si="27"/>
        <v>#REF!</v>
      </c>
      <c r="K187" s="51" t="e">
        <f t="shared" si="22"/>
        <v>#REF!</v>
      </c>
      <c r="L187" s="55" t="e">
        <f t="shared" si="23"/>
        <v>#REF!</v>
      </c>
      <c r="M187" s="51" t="e">
        <f t="shared" si="28"/>
        <v>#REF!</v>
      </c>
      <c r="N187" s="94" t="e">
        <f t="shared" si="24"/>
        <v>#REF!</v>
      </c>
      <c r="O187" s="56" t="e">
        <f t="shared" si="25"/>
        <v>#REF!</v>
      </c>
      <c r="P187" s="57" t="e">
        <f t="shared" si="26"/>
        <v>#REF!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 t="e">
        <f t="shared" si="27"/>
        <v>#REF!</v>
      </c>
      <c r="K188" s="51" t="e">
        <f t="shared" si="22"/>
        <v>#REF!</v>
      </c>
      <c r="L188" s="55" t="e">
        <f t="shared" si="23"/>
        <v>#REF!</v>
      </c>
      <c r="M188" s="51" t="e">
        <f t="shared" si="28"/>
        <v>#REF!</v>
      </c>
      <c r="N188" s="94" t="e">
        <f t="shared" si="24"/>
        <v>#REF!</v>
      </c>
      <c r="O188" s="56" t="e">
        <f t="shared" si="25"/>
        <v>#REF!</v>
      </c>
      <c r="P188" s="57" t="e">
        <f t="shared" si="26"/>
        <v>#REF!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 t="e">
        <f t="shared" si="27"/>
        <v>#REF!</v>
      </c>
      <c r="K189" s="51" t="e">
        <f t="shared" si="22"/>
        <v>#REF!</v>
      </c>
      <c r="L189" s="55" t="e">
        <f t="shared" si="23"/>
        <v>#REF!</v>
      </c>
      <c r="M189" s="51" t="e">
        <f t="shared" si="28"/>
        <v>#REF!</v>
      </c>
      <c r="N189" s="94" t="e">
        <f t="shared" si="24"/>
        <v>#REF!</v>
      </c>
      <c r="O189" s="56" t="e">
        <f t="shared" si="25"/>
        <v>#REF!</v>
      </c>
      <c r="P189" s="57" t="e">
        <f t="shared" si="26"/>
        <v>#REF!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 t="e">
        <f t="shared" si="27"/>
        <v>#REF!</v>
      </c>
      <c r="K190" s="51" t="e">
        <f t="shared" si="22"/>
        <v>#REF!</v>
      </c>
      <c r="L190" s="55" t="e">
        <f t="shared" si="23"/>
        <v>#REF!</v>
      </c>
      <c r="M190" s="51" t="e">
        <f t="shared" si="28"/>
        <v>#REF!</v>
      </c>
      <c r="N190" s="94" t="e">
        <f t="shared" si="24"/>
        <v>#REF!</v>
      </c>
      <c r="O190" s="56" t="e">
        <f t="shared" si="25"/>
        <v>#REF!</v>
      </c>
      <c r="P190" s="57" t="e">
        <f t="shared" si="26"/>
        <v>#REF!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 t="e">
        <f t="shared" si="27"/>
        <v>#REF!</v>
      </c>
      <c r="K191" s="51" t="e">
        <f t="shared" si="22"/>
        <v>#REF!</v>
      </c>
      <c r="L191" s="55" t="e">
        <f t="shared" si="23"/>
        <v>#REF!</v>
      </c>
      <c r="M191" s="51" t="e">
        <f t="shared" si="28"/>
        <v>#REF!</v>
      </c>
      <c r="N191" s="94" t="e">
        <f t="shared" si="24"/>
        <v>#REF!</v>
      </c>
      <c r="O191" s="56" t="e">
        <f t="shared" si="25"/>
        <v>#REF!</v>
      </c>
      <c r="P191" s="57" t="e">
        <f t="shared" si="26"/>
        <v>#REF!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 t="e">
        <f t="shared" si="27"/>
        <v>#REF!</v>
      </c>
      <c r="K192" s="51" t="e">
        <f t="shared" si="22"/>
        <v>#REF!</v>
      </c>
      <c r="L192" s="55" t="e">
        <f t="shared" si="23"/>
        <v>#REF!</v>
      </c>
      <c r="M192" s="51" t="e">
        <f t="shared" si="28"/>
        <v>#REF!</v>
      </c>
      <c r="N192" s="94" t="e">
        <f t="shared" si="24"/>
        <v>#REF!</v>
      </c>
      <c r="O192" s="56" t="e">
        <f t="shared" si="25"/>
        <v>#REF!</v>
      </c>
      <c r="P192" s="57" t="e">
        <f t="shared" si="26"/>
        <v>#REF!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 t="e">
        <f t="shared" si="27"/>
        <v>#REF!</v>
      </c>
      <c r="K193" s="51" t="e">
        <f t="shared" si="22"/>
        <v>#REF!</v>
      </c>
      <c r="L193" s="55" t="e">
        <f t="shared" si="23"/>
        <v>#REF!</v>
      </c>
      <c r="M193" s="51" t="e">
        <f t="shared" si="28"/>
        <v>#REF!</v>
      </c>
      <c r="N193" s="94" t="e">
        <f t="shared" si="24"/>
        <v>#REF!</v>
      </c>
      <c r="O193" s="56" t="e">
        <f t="shared" si="25"/>
        <v>#REF!</v>
      </c>
      <c r="P193" s="57" t="e">
        <f t="shared" si="26"/>
        <v>#REF!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 t="e">
        <f t="shared" si="27"/>
        <v>#REF!</v>
      </c>
      <c r="K194" s="51" t="e">
        <f t="shared" ref="K194:K204" si="29">+$I$14+$I$13*J194</f>
        <v>#REF!</v>
      </c>
      <c r="L194" s="55" t="e">
        <f t="shared" ref="L194:L204" si="30">SQRT(2*$I$20*$I$17)*SQRT((1/$I$2)+((J194-$I$11)^2/$I$8))</f>
        <v>#REF!</v>
      </c>
      <c r="M194" s="51" t="e">
        <f t="shared" si="28"/>
        <v>#REF!</v>
      </c>
      <c r="N194" s="94" t="e">
        <f t="shared" si="24"/>
        <v>#REF!</v>
      </c>
      <c r="O194" s="56" t="e">
        <f t="shared" si="25"/>
        <v>#REF!</v>
      </c>
      <c r="P194" s="57" t="e">
        <f t="shared" si="26"/>
        <v>#REF!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 t="e">
        <f t="shared" si="27"/>
        <v>#REF!</v>
      </c>
      <c r="K195" s="51" t="e">
        <f t="shared" si="29"/>
        <v>#REF!</v>
      </c>
      <c r="L195" s="55" t="e">
        <f t="shared" si="30"/>
        <v>#REF!</v>
      </c>
      <c r="M195" s="51" t="e">
        <f t="shared" si="28"/>
        <v>#REF!</v>
      </c>
      <c r="N195" s="94" t="e">
        <f t="shared" si="24"/>
        <v>#REF!</v>
      </c>
      <c r="O195" s="56" t="e">
        <f t="shared" si="25"/>
        <v>#REF!</v>
      </c>
      <c r="P195" s="57" t="e">
        <f t="shared" si="26"/>
        <v>#REF!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 t="e">
        <f t="shared" si="27"/>
        <v>#REF!</v>
      </c>
      <c r="K196" s="51" t="e">
        <f t="shared" si="29"/>
        <v>#REF!</v>
      </c>
      <c r="L196" s="55" t="e">
        <f t="shared" si="30"/>
        <v>#REF!</v>
      </c>
      <c r="M196" s="51" t="e">
        <f t="shared" si="28"/>
        <v>#REF!</v>
      </c>
      <c r="N196" s="94" t="e">
        <f t="shared" si="24"/>
        <v>#REF!</v>
      </c>
      <c r="O196" s="56" t="e">
        <f t="shared" si="25"/>
        <v>#REF!</v>
      </c>
      <c r="P196" s="57" t="e">
        <f t="shared" si="26"/>
        <v>#REF!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 t="e">
        <f t="shared" si="27"/>
        <v>#REF!</v>
      </c>
      <c r="K197" s="51" t="e">
        <f t="shared" si="29"/>
        <v>#REF!</v>
      </c>
      <c r="L197" s="55" t="e">
        <f t="shared" si="30"/>
        <v>#REF!</v>
      </c>
      <c r="M197" s="51" t="e">
        <f t="shared" si="28"/>
        <v>#REF!</v>
      </c>
      <c r="N197" s="94" t="e">
        <f t="shared" si="24"/>
        <v>#REF!</v>
      </c>
      <c r="O197" s="56" t="e">
        <f t="shared" si="25"/>
        <v>#REF!</v>
      </c>
      <c r="P197" s="57" t="e">
        <f t="shared" si="26"/>
        <v>#REF!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 t="e">
        <f t="shared" si="27"/>
        <v>#REF!</v>
      </c>
      <c r="K198" s="51" t="e">
        <f t="shared" si="29"/>
        <v>#REF!</v>
      </c>
      <c r="L198" s="55" t="e">
        <f t="shared" si="30"/>
        <v>#REF!</v>
      </c>
      <c r="M198" s="51" t="e">
        <f t="shared" si="28"/>
        <v>#REF!</v>
      </c>
      <c r="N198" s="94" t="e">
        <f t="shared" si="24"/>
        <v>#REF!</v>
      </c>
      <c r="O198" s="56" t="e">
        <f t="shared" si="25"/>
        <v>#REF!</v>
      </c>
      <c r="P198" s="57" t="e">
        <f t="shared" si="26"/>
        <v>#REF!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 t="e">
        <f t="shared" si="27"/>
        <v>#REF!</v>
      </c>
      <c r="K199" s="51" t="e">
        <f t="shared" si="29"/>
        <v>#REF!</v>
      </c>
      <c r="L199" s="55" t="e">
        <f t="shared" si="30"/>
        <v>#REF!</v>
      </c>
      <c r="M199" s="51" t="e">
        <f t="shared" si="28"/>
        <v>#REF!</v>
      </c>
      <c r="N199" s="94" t="e">
        <f t="shared" si="24"/>
        <v>#REF!</v>
      </c>
      <c r="O199" s="56" t="e">
        <f t="shared" si="25"/>
        <v>#REF!</v>
      </c>
      <c r="P199" s="57" t="e">
        <f t="shared" si="26"/>
        <v>#REF!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 t="e">
        <f t="shared" si="27"/>
        <v>#REF!</v>
      </c>
      <c r="K200" s="51" t="e">
        <f t="shared" si="29"/>
        <v>#REF!</v>
      </c>
      <c r="L200" s="55" t="e">
        <f t="shared" si="30"/>
        <v>#REF!</v>
      </c>
      <c r="M200" s="51" t="e">
        <f t="shared" si="28"/>
        <v>#REF!</v>
      </c>
      <c r="N200" s="94" t="e">
        <f t="shared" si="24"/>
        <v>#REF!</v>
      </c>
      <c r="O200" s="56" t="e">
        <f t="shared" si="25"/>
        <v>#REF!</v>
      </c>
      <c r="P200" s="57" t="e">
        <f t="shared" si="26"/>
        <v>#REF!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 t="e">
        <f t="shared" si="27"/>
        <v>#REF!</v>
      </c>
      <c r="K201" s="51" t="e">
        <f t="shared" si="29"/>
        <v>#REF!</v>
      </c>
      <c r="L201" s="55" t="e">
        <f t="shared" si="30"/>
        <v>#REF!</v>
      </c>
      <c r="M201" s="51" t="e">
        <f t="shared" si="28"/>
        <v>#REF!</v>
      </c>
      <c r="N201" s="94" t="e">
        <f t="shared" si="24"/>
        <v>#REF!</v>
      </c>
      <c r="O201" s="56" t="e">
        <f t="shared" si="25"/>
        <v>#REF!</v>
      </c>
      <c r="P201" s="57" t="e">
        <f t="shared" si="26"/>
        <v>#REF!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 t="e">
        <f t="shared" si="27"/>
        <v>#REF!</v>
      </c>
      <c r="K202" s="51" t="e">
        <f t="shared" si="29"/>
        <v>#REF!</v>
      </c>
      <c r="L202" s="55" t="e">
        <f t="shared" si="30"/>
        <v>#REF!</v>
      </c>
      <c r="M202" s="51" t="e">
        <f t="shared" si="28"/>
        <v>#REF!</v>
      </c>
      <c r="N202" s="94" t="e">
        <f t="shared" si="24"/>
        <v>#REF!</v>
      </c>
      <c r="O202" s="56" t="e">
        <f t="shared" si="25"/>
        <v>#REF!</v>
      </c>
      <c r="P202" s="57" t="e">
        <f t="shared" si="26"/>
        <v>#REF!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 t="e">
        <f t="shared" si="27"/>
        <v>#REF!</v>
      </c>
      <c r="K203" s="51" t="e">
        <f t="shared" si="29"/>
        <v>#REF!</v>
      </c>
      <c r="L203" s="55" t="e">
        <f t="shared" si="30"/>
        <v>#REF!</v>
      </c>
      <c r="M203" s="51" t="e">
        <f t="shared" si="28"/>
        <v>#REF!</v>
      </c>
      <c r="N203" s="94" t="e">
        <f t="shared" si="24"/>
        <v>#REF!</v>
      </c>
      <c r="O203" s="56" t="e">
        <f t="shared" si="25"/>
        <v>#REF!</v>
      </c>
      <c r="P203" s="57" t="e">
        <f t="shared" si="26"/>
        <v>#REF!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 t="e">
        <f t="shared" si="27"/>
        <v>#REF!</v>
      </c>
      <c r="K204" s="51" t="e">
        <f t="shared" si="29"/>
        <v>#REF!</v>
      </c>
      <c r="L204" s="55" t="e">
        <f t="shared" si="30"/>
        <v>#REF!</v>
      </c>
      <c r="M204" s="51" t="e">
        <f t="shared" si="28"/>
        <v>#REF!</v>
      </c>
      <c r="N204" s="97" t="e">
        <f t="shared" si="24"/>
        <v>#REF!</v>
      </c>
      <c r="O204" s="91" t="e">
        <f t="shared" si="25"/>
        <v>#REF!</v>
      </c>
      <c r="P204" s="92" t="e">
        <f t="shared" si="26"/>
        <v>#REF!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3"/>
  <sheetViews>
    <sheetView zoomScaleNormal="100" workbookViewId="0">
      <selection activeCell="B2" sqref="B2:B42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G30 85L'!W7</f>
        <v>154683062.1829651</v>
      </c>
      <c r="B2" s="48">
        <f>'New Vestas G30 85L'!T7</f>
        <v>100.92286507311093</v>
      </c>
      <c r="C2" s="50">
        <f t="shared" ref="C2:D42" si="0">IF(ISNA(A2),"",LOG10(A2))</f>
        <v>8.1894427609960676</v>
      </c>
      <c r="D2" s="50">
        <f t="shared" si="0"/>
        <v>2.0039895710942521</v>
      </c>
      <c r="E2" s="51">
        <f>IF(C2="","",C2^2)</f>
        <v>67.066972735630898</v>
      </c>
      <c r="F2" s="51">
        <f>IF(D2="","",D2^2)</f>
        <v>4.015974201054525</v>
      </c>
      <c r="G2" s="52">
        <f>IF(OR(C2="",D2=""),"",C2*D2)</f>
        <v>16.411557886109438</v>
      </c>
      <c r="H2" s="53" t="s">
        <v>57</v>
      </c>
      <c r="I2" s="54">
        <f>COUNT(C:C)</f>
        <v>41</v>
      </c>
      <c r="J2" s="51">
        <f t="shared" ref="J2:J65" si="1">LOG($I$24+($I$25-$I$24)*(ROW()-2)/100)</f>
        <v>8.1894427609960694</v>
      </c>
      <c r="K2" s="51">
        <f t="shared" ref="K2:K65" si="2">+$I$14+$I$13*J2</f>
        <v>2.007150704481937</v>
      </c>
      <c r="L2" s="55">
        <f t="shared" ref="L2:L65" si="3">SQRT(2*$I$20*$I$17)*SQRT((1/$I$2)+((J2-$I$11)^2/$I$8))</f>
        <v>1.3255145636186006E-2</v>
      </c>
      <c r="M2" s="51">
        <f t="shared" ref="M2:M65" si="4">+$I$14+$I$13*J2-L2</f>
        <v>1.993895558845751</v>
      </c>
      <c r="N2" s="94">
        <f>10^$J2</f>
        <v>154683062.18296623</v>
      </c>
      <c r="O2" s="56">
        <f>10^K2</f>
        <v>101.66014024147464</v>
      </c>
      <c r="P2" s="57">
        <f t="shared" ref="P2:P65" si="5">10^M2</f>
        <v>98.604232907676547</v>
      </c>
      <c r="R2" s="47"/>
      <c r="S2" s="47"/>
      <c r="T2" s="47"/>
    </row>
    <row r="3" spans="1:20" ht="12.75" customHeight="1" x14ac:dyDescent="0.35">
      <c r="A3" s="49">
        <f>'New Vestas G30 85L'!W8</f>
        <v>27390127.780705929</v>
      </c>
      <c r="B3" s="48">
        <f>'New Vestas G30 85L'!T8</f>
        <v>117.92779020417348</v>
      </c>
      <c r="C3" s="50">
        <f t="shared" si="0"/>
        <v>7.4375940583337723</v>
      </c>
      <c r="D3" s="50">
        <f t="shared" si="0"/>
        <v>2.0716161605670114</v>
      </c>
      <c r="E3" s="51">
        <f t="shared" ref="E3:F42" si="6">IF(C3="","",C3^2)</f>
        <v>55.317805376561836</v>
      </c>
      <c r="F3" s="51">
        <f t="shared" si="6"/>
        <v>4.2915935167224051</v>
      </c>
      <c r="G3" s="52">
        <f t="shared" ref="G3:G42" si="7">IF(OR(C3="",D3=""),"",C3*D3)</f>
        <v>15.407840046981425</v>
      </c>
      <c r="H3" s="53" t="s">
        <v>58</v>
      </c>
      <c r="I3" s="58">
        <f>SUM(C:C)</f>
        <v>307.86168584727756</v>
      </c>
      <c r="J3" s="51">
        <f t="shared" si="1"/>
        <v>8.1852276172327425</v>
      </c>
      <c r="K3" s="51">
        <f t="shared" si="2"/>
        <v>2.007649867385815</v>
      </c>
      <c r="L3" s="55">
        <f t="shared" si="3"/>
        <v>1.3188107964470466E-2</v>
      </c>
      <c r="M3" s="51">
        <f t="shared" si="4"/>
        <v>1.9944617594213445</v>
      </c>
      <c r="N3" s="94">
        <f t="shared" ref="N3:N66" si="8">10^$J3</f>
        <v>153189012.72647673</v>
      </c>
      <c r="O3" s="56">
        <f t="shared" ref="O3:O66" si="9">10^K3</f>
        <v>101.77705202910133</v>
      </c>
      <c r="P3" s="57">
        <f t="shared" si="5"/>
        <v>98.732869546899011</v>
      </c>
      <c r="R3" s="47"/>
      <c r="S3" s="47"/>
      <c r="T3" s="47"/>
    </row>
    <row r="4" spans="1:20" ht="12.75" customHeight="1" x14ac:dyDescent="0.35">
      <c r="A4" s="49">
        <f>'New Vestas G30 85L'!W9</f>
        <v>43575171.979870513</v>
      </c>
      <c r="B4" s="48">
        <f>'New Vestas G30 85L'!T9</f>
        <v>117.59224858897701</v>
      </c>
      <c r="C4" s="50">
        <f t="shared" si="0"/>
        <v>7.6392391098327792</v>
      </c>
      <c r="D4" s="50">
        <f t="shared" si="0"/>
        <v>2.0703786949885523</v>
      </c>
      <c r="E4" s="51">
        <f t="shared" si="6"/>
        <v>58.357974177198713</v>
      </c>
      <c r="F4" s="51">
        <f t="shared" si="6"/>
        <v>4.2864679406625008</v>
      </c>
      <c r="G4" s="52">
        <f t="shared" si="7"/>
        <v>15.8161178989211</v>
      </c>
      <c r="H4" s="59" t="s">
        <v>59</v>
      </c>
      <c r="I4" s="58">
        <f>SUM(D:D)</f>
        <v>85.59778126516828</v>
      </c>
      <c r="J4" s="51">
        <f t="shared" si="1"/>
        <v>8.1809711611402864</v>
      </c>
      <c r="K4" s="51">
        <f t="shared" si="2"/>
        <v>2.0081539225503917</v>
      </c>
      <c r="L4" s="55">
        <f t="shared" si="3"/>
        <v>1.3120491547571117E-2</v>
      </c>
      <c r="M4" s="51">
        <f t="shared" si="4"/>
        <v>1.9950334310028206</v>
      </c>
      <c r="N4" s="94">
        <f t="shared" si="8"/>
        <v>151694963.26998729</v>
      </c>
      <c r="O4" s="56">
        <f t="shared" si="9"/>
        <v>101.89524609615115</v>
      </c>
      <c r="P4" s="57">
        <f t="shared" si="5"/>
        <v>98.862919415784958</v>
      </c>
      <c r="R4" s="47"/>
      <c r="S4" s="47"/>
      <c r="T4" s="47"/>
    </row>
    <row r="5" spans="1:20" ht="12.75" customHeight="1" x14ac:dyDescent="0.35">
      <c r="A5" s="49">
        <f>'New Vestas G30 85L'!W10</f>
        <v>47692347.193818092</v>
      </c>
      <c r="B5" s="48">
        <f>'New Vestas G30 85L'!T10</f>
        <v>115.98644228767971</v>
      </c>
      <c r="C5" s="50">
        <f t="shared" si="0"/>
        <v>7.6784486968989194</v>
      </c>
      <c r="D5" s="50">
        <f t="shared" si="0"/>
        <v>2.0644072272979317</v>
      </c>
      <c r="E5" s="51">
        <f t="shared" si="6"/>
        <v>58.958574390908716</v>
      </c>
      <c r="F5" s="51">
        <f t="shared" si="6"/>
        <v>4.2617772001199343</v>
      </c>
      <c r="G5" s="52">
        <f t="shared" si="7"/>
        <v>15.851444984314515</v>
      </c>
      <c r="H5" s="59" t="s">
        <v>60</v>
      </c>
      <c r="I5" s="58">
        <f>SUM(E:E)</f>
        <v>2315.9299149645367</v>
      </c>
      <c r="J5" s="51">
        <f t="shared" si="1"/>
        <v>8.176672574898193</v>
      </c>
      <c r="K5" s="51">
        <f t="shared" si="2"/>
        <v>2.0086629668230547</v>
      </c>
      <c r="L5" s="55">
        <f t="shared" si="3"/>
        <v>1.3052286948227446E-2</v>
      </c>
      <c r="M5" s="51">
        <f t="shared" si="4"/>
        <v>1.9956106798748272</v>
      </c>
      <c r="N5" s="94">
        <f t="shared" si="8"/>
        <v>150200913.81349865</v>
      </c>
      <c r="O5" s="56">
        <f t="shared" si="9"/>
        <v>102.01474934539763</v>
      </c>
      <c r="P5" s="57">
        <f t="shared" si="5"/>
        <v>98.99441188144354</v>
      </c>
      <c r="R5" s="47"/>
      <c r="S5" s="47"/>
      <c r="T5" s="47"/>
    </row>
    <row r="6" spans="1:20" ht="12.75" customHeight="1" x14ac:dyDescent="0.35">
      <c r="A6" s="49">
        <f>'New Vestas G30 85L'!W11</f>
        <v>61117683.009050615</v>
      </c>
      <c r="B6" s="48">
        <f>'New Vestas G30 85L'!T11</f>
        <v>113.70955275598949</v>
      </c>
      <c r="C6" s="50">
        <f t="shared" si="0"/>
        <v>7.7861668816367198</v>
      </c>
      <c r="D6" s="50">
        <f t="shared" si="0"/>
        <v>2.0557969513626819</v>
      </c>
      <c r="E6" s="51">
        <f t="shared" si="6"/>
        <v>60.624394708696478</v>
      </c>
      <c r="F6" s="51">
        <f t="shared" si="6"/>
        <v>4.2263011052320971</v>
      </c>
      <c r="G6" s="52">
        <f t="shared" si="7"/>
        <v>16.006778138069848</v>
      </c>
      <c r="H6" s="59" t="s">
        <v>61</v>
      </c>
      <c r="I6" s="58">
        <f>SUM(F:F)</f>
        <v>178.77438798716196</v>
      </c>
      <c r="J6" s="51">
        <f t="shared" si="1"/>
        <v>8.1723310161585676</v>
      </c>
      <c r="K6" s="51">
        <f t="shared" si="2"/>
        <v>2.0091770999557563</v>
      </c>
      <c r="L6" s="55">
        <f t="shared" si="3"/>
        <v>1.2983484524453089E-2</v>
      </c>
      <c r="M6" s="51">
        <f t="shared" si="4"/>
        <v>1.9961936154313031</v>
      </c>
      <c r="N6" s="94">
        <f t="shared" si="8"/>
        <v>148706864.35700962</v>
      </c>
      <c r="O6" s="56">
        <f t="shared" si="9"/>
        <v>102.13558951880273</v>
      </c>
      <c r="P6" s="57">
        <f t="shared" si="5"/>
        <v>99.127377211245573</v>
      </c>
      <c r="R6" s="47"/>
      <c r="S6" s="47"/>
      <c r="T6" s="47"/>
    </row>
    <row r="7" spans="1:20" ht="12.75" customHeight="1" x14ac:dyDescent="0.35">
      <c r="A7" s="49">
        <f>'New Vestas G30 85L'!W12</f>
        <v>62849423.713265508</v>
      </c>
      <c r="B7" s="48">
        <f>'New Vestas G30 85L'!T12</f>
        <v>110.78554725213468</v>
      </c>
      <c r="C7" s="50">
        <f t="shared" si="0"/>
        <v>7.7983012998533807</v>
      </c>
      <c r="D7" s="50">
        <f t="shared" si="0"/>
        <v>2.0444831073414065</v>
      </c>
      <c r="E7" s="51">
        <f t="shared" si="6"/>
        <v>60.813503163294925</v>
      </c>
      <c r="F7" s="51">
        <f t="shared" si="6"/>
        <v>4.1799111762043726</v>
      </c>
      <c r="G7" s="52">
        <f t="shared" si="7"/>
        <v>15.94349527350877</v>
      </c>
      <c r="H7" s="59" t="s">
        <v>62</v>
      </c>
      <c r="I7" s="58">
        <f>SUM(G:G)</f>
        <v>642.23500864195853</v>
      </c>
      <c r="J7" s="51">
        <f t="shared" si="1"/>
        <v>8.1679456170554108</v>
      </c>
      <c r="K7" s="51">
        <f t="shared" si="2"/>
        <v>2.0096964247223372</v>
      </c>
      <c r="L7" s="55">
        <f t="shared" si="3"/>
        <v>1.2914074425285436E-2</v>
      </c>
      <c r="M7" s="51">
        <f t="shared" si="4"/>
        <v>1.9967823502970519</v>
      </c>
      <c r="N7" s="94">
        <f t="shared" si="8"/>
        <v>147212814.90052009</v>
      </c>
      <c r="O7" s="56">
        <f t="shared" si="9"/>
        <v>102.25779523243861</v>
      </c>
      <c r="P7" s="57">
        <f t="shared" si="5"/>
        <v>99.261846609352602</v>
      </c>
      <c r="R7" s="47"/>
      <c r="S7" s="47"/>
      <c r="T7" s="47"/>
    </row>
    <row r="8" spans="1:20" ht="12.75" customHeight="1" x14ac:dyDescent="0.35">
      <c r="A8" s="49">
        <f>'New Vestas G30 85L'!W13</f>
        <v>67274619.992483333</v>
      </c>
      <c r="B8" s="48">
        <f>'New Vestas G30 85L'!T13</f>
        <v>110.45000563693822</v>
      </c>
      <c r="C8" s="50">
        <f t="shared" si="0"/>
        <v>7.8278512532862763</v>
      </c>
      <c r="D8" s="50">
        <f t="shared" si="0"/>
        <v>2.0431657423721536</v>
      </c>
      <c r="E8" s="51">
        <f t="shared" si="6"/>
        <v>61.275255243575529</v>
      </c>
      <c r="F8" s="51">
        <f t="shared" si="6"/>
        <v>4.1745262508031535</v>
      </c>
      <c r="G8" s="52">
        <f t="shared" si="7"/>
        <v>15.993597517099449</v>
      </c>
      <c r="H8" s="53" t="s">
        <v>63</v>
      </c>
      <c r="I8" s="58">
        <f>+I5-I3^2/$I$2</f>
        <v>4.2514366053219419</v>
      </c>
      <c r="J8" s="51">
        <f t="shared" si="1"/>
        <v>8.1635154831633709</v>
      </c>
      <c r="K8" s="51">
        <f t="shared" si="2"/>
        <v>2.0102210470418314</v>
      </c>
      <c r="L8" s="55">
        <f t="shared" si="3"/>
        <v>1.2844046586574299E-2</v>
      </c>
      <c r="M8" s="51">
        <f t="shared" si="4"/>
        <v>1.9973770004552571</v>
      </c>
      <c r="N8" s="94">
        <f t="shared" si="8"/>
        <v>145718765.44403112</v>
      </c>
      <c r="O8" s="56">
        <f t="shared" si="9"/>
        <v>102.3813960132328</v>
      </c>
      <c r="P8" s="57">
        <f t="shared" si="5"/>
        <v>99.397852255089475</v>
      </c>
      <c r="R8" s="47"/>
      <c r="S8" s="47"/>
      <c r="T8" s="47"/>
    </row>
    <row r="9" spans="1:20" ht="12.75" customHeight="1" x14ac:dyDescent="0.35">
      <c r="A9" s="49">
        <f>'New Vestas G30 85L'!W14</f>
        <v>85876583.658990681</v>
      </c>
      <c r="B9" s="48">
        <f>'New Vestas G30 85L'!T14</f>
        <v>107.11855674320198</v>
      </c>
      <c r="C9" s="50">
        <f t="shared" si="0"/>
        <v>7.9338747590110614</v>
      </c>
      <c r="D9" s="50">
        <f t="shared" si="0"/>
        <v>2.0298647125972509</v>
      </c>
      <c r="E9" s="51">
        <f t="shared" si="6"/>
        <v>62.946368691672831</v>
      </c>
      <c r="F9" s="51">
        <f t="shared" si="6"/>
        <v>4.1203507514475195</v>
      </c>
      <c r="G9" s="52">
        <f t="shared" si="7"/>
        <v>16.10469240748257</v>
      </c>
      <c r="H9" s="59" t="s">
        <v>64</v>
      </c>
      <c r="I9" s="58">
        <f>+I6-I4^2/$I$2</f>
        <v>6.7554876927971463E-2</v>
      </c>
      <c r="J9" s="51">
        <f t="shared" si="1"/>
        <v>8.1590396924028266</v>
      </c>
      <c r="K9" s="51">
        <f t="shared" si="2"/>
        <v>2.0107510761081282</v>
      </c>
      <c r="L9" s="55">
        <f t="shared" si="3"/>
        <v>1.2773390726831231E-2</v>
      </c>
      <c r="M9" s="51">
        <f t="shared" si="4"/>
        <v>1.9979776853812969</v>
      </c>
      <c r="N9" s="94">
        <f t="shared" si="8"/>
        <v>144224715.98754144</v>
      </c>
      <c r="O9" s="56">
        <f t="shared" si="9"/>
        <v>102.50642233765318</v>
      </c>
      <c r="P9" s="57">
        <f t="shared" si="5"/>
        <v>99.535427343274549</v>
      </c>
      <c r="R9" s="47"/>
      <c r="S9" s="47"/>
      <c r="T9" s="47"/>
    </row>
    <row r="10" spans="1:20" ht="12.75" customHeight="1" x14ac:dyDescent="0.35">
      <c r="A10" s="49">
        <f>'New Vestas G30 85L'!W15</f>
        <v>24161477.4124493</v>
      </c>
      <c r="B10" s="48">
        <f>'New Vestas G30 85L'!T15</f>
        <v>123.83285370717226</v>
      </c>
      <c r="C10" s="50">
        <f t="shared" si="0"/>
        <v>7.3831234867560784</v>
      </c>
      <c r="D10" s="50">
        <f t="shared" si="0"/>
        <v>2.0928358812821926</v>
      </c>
      <c r="E10" s="51">
        <f t="shared" si="6"/>
        <v>54.510512420689231</v>
      </c>
      <c r="F10" s="51">
        <f t="shared" si="6"/>
        <v>4.3799620259822118</v>
      </c>
      <c r="G10" s="52">
        <f t="shared" si="7"/>
        <v>15.451665749020412</v>
      </c>
      <c r="H10" s="59" t="s">
        <v>65</v>
      </c>
      <c r="I10" s="58">
        <f>+I7-I3*I4/$I$2</f>
        <v>-0.50346075026629933</v>
      </c>
      <c r="J10" s="51">
        <f t="shared" si="1"/>
        <v>8.1545172938879773</v>
      </c>
      <c r="K10" s="51">
        <f t="shared" si="2"/>
        <v>2.0112866245263827</v>
      </c>
      <c r="L10" s="55">
        <f t="shared" si="3"/>
        <v>1.270209634316509E-2</v>
      </c>
      <c r="M10" s="51">
        <f t="shared" si="4"/>
        <v>1.9985845281832177</v>
      </c>
      <c r="N10" s="94">
        <f t="shared" si="8"/>
        <v>142730666.53105259</v>
      </c>
      <c r="O10" s="56">
        <f t="shared" si="9"/>
        <v>102.63290567245673</v>
      </c>
      <c r="P10" s="57">
        <f t="shared" si="5"/>
        <v>99.674606126622805</v>
      </c>
      <c r="R10" s="47"/>
      <c r="S10" s="47"/>
      <c r="T10" s="47"/>
    </row>
    <row r="11" spans="1:20" ht="12.75" customHeight="1" x14ac:dyDescent="0.35">
      <c r="A11" s="49">
        <f>'New Vestas G30 85L'!W16</f>
        <v>29069358.788639963</v>
      </c>
      <c r="B11" s="48">
        <f>'New Vestas G30 85L'!T16</f>
        <v>121.48897208098484</v>
      </c>
      <c r="C11" s="50">
        <f t="shared" si="0"/>
        <v>7.4634354522167072</v>
      </c>
      <c r="D11" s="50">
        <f t="shared" si="0"/>
        <v>2.0845368575084784</v>
      </c>
      <c r="E11" s="51">
        <f t="shared" si="6"/>
        <v>55.702868749405205</v>
      </c>
      <c r="F11" s="51">
        <f t="shared" si="6"/>
        <v>4.3452939103113222</v>
      </c>
      <c r="G11" s="52">
        <f t="shared" si="7"/>
        <v>15.557806283781185</v>
      </c>
      <c r="H11" s="59" t="s">
        <v>66</v>
      </c>
      <c r="I11" s="58">
        <f>+I3/$I$2</f>
        <v>7.5088216060311597</v>
      </c>
      <c r="J11" s="51">
        <f t="shared" si="1"/>
        <v>8.1499473067143047</v>
      </c>
      <c r="K11" s="51">
        <f t="shared" si="2"/>
        <v>2.0118278084566064</v>
      </c>
      <c r="L11" s="55">
        <f t="shared" si="3"/>
        <v>1.2630152707332068E-2</v>
      </c>
      <c r="M11" s="51">
        <f t="shared" si="4"/>
        <v>1.9991976557492743</v>
      </c>
      <c r="N11" s="94">
        <f t="shared" si="8"/>
        <v>141236617.07456332</v>
      </c>
      <c r="O11" s="56">
        <f t="shared" si="9"/>
        <v>102.7608785176339</v>
      </c>
      <c r="P11" s="57">
        <f t="shared" si="5"/>
        <v>99.815423960352106</v>
      </c>
      <c r="R11" s="47"/>
      <c r="S11" s="47"/>
      <c r="T11" s="47"/>
    </row>
    <row r="12" spans="1:20" ht="12.75" customHeight="1" x14ac:dyDescent="0.35">
      <c r="A12" s="49">
        <f>'New Vestas G30 85L'!W17</f>
        <v>41906223.153261527</v>
      </c>
      <c r="B12" s="48">
        <f>'New Vestas G30 85L'!T17</f>
        <v>115.31834494014291</v>
      </c>
      <c r="C12" s="50">
        <f t="shared" si="0"/>
        <v>7.6222785213060318</v>
      </c>
      <c r="D12" s="50">
        <f t="shared" si="0"/>
        <v>2.0618984007251786</v>
      </c>
      <c r="E12" s="51">
        <f t="shared" si="6"/>
        <v>58.09912985636327</v>
      </c>
      <c r="F12" s="51">
        <f t="shared" si="6"/>
        <v>4.2514250149130488</v>
      </c>
      <c r="G12" s="52">
        <f t="shared" si="7"/>
        <v>15.716363892962786</v>
      </c>
      <c r="H12" s="59" t="s">
        <v>67</v>
      </c>
      <c r="I12" s="58">
        <f>+I4/$I$2</f>
        <v>2.0877507625650802</v>
      </c>
      <c r="J12" s="51">
        <f t="shared" si="1"/>
        <v>8.1453287186815757</v>
      </c>
      <c r="K12" s="51">
        <f t="shared" si="2"/>
        <v>2.0123747477648903</v>
      </c>
      <c r="L12" s="55">
        <f t="shared" si="3"/>
        <v>1.2557548861933956E-2</v>
      </c>
      <c r="M12" s="51">
        <f t="shared" si="4"/>
        <v>1.9998171989029563</v>
      </c>
      <c r="N12" s="94">
        <f t="shared" si="8"/>
        <v>139742567.61807433</v>
      </c>
      <c r="O12" s="56">
        <f t="shared" si="9"/>
        <v>102.89037445169186</v>
      </c>
      <c r="P12" s="57">
        <f t="shared" si="5"/>
        <v>99.957917349128962</v>
      </c>
      <c r="R12" s="47"/>
      <c r="S12" s="47"/>
      <c r="T12" s="47"/>
    </row>
    <row r="13" spans="1:20" ht="12.75" customHeight="1" x14ac:dyDescent="0.35">
      <c r="A13" s="49">
        <f>'New Vestas G30 85L'!W18</f>
        <v>54161118.259237923</v>
      </c>
      <c r="B13" s="48">
        <f>'New Vestas G30 85L'!T18</f>
        <v>111.80252250868433</v>
      </c>
      <c r="C13" s="50">
        <f t="shared" si="0"/>
        <v>7.7336876226047595</v>
      </c>
      <c r="D13" s="50">
        <f t="shared" si="0"/>
        <v>2.0484516022914017</v>
      </c>
      <c r="E13" s="51">
        <f t="shared" si="6"/>
        <v>59.809924244030057</v>
      </c>
      <c r="F13" s="51">
        <f t="shared" si="6"/>
        <v>4.1961539669302113</v>
      </c>
      <c r="G13" s="52">
        <f t="shared" si="7"/>
        <v>15.8420848021459</v>
      </c>
      <c r="H13" s="59" t="s">
        <v>68</v>
      </c>
      <c r="I13" s="60">
        <f>+I10/I8</f>
        <v>-0.11842132366176363</v>
      </c>
      <c r="J13" s="51">
        <f t="shared" si="1"/>
        <v>8.1406604849481941</v>
      </c>
      <c r="K13" s="51">
        <f t="shared" si="2"/>
        <v>2.0129275661827601</v>
      </c>
      <c r="L13" s="55">
        <f t="shared" si="3"/>
        <v>1.2484273616801968E-2</v>
      </c>
      <c r="M13" s="51">
        <f t="shared" si="4"/>
        <v>2.0004432925659583</v>
      </c>
      <c r="N13" s="94">
        <f t="shared" si="8"/>
        <v>138248518.16158494</v>
      </c>
      <c r="O13" s="56">
        <f t="shared" si="9"/>
        <v>103.02142817943236</v>
      </c>
      <c r="P13" s="57">
        <f t="shared" si="5"/>
        <v>100.10212399649879</v>
      </c>
      <c r="R13" s="47"/>
      <c r="S13" s="47"/>
      <c r="T13" s="47"/>
    </row>
    <row r="14" spans="1:20" ht="12.75" customHeight="1" x14ac:dyDescent="0.35">
      <c r="A14" s="49">
        <f>'New Vestas G30 85L'!W19</f>
        <v>53774805.874960035</v>
      </c>
      <c r="B14" s="48">
        <f>'New Vestas G30 85L'!T19</f>
        <v>106.66033323073361</v>
      </c>
      <c r="C14" s="50">
        <f t="shared" si="0"/>
        <v>7.7305788512754772</v>
      </c>
      <c r="D14" s="50">
        <f t="shared" si="0"/>
        <v>2.0280029361820606</v>
      </c>
      <c r="E14" s="51">
        <f t="shared" si="6"/>
        <v>59.761849375787676</v>
      </c>
      <c r="F14" s="51">
        <f t="shared" si="6"/>
        <v>4.1127959091630588</v>
      </c>
      <c r="G14" s="52">
        <f t="shared" si="7"/>
        <v>15.677636608773609</v>
      </c>
      <c r="H14" s="59" t="s">
        <v>69</v>
      </c>
      <c r="I14" s="60">
        <f>+I12-I13*I11</f>
        <v>2.9769553562913398</v>
      </c>
      <c r="J14" s="51">
        <f t="shared" si="1"/>
        <v>8.1359415266124557</v>
      </c>
      <c r="K14" s="51">
        <f t="shared" si="2"/>
        <v>2.0134863914751828</v>
      </c>
      <c r="L14" s="55">
        <f t="shared" si="3"/>
        <v>1.2410315545610062E-2</v>
      </c>
      <c r="M14" s="51">
        <f t="shared" si="4"/>
        <v>2.0010760759295727</v>
      </c>
      <c r="N14" s="94">
        <f t="shared" si="8"/>
        <v>136754468.70509619</v>
      </c>
      <c r="O14" s="56">
        <f t="shared" si="9"/>
        <v>103.15407558238594</v>
      </c>
      <c r="P14" s="57">
        <f t="shared" si="5"/>
        <v>100.24808285695825</v>
      </c>
      <c r="R14" s="47"/>
      <c r="S14" s="47"/>
      <c r="T14" s="47"/>
    </row>
    <row r="15" spans="1:20" ht="12.75" customHeight="1" thickBot="1" x14ac:dyDescent="0.4">
      <c r="A15" s="49">
        <f>'New Vestas G30 85L'!W20</f>
        <v>86754746.444520593</v>
      </c>
      <c r="B15" s="48">
        <f>'New Vestas G30 85L'!T20</f>
        <v>107.66485392543608</v>
      </c>
      <c r="C15" s="50">
        <f t="shared" si="0"/>
        <v>7.9382932448262942</v>
      </c>
      <c r="D15" s="50">
        <f t="shared" si="0"/>
        <v>2.0320739555048672</v>
      </c>
      <c r="E15" s="51">
        <f t="shared" si="6"/>
        <v>63.016499640854775</v>
      </c>
      <c r="F15" s="51">
        <f t="shared" si="6"/>
        <v>4.129324560641197</v>
      </c>
      <c r="G15" s="52">
        <f t="shared" si="7"/>
        <v>16.131198953971737</v>
      </c>
      <c r="H15" s="61" t="s">
        <v>70</v>
      </c>
      <c r="I15" s="62">
        <f>+I10^2/(I8*I9)</f>
        <v>0.88254899082783456</v>
      </c>
      <c r="J15" s="51">
        <f t="shared" si="1"/>
        <v>8.1311707292158513</v>
      </c>
      <c r="K15" s="51">
        <f t="shared" si="2"/>
        <v>2.014051355617811</v>
      </c>
      <c r="L15" s="55">
        <f t="shared" si="3"/>
        <v>1.233566298276683E-2</v>
      </c>
      <c r="M15" s="51">
        <f t="shared" si="4"/>
        <v>2.0017156926350443</v>
      </c>
      <c r="N15" s="94">
        <f t="shared" si="8"/>
        <v>135260419.24860647</v>
      </c>
      <c r="O15" s="56">
        <f t="shared" si="9"/>
        <v>103.28835377208721</v>
      </c>
      <c r="P15" s="57">
        <f t="shared" si="5"/>
        <v>100.39583419084057</v>
      </c>
      <c r="R15" s="47"/>
      <c r="S15" s="47"/>
      <c r="T15" s="47"/>
    </row>
    <row r="16" spans="1:20" ht="12.75" customHeight="1" x14ac:dyDescent="0.35">
      <c r="A16" s="49">
        <f>'New Vestas G30 85L'!W21</f>
        <v>25035837.301246908</v>
      </c>
      <c r="B16" s="48">
        <f>'New Vestas G30 85L'!T21</f>
        <v>126.05358399617073</v>
      </c>
      <c r="C16" s="50">
        <f t="shared" si="0"/>
        <v>7.3985621205693768</v>
      </c>
      <c r="D16" s="50">
        <f t="shared" si="0"/>
        <v>2.1005551981888417</v>
      </c>
      <c r="E16" s="51">
        <f t="shared" si="6"/>
        <v>54.738721451924036</v>
      </c>
      <c r="F16" s="51">
        <f t="shared" si="6"/>
        <v>4.4123321406381644</v>
      </c>
      <c r="G16" s="52">
        <f t="shared" si="7"/>
        <v>15.541088121485064</v>
      </c>
      <c r="H16" s="63" t="s">
        <v>71</v>
      </c>
      <c r="I16" s="64"/>
      <c r="J16" s="51">
        <f t="shared" si="1"/>
        <v>8.1263469411632787</v>
      </c>
      <c r="K16" s="51">
        <f t="shared" si="2"/>
        <v>2.0146225949840604</v>
      </c>
      <c r="L16" s="55">
        <f t="shared" si="3"/>
        <v>1.2260304020643615E-2</v>
      </c>
      <c r="M16" s="51">
        <f t="shared" si="4"/>
        <v>2.0023622909634167</v>
      </c>
      <c r="N16" s="94">
        <f t="shared" si="8"/>
        <v>133766369.79211754</v>
      </c>
      <c r="O16" s="56">
        <f t="shared" si="9"/>
        <v>103.4243011463774</v>
      </c>
      <c r="P16" s="57">
        <f t="shared" si="5"/>
        <v>100.54541962218941</v>
      </c>
      <c r="R16" s="47"/>
      <c r="S16" s="47"/>
      <c r="T16" s="47"/>
    </row>
    <row r="17" spans="1:20" ht="12.75" customHeight="1" x14ac:dyDescent="0.35">
      <c r="A17" s="49">
        <f>'New Vestas G30 85L'!W22</f>
        <v>29478149.249495689</v>
      </c>
      <c r="B17" s="48">
        <f>'New Vestas G30 85L'!T22</f>
        <v>122.3402146342103</v>
      </c>
      <c r="C17" s="50">
        <f t="shared" si="0"/>
        <v>7.4695002133809494</v>
      </c>
      <c r="D17" s="50">
        <f t="shared" si="0"/>
        <v>2.0875692380905999</v>
      </c>
      <c r="E17" s="51">
        <f t="shared" si="6"/>
        <v>55.793433437698049</v>
      </c>
      <c r="F17" s="51">
        <f t="shared" si="6"/>
        <v>4.3579453238221681</v>
      </c>
      <c r="G17" s="52">
        <f t="shared" si="7"/>
        <v>15.593098869365242</v>
      </c>
      <c r="H17" s="53" t="s">
        <v>72</v>
      </c>
      <c r="I17" s="65">
        <f>(+I9-(+I10^2/I8))/($I$2-2)</f>
        <v>2.034458581972228E-4</v>
      </c>
      <c r="J17" s="51">
        <f t="shared" si="1"/>
        <v>8.1214689720544957</v>
      </c>
      <c r="K17" s="51">
        <f t="shared" si="2"/>
        <v>2.0152002505427036</v>
      </c>
      <c r="L17" s="55">
        <f t="shared" si="3"/>
        <v>1.2184226507202639E-2</v>
      </c>
      <c r="M17" s="51">
        <f t="shared" si="4"/>
        <v>2.0030160240355008</v>
      </c>
      <c r="N17" s="94">
        <f t="shared" si="8"/>
        <v>132272320.33562842</v>
      </c>
      <c r="O17" s="56">
        <f t="shared" si="9"/>
        <v>103.56195744894953</v>
      </c>
      <c r="P17" s="57">
        <f t="shared" si="5"/>
        <v>100.69688219982311</v>
      </c>
      <c r="R17" s="47"/>
      <c r="S17" s="47"/>
      <c r="T17" s="47"/>
    </row>
    <row r="18" spans="1:20" ht="12.75" customHeight="1" x14ac:dyDescent="0.35">
      <c r="A18" s="49">
        <f>'New Vestas G30 85L'!W23</f>
        <v>34849281.642519154</v>
      </c>
      <c r="B18" s="48">
        <f>'New Vestas G30 85L'!T23</f>
        <v>121.42984020955707</v>
      </c>
      <c r="C18" s="50">
        <f t="shared" si="0"/>
        <v>7.5421938302990101</v>
      </c>
      <c r="D18" s="50">
        <f t="shared" si="0"/>
        <v>2.0843254235258177</v>
      </c>
      <c r="E18" s="51">
        <f t="shared" si="6"/>
        <v>56.884687773800451</v>
      </c>
      <c r="F18" s="51">
        <f t="shared" si="6"/>
        <v>4.3444124711560796</v>
      </c>
      <c r="G18" s="52">
        <f t="shared" si="7"/>
        <v>15.720386349651793</v>
      </c>
      <c r="H18" s="66" t="s">
        <v>53</v>
      </c>
      <c r="I18" s="67">
        <v>0.95</v>
      </c>
      <c r="J18" s="51">
        <f t="shared" si="1"/>
        <v>8.1165355909208206</v>
      </c>
      <c r="K18" s="51">
        <f t="shared" si="2"/>
        <v>2.0157844680666814</v>
      </c>
      <c r="L18" s="55">
        <f t="shared" si="3"/>
        <v>1.2107418044100137E-2</v>
      </c>
      <c r="M18" s="51">
        <f t="shared" si="4"/>
        <v>2.0036770500225813</v>
      </c>
      <c r="N18" s="94">
        <f t="shared" si="8"/>
        <v>130778270.87913927</v>
      </c>
      <c r="O18" s="56">
        <f t="shared" si="9"/>
        <v>103.7013638323555</v>
      </c>
      <c r="P18" s="57">
        <f t="shared" si="5"/>
        <v>100.85026646179071</v>
      </c>
      <c r="R18" s="47"/>
      <c r="S18" s="47"/>
      <c r="T18" s="47"/>
    </row>
    <row r="19" spans="1:20" ht="12.75" customHeight="1" x14ac:dyDescent="0.35">
      <c r="A19" s="49">
        <f>'New Vestas G30 85L'!W24</f>
        <v>45535343.92474518</v>
      </c>
      <c r="B19" s="48">
        <f>'New Vestas G30 85L'!T24</f>
        <v>120.2080219034444</v>
      </c>
      <c r="C19" s="50">
        <f t="shared" si="0"/>
        <v>7.6583486211151115</v>
      </c>
      <c r="D19" s="50">
        <f t="shared" si="0"/>
        <v>2.079933450629718</v>
      </c>
      <c r="E19" s="51">
        <f t="shared" si="6"/>
        <v>58.650303602535729</v>
      </c>
      <c r="F19" s="51">
        <f t="shared" si="6"/>
        <v>4.3261231590484455</v>
      </c>
      <c r="G19" s="52">
        <f t="shared" si="7"/>
        <v>15.928855473641297</v>
      </c>
      <c r="H19" s="53" t="s">
        <v>73</v>
      </c>
      <c r="I19" s="68">
        <f>_xlfn.T.INV(1-(1-I18)/2,I2-2)</f>
        <v>2.0226909200367595</v>
      </c>
      <c r="J19" s="51">
        <f t="shared" si="1"/>
        <v>8.1115455243605155</v>
      </c>
      <c r="K19" s="51">
        <f t="shared" si="2"/>
        <v>2.016375398353913</v>
      </c>
      <c r="L19" s="55">
        <f t="shared" si="3"/>
        <v>1.2029865985348531E-2</v>
      </c>
      <c r="M19" s="51">
        <f t="shared" si="4"/>
        <v>2.0043455323685646</v>
      </c>
      <c r="N19" s="94">
        <f t="shared" si="8"/>
        <v>129284221.42265035</v>
      </c>
      <c r="O19" s="56">
        <f t="shared" si="9"/>
        <v>103.84256292472264</v>
      </c>
      <c r="P19" s="57">
        <f t="shared" si="5"/>
        <v>101.00561850345036</v>
      </c>
      <c r="R19" s="47"/>
      <c r="S19" s="47"/>
      <c r="T19" s="47"/>
    </row>
    <row r="20" spans="1:20" ht="12.75" customHeight="1" x14ac:dyDescent="0.35">
      <c r="A20" s="49">
        <f>'New Vestas G30 85L'!W25</f>
        <v>56398557.382573754</v>
      </c>
      <c r="B20" s="48">
        <f>'New Vestas G30 85L'!T25</f>
        <v>119.65700580491604</v>
      </c>
      <c r="C20" s="50">
        <f t="shared" si="0"/>
        <v>7.7512679953166659</v>
      </c>
      <c r="D20" s="50">
        <f t="shared" si="0"/>
        <v>2.0779381312264675</v>
      </c>
      <c r="E20" s="51">
        <f t="shared" si="6"/>
        <v>60.082155535220444</v>
      </c>
      <c r="F20" s="51">
        <f t="shared" si="6"/>
        <v>4.3178268772049444</v>
      </c>
      <c r="G20" s="52">
        <f t="shared" si="7"/>
        <v>16.106655332823841</v>
      </c>
      <c r="H20" s="53" t="s">
        <v>74</v>
      </c>
      <c r="I20" s="68">
        <f>_xlfn.F.INV(I18,2,I2-2)</f>
        <v>3.2380961351592941</v>
      </c>
      <c r="J20" s="51">
        <f t="shared" si="1"/>
        <v>8.1064974545658011</v>
      </c>
      <c r="K20" s="51">
        <f t="shared" si="2"/>
        <v>2.0169731974609402</v>
      </c>
      <c r="L20" s="55">
        <f t="shared" si="3"/>
        <v>1.1951557436634428E-2</v>
      </c>
      <c r="M20" s="51">
        <f t="shared" si="4"/>
        <v>2.0050216400243057</v>
      </c>
      <c r="N20" s="94">
        <f t="shared" si="8"/>
        <v>127790171.96616095</v>
      </c>
      <c r="O20" s="56">
        <f t="shared" si="9"/>
        <v>103.98559890044268</v>
      </c>
      <c r="P20" s="57">
        <f t="shared" si="5"/>
        <v>101.16298604941046</v>
      </c>
      <c r="R20" s="47"/>
      <c r="S20" s="47"/>
      <c r="T20" s="47"/>
    </row>
    <row r="21" spans="1:20" ht="12.75" customHeight="1" x14ac:dyDescent="0.35">
      <c r="A21" s="49">
        <f>'New Vestas G30 85L'!W26</f>
        <v>61517824.911866777</v>
      </c>
      <c r="B21" s="48">
        <f>'New Vestas G30 85L'!T26</f>
        <v>119.15390415001005</v>
      </c>
      <c r="C21" s="50">
        <f t="shared" si="0"/>
        <v>7.7890009716979041</v>
      </c>
      <c r="D21" s="50">
        <f t="shared" si="0"/>
        <v>2.0761082768379739</v>
      </c>
      <c r="E21" s="51">
        <f t="shared" si="6"/>
        <v>60.668536137110891</v>
      </c>
      <c r="F21" s="51">
        <f t="shared" si="6"/>
        <v>4.3102255771551414</v>
      </c>
      <c r="G21" s="52">
        <f t="shared" si="7"/>
        <v>16.170809385641039</v>
      </c>
      <c r="H21" s="53" t="s">
        <v>75</v>
      </c>
      <c r="I21" s="68">
        <f>I19*SQRT(I17)*(($I$8)^(-1/2))</f>
        <v>1.399220300746707E-2</v>
      </c>
      <c r="J21" s="51">
        <f t="shared" si="1"/>
        <v>8.1013900172338467</v>
      </c>
      <c r="K21" s="51">
        <f t="shared" si="2"/>
        <v>2.0175780269503099</v>
      </c>
      <c r="L21" s="55">
        <f t="shared" si="3"/>
        <v>1.1872479255402588E-2</v>
      </c>
      <c r="M21" s="51">
        <f t="shared" si="4"/>
        <v>2.0057055476949071</v>
      </c>
      <c r="N21" s="94">
        <f t="shared" si="8"/>
        <v>126296122.50967154</v>
      </c>
      <c r="O21" s="56">
        <f t="shared" si="9"/>
        <v>104.13051755511789</v>
      </c>
      <c r="P21" s="57">
        <f t="shared" si="5"/>
        <v>101.3224185295927</v>
      </c>
      <c r="R21" s="47"/>
      <c r="S21" s="47"/>
      <c r="T21" s="47"/>
    </row>
    <row r="22" spans="1:20" ht="12.75" customHeight="1" thickBot="1" x14ac:dyDescent="0.4">
      <c r="A22" s="49">
        <f>'New Vestas G30 85L'!W27</f>
        <v>64730039.120014131</v>
      </c>
      <c r="B22" s="48">
        <f>'New Vestas G30 85L'!T27</f>
        <v>117.02171141820115</v>
      </c>
      <c r="C22" s="50">
        <f t="shared" si="0"/>
        <v>7.8111058694866644</v>
      </c>
      <c r="D22" s="50">
        <f t="shared" si="0"/>
        <v>2.0682664452876542</v>
      </c>
      <c r="E22" s="51">
        <f t="shared" si="6"/>
        <v>61.013374904329019</v>
      </c>
      <c r="F22" s="51">
        <f t="shared" si="6"/>
        <v>4.2777260887028294</v>
      </c>
      <c r="G22" s="52">
        <f t="shared" si="7"/>
        <v>16.155448170448715</v>
      </c>
      <c r="H22" s="61" t="s">
        <v>76</v>
      </c>
      <c r="I22" s="69">
        <f>I19*SQRT(I17)*(1/I2+I11^2/I8)^(1/2)</f>
        <v>0.10516152501172814</v>
      </c>
      <c r="J22" s="51">
        <f t="shared" si="1"/>
        <v>8.096221799353458</v>
      </c>
      <c r="K22" s="51">
        <f t="shared" si="2"/>
        <v>2.0181900541526776</v>
      </c>
      <c r="L22" s="55">
        <f t="shared" si="3"/>
        <v>1.1792618051831709E-2</v>
      </c>
      <c r="M22" s="51">
        <f t="shared" si="4"/>
        <v>2.0063974361008459</v>
      </c>
      <c r="N22" s="94">
        <f t="shared" si="8"/>
        <v>124802073.05318214</v>
      </c>
      <c r="O22" s="56">
        <f t="shared" si="9"/>
        <v>104.27736638507646</v>
      </c>
      <c r="P22" s="57">
        <f t="shared" si="5"/>
        <v>101.48396715970134</v>
      </c>
      <c r="R22" s="47"/>
      <c r="S22" s="47"/>
      <c r="T22" s="47"/>
    </row>
    <row r="23" spans="1:20" ht="12.75" customHeight="1" x14ac:dyDescent="0.35">
      <c r="A23" s="49">
        <f>'New Vestas G30 85L'!W28</f>
        <v>68270327.081449658</v>
      </c>
      <c r="B23" s="48">
        <f>'New Vestas G30 85L'!T28</f>
        <v>115.46449200568877</v>
      </c>
      <c r="C23" s="50">
        <f t="shared" si="0"/>
        <v>7.8342319835507901</v>
      </c>
      <c r="D23" s="50">
        <f t="shared" si="0"/>
        <v>2.0624484491901112</v>
      </c>
      <c r="E23" s="51">
        <f t="shared" si="6"/>
        <v>61.37519077209015</v>
      </c>
      <c r="F23" s="51">
        <f t="shared" si="6"/>
        <v>4.2536936055666947</v>
      </c>
      <c r="G23" s="52">
        <f t="shared" si="7"/>
        <v>16.157699605069894</v>
      </c>
      <c r="H23" s="63" t="s">
        <v>77</v>
      </c>
      <c r="I23" s="70"/>
      <c r="J23" s="51">
        <f t="shared" si="1"/>
        <v>8.0909913368584689</v>
      </c>
      <c r="K23" s="51">
        <f t="shared" si="2"/>
        <v>2.0188094524446973</v>
      </c>
      <c r="L23" s="55">
        <f t="shared" si="3"/>
        <v>1.1711960190845593E-2</v>
      </c>
      <c r="M23" s="51">
        <f t="shared" si="4"/>
        <v>2.0070974922538518</v>
      </c>
      <c r="N23" s="94">
        <f t="shared" si="8"/>
        <v>123308023.59669319</v>
      </c>
      <c r="O23" s="56">
        <f t="shared" si="9"/>
        <v>104.4261946717935</v>
      </c>
      <c r="P23" s="57">
        <f t="shared" si="5"/>
        <v>101.64768502639946</v>
      </c>
      <c r="R23" s="47"/>
      <c r="S23" s="47"/>
      <c r="T23" s="47"/>
    </row>
    <row r="24" spans="1:20" ht="12.75" customHeight="1" x14ac:dyDescent="0.35">
      <c r="A24" s="49">
        <f>'New Vestas G30 85L'!W29</f>
        <v>87323875.30227685</v>
      </c>
      <c r="B24" s="48">
        <f>'New Vestas G30 85L'!T29</f>
        <v>114.19475925699673</v>
      </c>
      <c r="C24" s="50">
        <f t="shared" si="0"/>
        <v>7.941133000800833</v>
      </c>
      <c r="D24" s="50">
        <f t="shared" si="0"/>
        <v>2.0576461732794136</v>
      </c>
      <c r="E24" s="51">
        <f t="shared" si="6"/>
        <v>63.061593336408045</v>
      </c>
      <c r="F24" s="51">
        <f t="shared" si="6"/>
        <v>4.2339077744114144</v>
      </c>
      <c r="G24" s="52">
        <f t="shared" si="7"/>
        <v>16.340041930600702</v>
      </c>
      <c r="H24" s="66" t="s">
        <v>78</v>
      </c>
      <c r="I24" s="71">
        <f>10^(MAX(C:C))</f>
        <v>154683062.18296567</v>
      </c>
      <c r="J24" s="51">
        <f t="shared" si="1"/>
        <v>8.0856971121381047</v>
      </c>
      <c r="K24" s="51">
        <f t="shared" si="2"/>
        <v>2.019436401543846</v>
      </c>
      <c r="L24" s="55">
        <f t="shared" si="3"/>
        <v>1.1630491795324025E-2</v>
      </c>
      <c r="M24" s="51">
        <f t="shared" si="4"/>
        <v>2.0078059097485221</v>
      </c>
      <c r="N24" s="94">
        <f t="shared" si="8"/>
        <v>121813974.14020431</v>
      </c>
      <c r="O24" s="56">
        <f t="shared" si="9"/>
        <v>104.57705357158297</v>
      </c>
      <c r="P24" s="57">
        <f t="shared" si="5"/>
        <v>101.81362717752089</v>
      </c>
      <c r="R24" s="47"/>
      <c r="S24" s="47"/>
      <c r="T24" s="47"/>
    </row>
    <row r="25" spans="1:20" ht="12.75" customHeight="1" thickBot="1" x14ac:dyDescent="0.4">
      <c r="A25" s="49">
        <f>'New Vestas G30 85L'!W30</f>
        <v>95925527.564071923</v>
      </c>
      <c r="B25" s="48">
        <f>'New Vestas G30 85L'!T30</f>
        <v>113.21251317212499</v>
      </c>
      <c r="C25" s="50">
        <f t="shared" si="0"/>
        <v>7.9819341963773676</v>
      </c>
      <c r="D25" s="50">
        <f t="shared" si="0"/>
        <v>2.0538944312804035</v>
      </c>
      <c r="E25" s="51">
        <f t="shared" si="6"/>
        <v>63.711273515298416</v>
      </c>
      <c r="F25" s="51">
        <f t="shared" si="6"/>
        <v>4.2184823348446523</v>
      </c>
      <c r="G25" s="52">
        <f t="shared" si="7"/>
        <v>16.394050196786097</v>
      </c>
      <c r="H25" s="72" t="s">
        <v>79</v>
      </c>
      <c r="I25" s="73">
        <f>10^(MIN(C:C))</f>
        <v>5278116.5340490276</v>
      </c>
      <c r="J25" s="51">
        <f t="shared" si="1"/>
        <v>8.0803375513937006</v>
      </c>
      <c r="K25" s="51">
        <f t="shared" si="2"/>
        <v>2.0200710878214441</v>
      </c>
      <c r="L25" s="55">
        <f t="shared" si="3"/>
        <v>1.1548198750700451E-2</v>
      </c>
      <c r="M25" s="51">
        <f t="shared" si="4"/>
        <v>2.0085228890707438</v>
      </c>
      <c r="N25" s="94">
        <f t="shared" si="8"/>
        <v>120319924.68371534</v>
      </c>
      <c r="O25" s="56">
        <f t="shared" si="9"/>
        <v>104.72999621095965</v>
      </c>
      <c r="P25" s="57">
        <f t="shared" si="5"/>
        <v>101.98185071767045</v>
      </c>
      <c r="R25" s="47"/>
      <c r="S25" s="47"/>
      <c r="T25" s="47"/>
    </row>
    <row r="26" spans="1:20" ht="12.75" customHeight="1" x14ac:dyDescent="0.35">
      <c r="A26" s="49">
        <f>'New Vestas G30 85L'!W31</f>
        <v>9640069.5369110331</v>
      </c>
      <c r="B26" s="48">
        <f>'New Vestas G30 85L'!T31</f>
        <v>142.93996264007947</v>
      </c>
      <c r="C26" s="50">
        <f t="shared" si="0"/>
        <v>6.9840801666194103</v>
      </c>
      <c r="D26" s="50">
        <f t="shared" si="0"/>
        <v>2.1551536642545184</v>
      </c>
      <c r="E26" s="51">
        <f t="shared" si="6"/>
        <v>48.777375773766607</v>
      </c>
      <c r="F26" s="51">
        <f t="shared" si="6"/>
        <v>4.6446873165496774</v>
      </c>
      <c r="G26" s="52">
        <f t="shared" si="7"/>
        <v>15.051765962537129</v>
      </c>
      <c r="H26" s="63" t="s">
        <v>80</v>
      </c>
      <c r="I26" s="70"/>
      <c r="J26" s="51">
        <f t="shared" si="1"/>
        <v>8.0749110218302906</v>
      </c>
      <c r="K26" s="51">
        <f t="shared" si="2"/>
        <v>2.0207137046352326</v>
      </c>
      <c r="L26" s="55">
        <f t="shared" si="3"/>
        <v>1.1465066711161188E-2</v>
      </c>
      <c r="M26" s="51">
        <f t="shared" si="4"/>
        <v>2.0092486379240713</v>
      </c>
      <c r="N26" s="94">
        <f t="shared" si="8"/>
        <v>118825875.22722596</v>
      </c>
      <c r="O26" s="56">
        <f t="shared" si="9"/>
        <v>104.88507778810518</v>
      </c>
      <c r="P26" s="57">
        <f t="shared" si="5"/>
        <v>102.15241490959616</v>
      </c>
      <c r="R26" s="47" t="s">
        <v>81</v>
      </c>
      <c r="S26" s="47"/>
      <c r="T26" s="47"/>
    </row>
    <row r="27" spans="1:20" ht="12.75" customHeight="1" x14ac:dyDescent="0.35">
      <c r="A27" s="49">
        <f>'New Vestas G30 85L'!W32</f>
        <v>12867582.253041573</v>
      </c>
      <c r="B27" s="48">
        <f>'New Vestas G30 85L'!T32</f>
        <v>134.83928095904344</v>
      </c>
      <c r="C27" s="50">
        <f t="shared" si="0"/>
        <v>7.1094969530580459</v>
      </c>
      <c r="D27" s="50">
        <f t="shared" si="0"/>
        <v>2.129816427945995</v>
      </c>
      <c r="E27" s="51">
        <f t="shared" si="6"/>
        <v>50.544946925541637</v>
      </c>
      <c r="F27" s="51">
        <f t="shared" si="6"/>
        <v>4.5361180167486381</v>
      </c>
      <c r="G27" s="52">
        <f t="shared" si="7"/>
        <v>15.141923405055023</v>
      </c>
      <c r="H27" s="53" t="str">
        <f>"m lower " &amp; TEXT(I18,"##%") &amp; " conf"</f>
        <v>m lower 95% conf</v>
      </c>
      <c r="I27" s="74">
        <f>-I13-I21</f>
        <v>0.10442912065429655</v>
      </c>
      <c r="J27" s="51">
        <f t="shared" si="1"/>
        <v>8.069415828670488</v>
      </c>
      <c r="K27" s="51">
        <f t="shared" si="2"/>
        <v>2.0213644526829935</v>
      </c>
      <c r="L27" s="55">
        <f t="shared" si="3"/>
        <v>1.1381081107690559E-2</v>
      </c>
      <c r="M27" s="51">
        <f t="shared" si="4"/>
        <v>2.009983371575303</v>
      </c>
      <c r="N27" s="94">
        <f t="shared" si="8"/>
        <v>117331825.77073675</v>
      </c>
      <c r="O27" s="56">
        <f t="shared" si="9"/>
        <v>105.04235568091075</v>
      </c>
      <c r="P27" s="57">
        <f t="shared" si="5"/>
        <v>102.32538128174514</v>
      </c>
      <c r="R27" s="47"/>
      <c r="S27" s="47"/>
      <c r="T27" s="47"/>
    </row>
    <row r="28" spans="1:20" ht="12.75" customHeight="1" x14ac:dyDescent="0.35">
      <c r="A28" s="49">
        <f>'New Vestas G30 85L'!W33</f>
        <v>15852135.372631654</v>
      </c>
      <c r="B28" s="48">
        <f>'New Vestas G30 85L'!T33</f>
        <v>129.61118143440314</v>
      </c>
      <c r="C28" s="50">
        <f t="shared" si="0"/>
        <v>7.200087772426718</v>
      </c>
      <c r="D28" s="50">
        <f t="shared" si="0"/>
        <v>2.1126424693261812</v>
      </c>
      <c r="E28" s="51">
        <f t="shared" si="6"/>
        <v>51.841263930648736</v>
      </c>
      <c r="F28" s="51">
        <f t="shared" si="6"/>
        <v>4.4632582032006241</v>
      </c>
      <c r="G28" s="52">
        <f t="shared" si="7"/>
        <v>15.211211210904825</v>
      </c>
      <c r="H28" s="75" t="s">
        <v>82</v>
      </c>
      <c r="I28" s="76">
        <f>-I13</f>
        <v>0.11842132366176363</v>
      </c>
      <c r="J28" s="51">
        <f t="shared" si="1"/>
        <v>8.0638502119770248</v>
      </c>
      <c r="K28" s="51">
        <f t="shared" si="2"/>
        <v>2.0220235403788274</v>
      </c>
      <c r="L28" s="55">
        <f t="shared" si="3"/>
        <v>1.1296227158242623E-2</v>
      </c>
      <c r="M28" s="51">
        <f t="shared" si="4"/>
        <v>2.0107273132205847</v>
      </c>
      <c r="N28" s="94">
        <f t="shared" si="8"/>
        <v>115837776.31424733</v>
      </c>
      <c r="O28" s="56">
        <f t="shared" si="9"/>
        <v>105.20188956211165</v>
      </c>
      <c r="P28" s="57">
        <f t="shared" si="5"/>
        <v>102.5008137424507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G30 85L'!W34</f>
        <v>21716930.38660118</v>
      </c>
      <c r="B29" s="48">
        <f>'New Vestas G30 85L'!T34</f>
        <v>123.86601712161163</v>
      </c>
      <c r="C29" s="50">
        <f t="shared" si="0"/>
        <v>7.3367984392238101</v>
      </c>
      <c r="D29" s="50">
        <f t="shared" si="0"/>
        <v>2.092952173196887</v>
      </c>
      <c r="E29" s="51">
        <f t="shared" si="6"/>
        <v>53.828611337796936</v>
      </c>
      <c r="F29" s="51">
        <f t="shared" si="6"/>
        <v>4.3804487992895718</v>
      </c>
      <c r="G29" s="52">
        <f t="shared" si="7"/>
        <v>15.355568237681002</v>
      </c>
      <c r="H29" s="77" t="str">
        <f>"m upper " &amp; TEXT(I18,"##%") &amp; " conf"</f>
        <v>m upper 95% conf</v>
      </c>
      <c r="I29" s="74">
        <f>-I13+I21</f>
        <v>0.1324135266692307</v>
      </c>
      <c r="J29" s="51">
        <f t="shared" si="1"/>
        <v>8.0582123432690338</v>
      </c>
      <c r="K29" s="51">
        <f t="shared" si="2"/>
        <v>2.0226911842538589</v>
      </c>
      <c r="L29" s="55">
        <f t="shared" si="3"/>
        <v>1.121048988036023E-2</v>
      </c>
      <c r="M29" s="51">
        <f t="shared" si="4"/>
        <v>2.0114806943734984</v>
      </c>
      <c r="N29" s="94">
        <f t="shared" si="8"/>
        <v>114343726.85775831</v>
      </c>
      <c r="O29" s="56">
        <f t="shared" si="9"/>
        <v>105.36374152207974</v>
      </c>
      <c r="P29" s="57">
        <f t="shared" si="5"/>
        <v>102.67877870123644</v>
      </c>
      <c r="R29" s="47"/>
      <c r="S29" s="47"/>
      <c r="T29" s="47"/>
    </row>
    <row r="30" spans="1:20" ht="12.75" customHeight="1" x14ac:dyDescent="0.35">
      <c r="A30" s="49">
        <f>'New Vestas G30 85L'!W35</f>
        <v>25670354.022995848</v>
      </c>
      <c r="B30" s="48">
        <f>'New Vestas G30 85L'!T35</f>
        <v>116.62711008749434</v>
      </c>
      <c r="C30" s="50">
        <f t="shared" si="0"/>
        <v>7.4094318581211267</v>
      </c>
      <c r="D30" s="50">
        <f t="shared" si="0"/>
        <v>2.0667995143413949</v>
      </c>
      <c r="E30" s="51">
        <f t="shared" si="6"/>
        <v>54.899680460140296</v>
      </c>
      <c r="F30" s="51">
        <f t="shared" si="6"/>
        <v>4.2716602324818256</v>
      </c>
      <c r="G30" s="52">
        <f t="shared" si="7"/>
        <v>15.313810165910404</v>
      </c>
      <c r="H30" s="77" t="str">
        <f>"C lower " &amp; TEXT(I18,"##%") &amp; " conf"</f>
        <v>C lower 95% conf</v>
      </c>
      <c r="I30" s="78">
        <f>10^(I14-I22)</f>
        <v>744.37851788520572</v>
      </c>
      <c r="J30" s="51">
        <f t="shared" si="1"/>
        <v>8.0525003219157831</v>
      </c>
      <c r="K30" s="51">
        <f t="shared" si="2"/>
        <v>2.0233676093832953</v>
      </c>
      <c r="L30" s="55">
        <f t="shared" si="3"/>
        <v>1.1123854106608599E-2</v>
      </c>
      <c r="M30" s="51">
        <f t="shared" si="4"/>
        <v>2.0122437552766868</v>
      </c>
      <c r="N30" s="94">
        <f t="shared" si="8"/>
        <v>112849677.40126909</v>
      </c>
      <c r="O30" s="56">
        <f t="shared" si="9"/>
        <v>105.52797619988836</v>
      </c>
      <c r="P30" s="57">
        <f t="shared" si="5"/>
        <v>102.85934519776072</v>
      </c>
      <c r="R30" s="47"/>
      <c r="S30" s="47"/>
      <c r="T30" s="47"/>
    </row>
    <row r="31" spans="1:20" ht="12.75" customHeight="1" x14ac:dyDescent="0.35">
      <c r="A31" s="49">
        <f>'New Vestas G30 85L'!W36</f>
        <v>10164885.353591194</v>
      </c>
      <c r="B31" s="48">
        <f>'New Vestas G30 85L'!T36</f>
        <v>146.77930375930265</v>
      </c>
      <c r="C31" s="50">
        <f t="shared" si="0"/>
        <v>7.0071024847366257</v>
      </c>
      <c r="D31" s="50">
        <f t="shared" si="0"/>
        <v>2.1666648233131256</v>
      </c>
      <c r="E31" s="51">
        <f t="shared" si="6"/>
        <v>49.099485231602195</v>
      </c>
      <c r="F31" s="51">
        <f t="shared" si="6"/>
        <v>4.6944364565824976</v>
      </c>
      <c r="G31" s="52">
        <f t="shared" si="7"/>
        <v>15.182042467028845</v>
      </c>
      <c r="H31" s="75" t="s">
        <v>83</v>
      </c>
      <c r="I31" s="79">
        <f>10^I14</f>
        <v>948.32097474609179</v>
      </c>
      <c r="J31" s="51">
        <f t="shared" si="1"/>
        <v>8.0467121712900962</v>
      </c>
      <c r="K31" s="51">
        <f t="shared" si="2"/>
        <v>2.0240530498419425</v>
      </c>
      <c r="L31" s="55">
        <f t="shared" si="3"/>
        <v>1.1036304503245191E-2</v>
      </c>
      <c r="M31" s="51">
        <f t="shared" si="4"/>
        <v>2.0130167453386973</v>
      </c>
      <c r="N31" s="94">
        <f t="shared" si="8"/>
        <v>111355627.9447799</v>
      </c>
      <c r="O31" s="56">
        <f t="shared" si="9"/>
        <v>105.69466092332543</v>
      </c>
      <c r="P31" s="57">
        <f t="shared" si="5"/>
        <v>103.04258503897015</v>
      </c>
      <c r="R31" s="47"/>
      <c r="S31" s="47"/>
      <c r="T31" s="47"/>
    </row>
    <row r="32" spans="1:20" ht="12.75" customHeight="1" thickBot="1" x14ac:dyDescent="0.4">
      <c r="A32" s="49">
        <f>'New Vestas G30 85L'!W37</f>
        <v>13568950.853746526</v>
      </c>
      <c r="B32" s="48">
        <f>'New Vestas G30 85L'!T37</f>
        <v>138.46534309984125</v>
      </c>
      <c r="C32" s="50">
        <f t="shared" si="0"/>
        <v>7.1325462694693877</v>
      </c>
      <c r="D32" s="50">
        <f t="shared" si="0"/>
        <v>2.1413410861516664</v>
      </c>
      <c r="E32" s="51">
        <f t="shared" si="6"/>
        <v>50.873216286121682</v>
      </c>
      <c r="F32" s="51">
        <f t="shared" si="6"/>
        <v>4.5853416472411981</v>
      </c>
      <c r="G32" s="52">
        <f t="shared" si="7"/>
        <v>15.273214375692595</v>
      </c>
      <c r="H32" s="61" t="str">
        <f>"C upper " &amp; TEXT(I18,"##%") &amp; " conf"</f>
        <v>C upper 95% conf</v>
      </c>
      <c r="I32" s="80">
        <f>10^(I14+I22)</f>
        <v>1208.1389367580662</v>
      </c>
      <c r="J32" s="51">
        <f t="shared" si="1"/>
        <v>8.0408458346619422</v>
      </c>
      <c r="K32" s="51">
        <f t="shared" si="2"/>
        <v>2.0247477491904942</v>
      </c>
      <c r="L32" s="55">
        <f t="shared" si="3"/>
        <v>1.0947825592608589E-2</v>
      </c>
      <c r="M32" s="51">
        <f t="shared" si="4"/>
        <v>2.0137999235978854</v>
      </c>
      <c r="N32" s="94">
        <f t="shared" si="8"/>
        <v>109861578.48829067</v>
      </c>
      <c r="O32" s="56">
        <f t="shared" si="9"/>
        <v>105.86386585859644</v>
      </c>
      <c r="P32" s="57">
        <f t="shared" si="5"/>
        <v>103.22857294508307</v>
      </c>
      <c r="R32" s="47"/>
      <c r="S32" s="47"/>
      <c r="T32" s="47"/>
    </row>
    <row r="33" spans="1:20" ht="12.75" customHeight="1" x14ac:dyDescent="0.35">
      <c r="A33" s="49">
        <f>'New Vestas G30 85L'!W38</f>
        <v>17488125.918772288</v>
      </c>
      <c r="B33" s="48">
        <f>'New Vestas G30 85L'!T38</f>
        <v>136.13513267246216</v>
      </c>
      <c r="C33" s="50">
        <f t="shared" si="0"/>
        <v>7.2427432716430875</v>
      </c>
      <c r="D33" s="50">
        <f t="shared" si="0"/>
        <v>2.1339702189343659</v>
      </c>
      <c r="E33" s="51">
        <f t="shared" si="6"/>
        <v>52.457330098931216</v>
      </c>
      <c r="F33" s="51">
        <f t="shared" si="6"/>
        <v>4.5538288952987855</v>
      </c>
      <c r="G33" s="52">
        <f t="shared" si="7"/>
        <v>15.455798445073604</v>
      </c>
      <c r="H33" s="63" t="s">
        <v>84</v>
      </c>
      <c r="I33" s="81"/>
      <c r="J33" s="51">
        <f t="shared" si="1"/>
        <v>8.0348991708108777</v>
      </c>
      <c r="K33" s="51">
        <f t="shared" si="2"/>
        <v>2.0254519609951087</v>
      </c>
      <c r="L33" s="55">
        <f t="shared" si="3"/>
        <v>1.0858401779781609E-2</v>
      </c>
      <c r="M33" s="51">
        <f t="shared" si="4"/>
        <v>2.014593559215327</v>
      </c>
      <c r="N33" s="94">
        <f t="shared" si="8"/>
        <v>108367529.03180178</v>
      </c>
      <c r="O33" s="56">
        <f t="shared" si="9"/>
        <v>106.03566417052654</v>
      </c>
      <c r="P33" s="57">
        <f t="shared" si="5"/>
        <v>103.41738670506987</v>
      </c>
      <c r="R33" s="47"/>
      <c r="S33" s="47"/>
      <c r="T33" s="47"/>
    </row>
    <row r="34" spans="1:20" ht="12.75" customHeight="1" thickBot="1" x14ac:dyDescent="0.4">
      <c r="A34" s="49">
        <f>'New Vestas G30 85L'!W39</f>
        <v>19219616.28159871</v>
      </c>
      <c r="B34" s="48">
        <f>'New Vestas G30 85L'!T39</f>
        <v>127.64856384573423</v>
      </c>
      <c r="C34" s="50">
        <f t="shared" si="0"/>
        <v>7.2837447127577182</v>
      </c>
      <c r="D34" s="50">
        <f t="shared" si="0"/>
        <v>2.1060159329876531</v>
      </c>
      <c r="E34" s="51">
        <f t="shared" si="6"/>
        <v>53.052937040626013</v>
      </c>
      <c r="F34" s="51">
        <f t="shared" si="6"/>
        <v>4.4353031099978546</v>
      </c>
      <c r="G34" s="52">
        <f t="shared" si="7"/>
        <v>15.339682416882331</v>
      </c>
      <c r="H34" s="82" t="str">
        <f>"G27 Fit: S = " &amp; TEXT(I31,"0,00 E+00 ") &amp; " * N ^ -" &amp; TEXT(I28,"0,00")</f>
        <v>G27 Fit: S = 948 E+00  * N ^ -000</v>
      </c>
      <c r="I34" s="62"/>
      <c r="J34" s="51">
        <f t="shared" si="1"/>
        <v>8.0288699493339006</v>
      </c>
      <c r="K34" s="51">
        <f t="shared" si="2"/>
        <v>2.0261659493830622</v>
      </c>
      <c r="L34" s="55">
        <f t="shared" si="3"/>
        <v>1.0768017384166124E-2</v>
      </c>
      <c r="M34" s="51">
        <f t="shared" si="4"/>
        <v>2.0153979319988959</v>
      </c>
      <c r="N34" s="94">
        <f t="shared" si="8"/>
        <v>106873479.57531251</v>
      </c>
      <c r="O34" s="56">
        <f t="shared" si="9"/>
        <v>106.21013219415899</v>
      </c>
      <c r="P34" s="57">
        <f t="shared" si="5"/>
        <v>103.60910734236089</v>
      </c>
      <c r="R34" s="47"/>
      <c r="S34" s="47"/>
      <c r="T34" s="47"/>
    </row>
    <row r="35" spans="1:20" ht="12.75" customHeight="1" thickBot="1" x14ac:dyDescent="0.4">
      <c r="A35" s="49">
        <f>'New Vestas G30 85L'!W40</f>
        <v>26089063.531276155</v>
      </c>
      <c r="B35" s="48">
        <f>'New Vestas G30 85L'!T40</f>
        <v>125.692337807626</v>
      </c>
      <c r="C35" s="50">
        <f t="shared" si="0"/>
        <v>7.4164584903498003</v>
      </c>
      <c r="D35" s="50">
        <f t="shared" si="0"/>
        <v>2.0993088039445751</v>
      </c>
      <c r="E35" s="51">
        <f t="shared" si="6"/>
        <v>55.003856539081639</v>
      </c>
      <c r="F35" s="51">
        <f t="shared" si="6"/>
        <v>4.4070974543192021</v>
      </c>
      <c r="G35" s="52">
        <f t="shared" si="7"/>
        <v>15.569436602880828</v>
      </c>
      <c r="H35" s="82" t="str">
        <f>"G27 Fit: N = " &amp; TEXT((1/I31)^(-1/I28),"0,00 E+00 ") &amp; " * S ^ -" &amp; TEXT(1/I28,"0,00")</f>
        <v>G27 Fit: N = 014 E+24  * S ^ -008</v>
      </c>
      <c r="I35" s="84"/>
      <c r="J35" s="51">
        <f t="shared" si="1"/>
        <v>8.0227558456229939</v>
      </c>
      <c r="K35" s="51">
        <f t="shared" si="2"/>
        <v>2.026889989637513</v>
      </c>
      <c r="L35" s="55">
        <f t="shared" si="3"/>
        <v>1.067665667670304E-2</v>
      </c>
      <c r="M35" s="51">
        <f t="shared" si="4"/>
        <v>2.0162133329608101</v>
      </c>
      <c r="N35" s="94">
        <f t="shared" si="8"/>
        <v>105379430.11882316</v>
      </c>
      <c r="O35" s="56">
        <f t="shared" si="9"/>
        <v>106.3873496187275</v>
      </c>
      <c r="P35" s="57">
        <f t="shared" si="5"/>
        <v>103.80381929157507</v>
      </c>
      <c r="R35" s="47"/>
      <c r="S35" s="47"/>
      <c r="T35" s="47"/>
    </row>
    <row r="36" spans="1:20" ht="12.75" customHeight="1" x14ac:dyDescent="0.35">
      <c r="A36" s="49">
        <f>'New Vestas G30 85L'!W41</f>
        <v>29097094.765391678</v>
      </c>
      <c r="B36" s="48">
        <f>'New Vestas G30 85L'!T41</f>
        <v>124.16763221579347</v>
      </c>
      <c r="C36" s="50">
        <f t="shared" si="0"/>
        <v>7.4638496284929081</v>
      </c>
      <c r="D36" s="50">
        <f t="shared" si="0"/>
        <v>2.0940083995272856</v>
      </c>
      <c r="E36" s="51">
        <f t="shared" si="6"/>
        <v>55.709051276753719</v>
      </c>
      <c r="F36" s="51">
        <f t="shared" si="6"/>
        <v>4.3848711772908242</v>
      </c>
      <c r="G36" s="52">
        <f t="shared" si="7"/>
        <v>15.629363814872759</v>
      </c>
      <c r="H36" s="83"/>
      <c r="I36" s="83"/>
      <c r="J36" s="51">
        <f t="shared" si="1"/>
        <v>8.0165544354840605</v>
      </c>
      <c r="K36" s="51">
        <f t="shared" si="2"/>
        <v>2.0276243688347351</v>
      </c>
      <c r="L36" s="55">
        <f t="shared" si="3"/>
        <v>1.0584303923582034E-2</v>
      </c>
      <c r="M36" s="51">
        <f t="shared" si="4"/>
        <v>2.0170400649111531</v>
      </c>
      <c r="N36" s="94">
        <f t="shared" si="8"/>
        <v>103885380.66233446</v>
      </c>
      <c r="O36" s="56">
        <f t="shared" si="9"/>
        <v>106.56739968508826</v>
      </c>
      <c r="P36" s="57">
        <f t="shared" si="5"/>
        <v>104.00161058712926</v>
      </c>
      <c r="R36" s="47"/>
      <c r="S36" s="47"/>
      <c r="T36" s="47"/>
    </row>
    <row r="37" spans="1:20" ht="12.75" customHeight="1" x14ac:dyDescent="0.35">
      <c r="A37" s="49">
        <f>'New Vestas G30 85L'!W42</f>
        <v>5278116.5340490183</v>
      </c>
      <c r="B37" s="48">
        <f>'New Vestas G30 85L'!T42</f>
        <v>149.57811851645184</v>
      </c>
      <c r="C37" s="50">
        <f t="shared" si="0"/>
        <v>6.7224789746554849</v>
      </c>
      <c r="D37" s="50">
        <f t="shared" si="0"/>
        <v>2.1748680661045463</v>
      </c>
      <c r="E37" s="51">
        <f t="shared" si="6"/>
        <v>45.191723564685063</v>
      </c>
      <c r="F37" s="51">
        <f t="shared" si="6"/>
        <v>4.730051104961329</v>
      </c>
      <c r="G37" s="52">
        <f t="shared" si="7"/>
        <v>14.620504847037449</v>
      </c>
      <c r="H37" s="95">
        <f>1/I28</f>
        <v>8.4444251176942746</v>
      </c>
      <c r="I37" s="85">
        <f>I31-I30</f>
        <v>203.94245686088607</v>
      </c>
      <c r="J37" s="51">
        <f t="shared" si="1"/>
        <v>8.0102631893660572</v>
      </c>
      <c r="K37" s="51">
        <f t="shared" si="2"/>
        <v>2.028369386527511</v>
      </c>
      <c r="L37" s="55">
        <f t="shared" si="3"/>
        <v>1.0490943437414083E-2</v>
      </c>
      <c r="M37" s="51">
        <f t="shared" si="4"/>
        <v>2.0178784430900967</v>
      </c>
      <c r="N37" s="94">
        <f t="shared" si="8"/>
        <v>102391331.20584521</v>
      </c>
      <c r="O37" s="56">
        <f t="shared" si="9"/>
        <v>106.75036939780443</v>
      </c>
      <c r="P37" s="57">
        <f t="shared" si="5"/>
        <v>104.20257306466983</v>
      </c>
      <c r="R37" s="47"/>
      <c r="S37" s="47"/>
      <c r="T37" s="47"/>
    </row>
    <row r="38" spans="1:20" ht="12.75" customHeight="1" x14ac:dyDescent="0.35">
      <c r="A38" s="49">
        <f>'New Vestas G30 85L'!W43</f>
        <v>10123151.57601279</v>
      </c>
      <c r="B38" s="48">
        <f>'New Vestas G30 85L'!T43</f>
        <v>146.47767934153356</v>
      </c>
      <c r="C38" s="50">
        <f t="shared" si="0"/>
        <v>7.0053157396770365</v>
      </c>
      <c r="D38" s="50">
        <f t="shared" si="0"/>
        <v>2.1657714507833314</v>
      </c>
      <c r="E38" s="51">
        <f t="shared" si="6"/>
        <v>49.074448612566826</v>
      </c>
      <c r="F38" s="51">
        <f t="shared" si="6"/>
        <v>4.690565977028136</v>
      </c>
      <c r="G38" s="52">
        <f t="shared" si="7"/>
        <v>15.171912832715641</v>
      </c>
      <c r="H38" s="95">
        <f>((1/I27)-(1/I29))/2</f>
        <v>1.0118872503222254</v>
      </c>
      <c r="I38" s="85">
        <f>I32-I31</f>
        <v>259.81796201197437</v>
      </c>
      <c r="J38" s="51">
        <f t="shared" si="1"/>
        <v>8.0038794661659765</v>
      </c>
      <c r="K38" s="51">
        <f t="shared" si="2"/>
        <v>2.0291253554787549</v>
      </c>
      <c r="L38" s="55">
        <f t="shared" si="3"/>
        <v>1.039655963699028E-2</v>
      </c>
      <c r="M38" s="51">
        <f t="shared" si="4"/>
        <v>2.0187287958417648</v>
      </c>
      <c r="N38" s="94">
        <f t="shared" si="8"/>
        <v>100897281.74935563</v>
      </c>
      <c r="O38" s="56">
        <f t="shared" si="9"/>
        <v>106.93634975320148</v>
      </c>
      <c r="P38" s="57">
        <f t="shared" si="5"/>
        <v>104.40680257634706</v>
      </c>
      <c r="R38" s="47"/>
      <c r="S38" s="47"/>
      <c r="T38" s="47"/>
    </row>
    <row r="39" spans="1:20" ht="12.75" customHeight="1" x14ac:dyDescent="0.35">
      <c r="A39" s="49">
        <f>'New Vestas G30 85L'!W44</f>
        <v>13977649.613742437</v>
      </c>
      <c r="B39" s="48">
        <f>'New Vestas G30 85L'!T44</f>
        <v>140.53517091794299</v>
      </c>
      <c r="C39" s="50">
        <f t="shared" si="0"/>
        <v>7.1454341495499207</v>
      </c>
      <c r="D39" s="50">
        <f t="shared" si="0"/>
        <v>2.1477850261919325</v>
      </c>
      <c r="E39" s="51">
        <f t="shared" si="6"/>
        <v>51.057229185554199</v>
      </c>
      <c r="F39" s="51">
        <f t="shared" si="6"/>
        <v>4.6129805187342798</v>
      </c>
      <c r="G39" s="52">
        <f t="shared" si="7"/>
        <v>15.346856472043806</v>
      </c>
      <c r="H39" s="86"/>
      <c r="I39" s="86"/>
      <c r="J39" s="51">
        <f t="shared" si="1"/>
        <v>7.997400506571684</v>
      </c>
      <c r="K39" s="51">
        <f t="shared" si="2"/>
        <v>2.0298926024498618</v>
      </c>
      <c r="L39" s="55">
        <f t="shared" si="3"/>
        <v>1.030113711692382E-2</v>
      </c>
      <c r="M39" s="51">
        <f t="shared" si="4"/>
        <v>2.0195914653329381</v>
      </c>
      <c r="N39" s="94">
        <f t="shared" si="8"/>
        <v>99403232.292866826</v>
      </c>
      <c r="O39" s="56">
        <f t="shared" si="9"/>
        <v>107.1254359848536</v>
      </c>
      <c r="P39" s="57">
        <f t="shared" si="5"/>
        <v>104.61439922104755</v>
      </c>
      <c r="R39" s="47"/>
      <c r="S39" s="47"/>
      <c r="T39" s="47"/>
    </row>
    <row r="40" spans="1:20" ht="12.75" customHeight="1" x14ac:dyDescent="0.35">
      <c r="A40" s="49">
        <f>'New Vestas G30 85L'!W45</f>
        <v>16897754.651038818</v>
      </c>
      <c r="B40" s="48">
        <f>'New Vestas G30 85L'!T45</f>
        <v>133.81755271061729</v>
      </c>
      <c r="C40" s="50">
        <f t="shared" si="0"/>
        <v>7.2278290000309111</v>
      </c>
      <c r="D40" s="50">
        <f t="shared" si="0"/>
        <v>2.1265130831282777</v>
      </c>
      <c r="E40" s="51">
        <f t="shared" si="6"/>
        <v>52.241512053687842</v>
      </c>
      <c r="F40" s="51">
        <f t="shared" si="6"/>
        <v>4.5220578927157336</v>
      </c>
      <c r="G40" s="52">
        <f t="shared" si="7"/>
        <v>15.37007293117971</v>
      </c>
      <c r="H40" s="86" t="b">
        <f>H37=H38</f>
        <v>0</v>
      </c>
      <c r="I40" s="86"/>
      <c r="J40" s="51">
        <f t="shared" si="1"/>
        <v>7.9908234259006106</v>
      </c>
      <c r="K40" s="51">
        <f t="shared" si="2"/>
        <v>2.0306714690487606</v>
      </c>
      <c r="L40" s="55">
        <f t="shared" si="3"/>
        <v>1.0204660728675423E-2</v>
      </c>
      <c r="M40" s="51">
        <f t="shared" si="4"/>
        <v>2.0204668083200854</v>
      </c>
      <c r="N40" s="94">
        <f t="shared" si="8"/>
        <v>97909182.836377695</v>
      </c>
      <c r="O40" s="56">
        <f t="shared" si="9"/>
        <v>107.31772782811842</v>
      </c>
      <c r="P40" s="57">
        <f t="shared" si="5"/>
        <v>104.82546759080293</v>
      </c>
      <c r="R40" s="47"/>
      <c r="S40" s="47"/>
      <c r="T40" s="47"/>
    </row>
    <row r="41" spans="1:20" ht="12.75" customHeight="1" x14ac:dyDescent="0.35">
      <c r="A41" s="49">
        <f>'New Vestas G30 85L'!W46</f>
        <v>24185718.369531747</v>
      </c>
      <c r="B41" s="48">
        <f>'New Vestas G30 85L'!T46</f>
        <v>130.7171135332004</v>
      </c>
      <c r="C41" s="50">
        <f t="shared" si="0"/>
        <v>7.3835589914263657</v>
      </c>
      <c r="D41" s="50">
        <f t="shared" si="0"/>
        <v>2.1163324492981648</v>
      </c>
      <c r="E41" s="51">
        <f t="shared" si="6"/>
        <v>54.516943379873133</v>
      </c>
      <c r="F41" s="51">
        <f t="shared" si="6"/>
        <v>4.4788630359523696</v>
      </c>
      <c r="G41" s="52">
        <f t="shared" si="7"/>
        <v>15.626065484862847</v>
      </c>
      <c r="H41" s="114">
        <f>1/I31</f>
        <v>1.0544952886523942E-3</v>
      </c>
      <c r="I41" s="86"/>
      <c r="J41" s="51">
        <f t="shared" si="1"/>
        <v>7.9841452063878044</v>
      </c>
      <c r="K41" s="51">
        <f t="shared" si="2"/>
        <v>2.0314623126431712</v>
      </c>
      <c r="L41" s="55">
        <f t="shared" si="3"/>
        <v>1.0107115674699435E-2</v>
      </c>
      <c r="M41" s="51">
        <f t="shared" si="4"/>
        <v>2.021355196968472</v>
      </c>
      <c r="N41" s="94">
        <f t="shared" si="8"/>
        <v>96415133.379888371</v>
      </c>
      <c r="O41" s="56">
        <f t="shared" si="9"/>
        <v>107.51332980551086</v>
      </c>
      <c r="P41" s="57">
        <f t="shared" si="5"/>
        <v>105.04011703469898</v>
      </c>
      <c r="R41" s="47"/>
      <c r="S41" s="47"/>
      <c r="T41" s="47"/>
    </row>
    <row r="42" spans="1:20" ht="12.75" customHeight="1" x14ac:dyDescent="0.35">
      <c r="A42" s="49">
        <f>'New Vestas G30 85L'!W47</f>
        <v>28257526.503535755</v>
      </c>
      <c r="B42" s="48">
        <f>'New Vestas G30 85L'!T47</f>
        <v>122.36315241384239</v>
      </c>
      <c r="C42" s="50">
        <f t="shared" si="0"/>
        <v>7.4511341436102132</v>
      </c>
      <c r="D42" s="50">
        <f t="shared" si="0"/>
        <v>2.0876506570859386</v>
      </c>
      <c r="E42" s="51">
        <f t="shared" si="6"/>
        <v>55.519400026073903</v>
      </c>
      <c r="F42" s="51">
        <f t="shared" si="6"/>
        <v>4.3582852660313511</v>
      </c>
      <c r="G42" s="52">
        <f t="shared" si="7"/>
        <v>15.555365090943333</v>
      </c>
      <c r="H42" s="86"/>
      <c r="I42" s="86"/>
      <c r="J42" s="51">
        <f t="shared" si="1"/>
        <v>7.9773626888717155</v>
      </c>
      <c r="K42" s="51">
        <f t="shared" si="2"/>
        <v>2.0322655073451852</v>
      </c>
      <c r="L42" s="55">
        <f t="shared" si="3"/>
        <v>1.0008487617723941E-2</v>
      </c>
      <c r="M42" s="51">
        <f t="shared" si="4"/>
        <v>2.0222570197274612</v>
      </c>
      <c r="N42" s="94">
        <f t="shared" si="8"/>
        <v>94921083.923399016</v>
      </c>
      <c r="O42" s="56">
        <f t="shared" si="9"/>
        <v>107.71235153491399</v>
      </c>
      <c r="P42" s="57">
        <f t="shared" si="5"/>
        <v>105.25846194173702</v>
      </c>
      <c r="R42" s="47"/>
      <c r="S42" s="47"/>
      <c r="T42" s="47"/>
    </row>
    <row r="43" spans="1:20" ht="12.75" customHeight="1" thickBot="1" x14ac:dyDescent="0.4">
      <c r="A43" s="49"/>
      <c r="B43" s="48"/>
      <c r="C43" s="50"/>
      <c r="D43" s="50"/>
      <c r="E43" s="51"/>
      <c r="F43" s="51"/>
      <c r="G43" s="52"/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1"/>
        <v>7.9704725638203886</v>
      </c>
      <c r="K43" s="51">
        <f t="shared" si="2"/>
        <v>2.0330814450739587</v>
      </c>
      <c r="L43" s="55">
        <f t="shared" si="3"/>
        <v>9.9087628075022732E-3</v>
      </c>
      <c r="M43" s="51">
        <f t="shared" si="4"/>
        <v>2.0231726822664564</v>
      </c>
      <c r="N43" s="94">
        <f t="shared" si="8"/>
        <v>93427034.46691002</v>
      </c>
      <c r="O43" s="56">
        <f t="shared" si="9"/>
        <v>107.91490806284304</v>
      </c>
      <c r="P43" s="57">
        <f t="shared" si="5"/>
        <v>105.48062204423205</v>
      </c>
      <c r="R43" s="47"/>
      <c r="S43" s="47"/>
      <c r="T43" s="47"/>
    </row>
    <row r="44" spans="1:20" ht="12.75" customHeight="1" x14ac:dyDescent="0.35">
      <c r="A44" s="49"/>
      <c r="B44" s="48"/>
      <c r="C44" s="50"/>
      <c r="D44" s="50"/>
      <c r="E44" s="51"/>
      <c r="F44" s="51"/>
      <c r="G44" s="52"/>
      <c r="H44" s="86"/>
      <c r="I44" s="86"/>
      <c r="J44" s="51">
        <f t="shared" si="1"/>
        <v>7.9634713616342498</v>
      </c>
      <c r="K44" s="51">
        <f t="shared" si="2"/>
        <v>2.0339105367040649</v>
      </c>
      <c r="L44" s="55">
        <f t="shared" si="3"/>
        <v>9.8079282277521388E-3</v>
      </c>
      <c r="M44" s="51">
        <f t="shared" si="4"/>
        <v>2.0241026084763125</v>
      </c>
      <c r="N44" s="94">
        <f t="shared" si="8"/>
        <v>91932985.010420769</v>
      </c>
      <c r="O44" s="56">
        <f t="shared" si="9"/>
        <v>108.12112022523571</v>
      </c>
      <c r="P44" s="57">
        <f t="shared" si="5"/>
        <v>105.70672274347704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83</v>
      </c>
      <c r="I45" s="86">
        <f>(1/I31)^(-1/I28)</f>
        <v>1.3761842555368988E+25</v>
      </c>
      <c r="J45" s="51">
        <f t="shared" si="1"/>
        <v>7.9563554421543667</v>
      </c>
      <c r="K45" s="51">
        <f t="shared" si="2"/>
        <v>2.0347532133079431</v>
      </c>
      <c r="L45" s="55">
        <f t="shared" si="3"/>
        <v>9.7059717664434823E-3</v>
      </c>
      <c r="M45" s="51">
        <f t="shared" si="4"/>
        <v>2.0250472415414995</v>
      </c>
      <c r="N45" s="94">
        <f t="shared" si="8"/>
        <v>90438935.553931475</v>
      </c>
      <c r="O45" s="56">
        <f t="shared" si="9"/>
        <v>108.33111503853426</v>
      </c>
      <c r="P45" s="57">
        <f t="shared" si="5"/>
        <v>105.93689545957139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 t="s">
        <v>82</v>
      </c>
      <c r="I46" s="86">
        <f>1/I28</f>
        <v>8.4444251176942746</v>
      </c>
      <c r="J46" s="51">
        <f t="shared" si="1"/>
        <v>7.9491209832967602</v>
      </c>
      <c r="K46" s="51">
        <f t="shared" si="2"/>
        <v>2.0356099275018376</v>
      </c>
      <c r="L46" s="55">
        <f t="shared" si="3"/>
        <v>9.6028824131184614E-3</v>
      </c>
      <c r="M46" s="51">
        <f t="shared" si="4"/>
        <v>2.0260070450887193</v>
      </c>
      <c r="N46" s="94">
        <f t="shared" si="8"/>
        <v>88944886.097442508</v>
      </c>
      <c r="O46" s="56">
        <f t="shared" si="9"/>
        <v>108.54502612414733</v>
      </c>
      <c r="P46" s="57">
        <f t="shared" si="5"/>
        <v>106.17127800748456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1"/>
        <v>7.9417639687239143</v>
      </c>
      <c r="K47" s="51">
        <f t="shared" si="2"/>
        <v>2.0364811549057529</v>
      </c>
      <c r="L47" s="55">
        <f t="shared" si="3"/>
        <v>9.4986504875410778E-3</v>
      </c>
      <c r="M47" s="51">
        <f t="shared" si="4"/>
        <v>2.0269825044182119</v>
      </c>
      <c r="N47" s="94">
        <f t="shared" si="8"/>
        <v>87450836.640953332</v>
      </c>
      <c r="O47" s="56">
        <f t="shared" si="9"/>
        <v>108.76299416975631</v>
      </c>
      <c r="P47" s="57">
        <f t="shared" si="5"/>
        <v>106.41001500162676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1"/>
        <v>7.9342801744539493</v>
      </c>
      <c r="K48" s="51">
        <f t="shared" si="2"/>
        <v>2.0373673957292144</v>
      </c>
      <c r="L48" s="55">
        <f t="shared" si="3"/>
        <v>9.3932679046980216E-3</v>
      </c>
      <c r="M48" s="51">
        <f t="shared" si="4"/>
        <v>2.0279741278245162</v>
      </c>
      <c r="N48" s="94">
        <f t="shared" si="8"/>
        <v>85956787.184463963</v>
      </c>
      <c r="O48" s="56">
        <f t="shared" si="9"/>
        <v>108.98516743135528</v>
      </c>
      <c r="P48" s="57">
        <f t="shared" si="5"/>
        <v>106.65325829141541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1"/>
        <v>7.9266651542956463</v>
      </c>
      <c r="K49" s="51">
        <f t="shared" si="2"/>
        <v>2.0382691764960716</v>
      </c>
      <c r="L49" s="55">
        <f t="shared" si="3"/>
        <v>9.2867284820245411E-3</v>
      </c>
      <c r="M49" s="51">
        <f t="shared" si="4"/>
        <v>2.0289824480140473</v>
      </c>
      <c r="N49" s="94">
        <f t="shared" si="8"/>
        <v>84462737.727975085</v>
      </c>
      <c r="O49" s="56">
        <f t="shared" si="9"/>
        <v>109.21170228039959</v>
      </c>
      <c r="P49" s="57">
        <f t="shared" si="5"/>
        <v>106.90116743056355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1"/>
        <v>7.9189142239836006</v>
      </c>
      <c r="K50" s="51">
        <f t="shared" si="2"/>
        <v>2.0391870519232342</v>
      </c>
      <c r="L50" s="55">
        <f t="shared" si="3"/>
        <v>9.1790282957367568E-3</v>
      </c>
      <c r="M50" s="51">
        <f t="shared" si="4"/>
        <v>2.0300080236274973</v>
      </c>
      <c r="N50" s="94">
        <f t="shared" si="8"/>
        <v>82968688.271485835</v>
      </c>
      <c r="O50" s="56">
        <f t="shared" si="9"/>
        <v>109.44276380099416</v>
      </c>
      <c r="P50" s="57">
        <f t="shared" si="5"/>
        <v>107.15391018307932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1"/>
        <v>7.9110224438717429</v>
      </c>
      <c r="K51" s="51">
        <f t="shared" si="2"/>
        <v>2.040121606970128</v>
      </c>
      <c r="L51" s="55">
        <f t="shared" si="3"/>
        <v>9.0701660943409267E-3</v>
      </c>
      <c r="M51" s="51">
        <f t="shared" si="4"/>
        <v>2.0310514408757872</v>
      </c>
      <c r="N51" s="94">
        <f t="shared" si="8"/>
        <v>81474638.814996734</v>
      </c>
      <c r="O51" s="56">
        <f t="shared" si="9"/>
        <v>109.67852644269234</v>
      </c>
      <c r="P51" s="57">
        <f t="shared" si="5"/>
        <v>107.41166306926324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1"/>
        <v>7.9029846000251167</v>
      </c>
      <c r="K52" s="51">
        <f t="shared" si="2"/>
        <v>2.0410734590778317</v>
      </c>
      <c r="L52" s="55">
        <f t="shared" si="3"/>
        <v>8.9601437787971815E-3</v>
      </c>
      <c r="M52" s="51">
        <f t="shared" si="4"/>
        <v>2.0321133152990343</v>
      </c>
      <c r="N52" s="94">
        <f t="shared" si="8"/>
        <v>79980589.358507395</v>
      </c>
      <c r="O52" s="56">
        <f t="shared" si="9"/>
        <v>109.91917473521026</v>
      </c>
      <c r="P52" s="57">
        <f t="shared" si="5"/>
        <v>107.67461195529894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1"/>
        <v>7.8947951835286654</v>
      </c>
      <c r="K53" s="51">
        <f t="shared" si="2"/>
        <v>2.042043260619359</v>
      </c>
      <c r="L53" s="55">
        <f t="shared" si="3"/>
        <v>8.8489669604803044E-3</v>
      </c>
      <c r="M53" s="51">
        <f t="shared" si="4"/>
        <v>2.0331942936588789</v>
      </c>
      <c r="N53" s="94">
        <f t="shared" si="8"/>
        <v>78486539.902018368</v>
      </c>
      <c r="O53" s="56">
        <f t="shared" si="9"/>
        <v>110.16490407220887</v>
      </c>
      <c r="P53" s="57">
        <f t="shared" si="5"/>
        <v>107.94295269040322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1"/>
        <v>7.8864483678073736</v>
      </c>
      <c r="K54" s="51">
        <f t="shared" si="2"/>
        <v>2.0430317015854351</v>
      </c>
      <c r="L54" s="55">
        <f t="shared" si="3"/>
        <v>8.7366456100509866E-3</v>
      </c>
      <c r="M54" s="51">
        <f t="shared" si="4"/>
        <v>2.0342950559753841</v>
      </c>
      <c r="N54" s="94">
        <f t="shared" si="8"/>
        <v>76992490.445529133</v>
      </c>
      <c r="O54" s="56">
        <f t="shared" si="9"/>
        <v>110.41592157227585</v>
      </c>
      <c r="P54" s="57">
        <f t="shared" si="5"/>
        <v>108.21689179587851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1"/>
        <v>7.8779379837239194</v>
      </c>
      <c r="K55" s="51">
        <f t="shared" si="2"/>
        <v>2.0440395125334678</v>
      </c>
      <c r="L55" s="55">
        <f t="shared" si="3"/>
        <v>8.6231948126861309E-3</v>
      </c>
      <c r="M55" s="51">
        <f t="shared" si="4"/>
        <v>2.0354163177207818</v>
      </c>
      <c r="N55" s="94">
        <f t="shared" si="8"/>
        <v>75498440.989039928</v>
      </c>
      <c r="O55" s="56">
        <f t="shared" si="9"/>
        <v>110.67244702637645</v>
      </c>
      <c r="P55" s="57">
        <f t="shared" si="5"/>
        <v>108.49664721086447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1"/>
        <v>7.8692574921872485</v>
      </c>
      <c r="K56" s="51">
        <f t="shared" si="2"/>
        <v>2.0450674678312755</v>
      </c>
      <c r="L56" s="55">
        <f t="shared" si="3"/>
        <v>8.5086356478812058E-3</v>
      </c>
      <c r="M56" s="51">
        <f t="shared" si="4"/>
        <v>2.0365588321833941</v>
      </c>
      <c r="N56" s="94">
        <f t="shared" si="8"/>
        <v>74004391.532550976</v>
      </c>
      <c r="O56" s="56">
        <f t="shared" si="9"/>
        <v>110.93471394236049</v>
      </c>
      <c r="P56" s="57">
        <f t="shared" si="5"/>
        <v>108.78244910005773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1"/>
        <v>7.8603999539674101</v>
      </c>
      <c r="K57" s="51">
        <f t="shared" si="2"/>
        <v>2.0461163892316532</v>
      </c>
      <c r="L57" s="55">
        <f t="shared" si="3"/>
        <v>8.3929962153104689E-3</v>
      </c>
      <c r="M57" s="51">
        <f t="shared" si="4"/>
        <v>2.0377233930163428</v>
      </c>
      <c r="N57" s="94">
        <f t="shared" si="8"/>
        <v>72510342.076061472</v>
      </c>
      <c r="O57" s="56">
        <f t="shared" si="9"/>
        <v>111.20297069865504</v>
      </c>
      <c r="P57" s="57">
        <f t="shared" si="5"/>
        <v>109.07454072922708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1"/>
        <v>7.851357996367617</v>
      </c>
      <c r="K58" s="51">
        <f t="shared" si="2"/>
        <v>2.0471871498191141</v>
      </c>
      <c r="L58" s="55">
        <f t="shared" si="3"/>
        <v>8.2763128321013263E-3</v>
      </c>
      <c r="M58" s="51">
        <f t="shared" si="4"/>
        <v>2.0389108369870126</v>
      </c>
      <c r="N58" s="94">
        <f t="shared" si="8"/>
        <v>71016292.619572476</v>
      </c>
      <c r="O58" s="56">
        <f t="shared" si="9"/>
        <v>111.47748182107048</v>
      </c>
      <c r="P58" s="57">
        <f t="shared" si="5"/>
        <v>109.37317941496029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1"/>
        <v>7.8421237763524703</v>
      </c>
      <c r="K59" s="51">
        <f t="shared" si="2"/>
        <v>2.0482806783762921</v>
      </c>
      <c r="L59" s="55">
        <f t="shared" si="3"/>
        <v>8.1586314314480365E-3</v>
      </c>
      <c r="M59" s="51">
        <f t="shared" si="4"/>
        <v>2.0401220469448442</v>
      </c>
      <c r="N59" s="94">
        <f t="shared" si="8"/>
        <v>69522243.163083419</v>
      </c>
      <c r="O59" s="56">
        <f t="shared" si="9"/>
        <v>111.75852939875892</v>
      </c>
      <c r="P59" s="57">
        <f t="shared" si="5"/>
        <v>109.678637555785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1"/>
        <v>7.8326889396703514</v>
      </c>
      <c r="K60" s="51">
        <f t="shared" si="2"/>
        <v>2.0493979642247209</v>
      </c>
      <c r="L60" s="55">
        <f t="shared" si="3"/>
        <v>8.0400091978728716E-3</v>
      </c>
      <c r="M60" s="51">
        <f t="shared" si="4"/>
        <v>2.0413579550268479</v>
      </c>
      <c r="N60" s="94">
        <f t="shared" si="8"/>
        <v>68028193.706594214</v>
      </c>
      <c r="O60" s="56">
        <f t="shared" si="9"/>
        <v>112.0464146578482</v>
      </c>
      <c r="P60" s="57">
        <f t="shared" si="5"/>
        <v>109.99120375261209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1"/>
        <v>7.8230445754360938</v>
      </c>
      <c r="K61" s="51">
        <f t="shared" si="2"/>
        <v>2.050540062603218</v>
      </c>
      <c r="L61" s="55">
        <f t="shared" si="3"/>
        <v>7.9205164807604686E-3</v>
      </c>
      <c r="M61" s="51">
        <f t="shared" si="4"/>
        <v>2.0426195461224577</v>
      </c>
      <c r="N61" s="94">
        <f t="shared" si="8"/>
        <v>66534144.250105053</v>
      </c>
      <c r="O61" s="56">
        <f t="shared" si="9"/>
        <v>112.34145971421027</v>
      </c>
      <c r="P61" s="57">
        <f t="shared" si="5"/>
        <v>110.31118402740364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1"/>
        <v>7.8131811655551724</v>
      </c>
      <c r="K62" s="51">
        <f t="shared" si="2"/>
        <v>2.0517081006571352</v>
      </c>
      <c r="L62" s="55">
        <f t="shared" si="3"/>
        <v>7.8002390351731669E-3</v>
      </c>
      <c r="M62" s="51">
        <f t="shared" si="4"/>
        <v>2.0439078616219621</v>
      </c>
      <c r="N62" s="94">
        <f t="shared" si="8"/>
        <v>65040094.793615729</v>
      </c>
      <c r="O62" s="56">
        <f t="shared" si="9"/>
        <v>112.64400953029016</v>
      </c>
      <c r="P62" s="57">
        <f t="shared" si="5"/>
        <v>110.63890315008027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1"/>
        <v>7.8030885282699662</v>
      </c>
      <c r="K63" s="51">
        <f t="shared" si="2"/>
        <v>2.0529032841236874</v>
      </c>
      <c r="L63" s="55">
        <f t="shared" si="3"/>
        <v>7.679280647524509E-3</v>
      </c>
      <c r="M63" s="51">
        <f t="shared" si="4"/>
        <v>2.0452240034761631</v>
      </c>
      <c r="N63" s="94">
        <f t="shared" si="8"/>
        <v>63546045.337126702</v>
      </c>
      <c r="O63" s="56">
        <f t="shared" si="9"/>
        <v>112.95443410506105</v>
      </c>
      <c r="P63" s="57">
        <f t="shared" si="5"/>
        <v>110.97470608506789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1"/>
        <v>7.7927557549887698</v>
      </c>
      <c r="K64" s="51">
        <f t="shared" si="2"/>
        <v>2.0541269048127435</v>
      </c>
      <c r="L64" s="55">
        <f t="shared" si="3"/>
        <v>7.5577662135489802E-3</v>
      </c>
      <c r="M64" s="51">
        <f t="shared" si="4"/>
        <v>2.0465691385991946</v>
      </c>
      <c r="N64" s="94">
        <f t="shared" si="8"/>
        <v>62051995.880637474</v>
      </c>
      <c r="O64" s="56">
        <f t="shared" si="9"/>
        <v>113.27313093109473</v>
      </c>
      <c r="P64" s="57">
        <f t="shared" si="5"/>
        <v>111.31895957056949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1"/>
        <v>7.7821711394150306</v>
      </c>
      <c r="K65" s="51">
        <f t="shared" si="2"/>
        <v>2.0553803489994369</v>
      </c>
      <c r="L65" s="55">
        <f t="shared" si="3"/>
        <v>7.4358453472192949E-3</v>
      </c>
      <c r="M65" s="51">
        <f t="shared" si="4"/>
        <v>2.0479445036522175</v>
      </c>
      <c r="N65" s="94">
        <f t="shared" si="8"/>
        <v>60557946.424148306</v>
      </c>
      <c r="O65" s="56">
        <f t="shared" si="9"/>
        <v>113.60052775864769</v>
      </c>
      <c r="P65" s="57">
        <f t="shared" si="5"/>
        <v>111.67205384582022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0">LOG($I$24+($I$25-$I$24)*(ROW()-2)/100)</f>
        <v>7.7713220978223703</v>
      </c>
      <c r="K66" s="51">
        <f t="shared" ref="K66:K129" si="11">+$I$14+$I$13*J66</f>
        <v>2.0566651068653012</v>
      </c>
      <c r="L66" s="55">
        <f t="shared" ref="L66:L129" si="12">SQRT(2*$I$20*$I$17)*SQRT((1/$I$2)+((J66-$I$11)^2/$I$8))</f>
        <v>7.3136966118031357E-3</v>
      </c>
      <c r="M66" s="51">
        <f t="shared" ref="M66:M102" si="13">+$I$14+$I$13*J66-L66</f>
        <v>2.049351410253498</v>
      </c>
      <c r="N66" s="94">
        <f t="shared" si="8"/>
        <v>59063896.96765919</v>
      </c>
      <c r="O66" s="56">
        <f t="shared" si="9"/>
        <v>113.93708571376781</v>
      </c>
      <c r="P66" s="57">
        <f t="shared" ref="P66:P102" si="14">10^M66</f>
        <v>112.03440454439581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0"/>
        <v>7.7601950791138936</v>
      </c>
      <c r="K67" s="51">
        <f t="shared" si="11"/>
        <v>2.0579827831491682</v>
      </c>
      <c r="L67" s="55">
        <f t="shared" si="12"/>
        <v>7.1915324779545688E-3</v>
      </c>
      <c r="M67" s="51">
        <f t="shared" si="13"/>
        <v>2.0507912506712134</v>
      </c>
      <c r="N67" s="94">
        <f t="shared" ref="N67:N101" si="15">10^$J67</f>
        <v>57569847.511169985</v>
      </c>
      <c r="O67" s="56">
        <f t="shared" ref="O67:O102" si="16">10^K67</f>
        <v>114.28330282601976</v>
      </c>
      <c r="P67" s="57">
        <f t="shared" si="14"/>
        <v>112.40645477540183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0"/>
        <v>7.7487754630535388</v>
      </c>
      <c r="K68" s="51">
        <f t="shared" si="11"/>
        <v>2.0593351091987442</v>
      </c>
      <c r="L68" s="55">
        <f t="shared" si="12"/>
        <v>7.0696051282016425E-3</v>
      </c>
      <c r="M68" s="51">
        <f t="shared" si="13"/>
        <v>2.0522655040705424</v>
      </c>
      <c r="N68" s="94">
        <f t="shared" si="15"/>
        <v>56075798.054680735</v>
      </c>
      <c r="O68" s="56">
        <f t="shared" si="16"/>
        <v>114.63971803184603</v>
      </c>
      <c r="P68" s="57">
        <f t="shared" si="14"/>
        <v>112.78867741945972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0"/>
        <v>7.7370474447523687</v>
      </c>
      <c r="K69" s="51">
        <f t="shared" si="11"/>
        <v>2.0607239566498983</v>
      </c>
      <c r="L69" s="55">
        <f t="shared" si="12"/>
        <v>6.9482132416675505E-3</v>
      </c>
      <c r="M69" s="51">
        <f t="shared" si="13"/>
        <v>2.0537757434082309</v>
      </c>
      <c r="N69" s="94">
        <f t="shared" si="15"/>
        <v>54581748.598191649</v>
      </c>
      <c r="O69" s="56">
        <f t="shared" si="16"/>
        <v>115.00691573230577</v>
      </c>
      <c r="P69" s="57">
        <f t="shared" si="14"/>
        <v>113.18157767343993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0"/>
        <v>7.7249939031200965</v>
      </c>
      <c r="K70" s="51">
        <f t="shared" si="11"/>
        <v>2.0621513530048041</v>
      </c>
      <c r="L70" s="55">
        <f t="shared" si="12"/>
        <v>6.8277099060577639E-3</v>
      </c>
      <c r="M70" s="51">
        <f t="shared" si="13"/>
        <v>2.0553236430987463</v>
      </c>
      <c r="N70" s="94">
        <f t="shared" si="15"/>
        <v>53087699.141702369</v>
      </c>
      <c r="O70" s="56">
        <f t="shared" si="16"/>
        <v>115.38553099950974</v>
      </c>
      <c r="P70" s="57">
        <f t="shared" si="14"/>
        <v>113.58569588769963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0"/>
        <v>7.7125962505343937</v>
      </c>
      <c r="K71" s="51">
        <f t="shared" si="11"/>
        <v>2.063619499434302</v>
      </c>
      <c r="L71" s="55">
        <f t="shared" si="12"/>
        <v>6.7085118137991673E-3</v>
      </c>
      <c r="M71" s="51">
        <f t="shared" si="13"/>
        <v>2.056910987620503</v>
      </c>
      <c r="N71" s="94">
        <f t="shared" si="15"/>
        <v>51593649.685213305</v>
      </c>
      <c r="O71" s="56">
        <f t="shared" si="16"/>
        <v>115.7762555452868</v>
      </c>
      <c r="P71" s="57">
        <f t="shared" si="14"/>
        <v>114.00161075341879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0"/>
        <v>7.6998342604151127</v>
      </c>
      <c r="K72" s="51">
        <f t="shared" si="11"/>
        <v>2.0651307911967853</v>
      </c>
      <c r="L72" s="55">
        <f t="shared" si="12"/>
        <v>6.5911099025966315E-3</v>
      </c>
      <c r="M72" s="51">
        <f t="shared" si="13"/>
        <v>2.0585396812941887</v>
      </c>
      <c r="N72" s="94">
        <f t="shared" si="15"/>
        <v>50099600.228724174</v>
      </c>
      <c r="O72" s="56">
        <f t="shared" si="16"/>
        <v>116.17984458940946</v>
      </c>
      <c r="P72" s="57">
        <f t="shared" si="14"/>
        <v>114.42994291719113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0"/>
        <v>7.6866858686881567</v>
      </c>
      <c r="K73" s="51">
        <f t="shared" si="11"/>
        <v>2.0666878411491147</v>
      </c>
      <c r="L73" s="55">
        <f t="shared" si="12"/>
        <v>6.4760815930181414E-3</v>
      </c>
      <c r="M73" s="51">
        <f t="shared" si="13"/>
        <v>2.0602117595560965</v>
      </c>
      <c r="N73" s="94">
        <f t="shared" si="15"/>
        <v>48605550.772234879</v>
      </c>
      <c r="O73" s="56">
        <f t="shared" si="16"/>
        <v>116.59712479437174</v>
      </c>
      <c r="P73" s="57">
        <f t="shared" si="14"/>
        <v>114.87135912777818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0"/>
        <v>7.6731269442457668</v>
      </c>
      <c r="K74" s="51">
        <f t="shared" si="11"/>
        <v>2.0682935069290127</v>
      </c>
      <c r="L74" s="55">
        <f t="shared" si="12"/>
        <v>6.3641047506844944E-3</v>
      </c>
      <c r="M74" s="51">
        <f t="shared" si="13"/>
        <v>2.0619294021783281</v>
      </c>
      <c r="N74" s="94">
        <f t="shared" si="15"/>
        <v>47111501.315745741</v>
      </c>
      <c r="O74" s="56">
        <f t="shared" si="16"/>
        <v>117.02900347090726</v>
      </c>
      <c r="P74" s="57">
        <f t="shared" si="14"/>
        <v>115.32657705917562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0"/>
        <v>7.6591310224055276</v>
      </c>
      <c r="K75" s="51">
        <f t="shared" si="11"/>
        <v>2.0699509225192001</v>
      </c>
      <c r="L75" s="55">
        <f t="shared" si="12"/>
        <v>6.2559734498342139E-3</v>
      </c>
      <c r="M75" s="51">
        <f t="shared" si="13"/>
        <v>2.0636949490693657</v>
      </c>
      <c r="N75" s="94">
        <f t="shared" si="15"/>
        <v>45617451.859256566</v>
      </c>
      <c r="O75" s="56">
        <f t="shared" si="16"/>
        <v>117.47647930539291</v>
      </c>
      <c r="P75" s="57">
        <f t="shared" si="14"/>
        <v>115.79637100938822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0"/>
        <v>7.6446689939715577</v>
      </c>
      <c r="K76" s="51">
        <f t="shared" si="11"/>
        <v>2.071663535069185</v>
      </c>
      <c r="L76" s="55">
        <f t="shared" si="12"/>
        <v>6.1526155280972293E-3</v>
      </c>
      <c r="M76" s="51">
        <f t="shared" si="13"/>
        <v>2.0655109195410879</v>
      </c>
      <c r="N76" s="94">
        <f t="shared" si="15"/>
        <v>44123402.40276742</v>
      </c>
      <c r="O76" s="56">
        <f t="shared" si="16"/>
        <v>117.94065491996055</v>
      </c>
      <c r="P76" s="57">
        <f t="shared" si="14"/>
        <v>116.2815787513772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0"/>
        <v>7.6297087407167181</v>
      </c>
      <c r="K77" s="51">
        <f t="shared" si="11"/>
        <v>2.0734351480619382</v>
      </c>
      <c r="L77" s="55">
        <f t="shared" si="12"/>
        <v>6.0551117876920524E-3</v>
      </c>
      <c r="M77" s="51">
        <f t="shared" si="13"/>
        <v>2.0673800362742463</v>
      </c>
      <c r="N77" s="94">
        <f t="shared" si="15"/>
        <v>42629352.946278319</v>
      </c>
      <c r="O77" s="56">
        <f t="shared" si="16"/>
        <v>118.42275165255208</v>
      </c>
      <c r="P77" s="57">
        <f t="shared" si="14"/>
        <v>116.78310991887142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0"/>
        <v>7.6142147058103058</v>
      </c>
      <c r="K78" s="51">
        <f t="shared" si="11"/>
        <v>2.075269972184417</v>
      </c>
      <c r="L78" s="55">
        <f t="shared" si="12"/>
        <v>5.9647165053354463E-3</v>
      </c>
      <c r="M78" s="51">
        <f t="shared" si="13"/>
        <v>2.0693052556790814</v>
      </c>
      <c r="N78" s="94">
        <f t="shared" si="15"/>
        <v>41135303.489789173</v>
      </c>
      <c r="O78" s="56">
        <f t="shared" si="16"/>
        <v>118.92412704276376</v>
      </c>
      <c r="P78" s="57">
        <f t="shared" si="14"/>
        <v>117.30195645380248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0"/>
        <v>7.5981473847417886</v>
      </c>
      <c r="K79" s="51">
        <f t="shared" si="11"/>
        <v>2.0771726856130495</v>
      </c>
      <c r="L79" s="55">
        <f t="shared" si="12"/>
        <v>5.8828786564922696E-3</v>
      </c>
      <c r="M79" s="51">
        <f t="shared" si="13"/>
        <v>2.0712898069565573</v>
      </c>
      <c r="N79" s="94">
        <f t="shared" si="15"/>
        <v>39641254.033299968</v>
      </c>
      <c r="O79" s="56">
        <f t="shared" si="16"/>
        <v>119.44629563763196</v>
      </c>
      <c r="P79" s="57">
        <f t="shared" si="14"/>
        <v>117.83920583346622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0"/>
        <v>7.5814627184023839</v>
      </c>
      <c r="K80" s="51">
        <f t="shared" si="11"/>
        <v>2.0791485058858168</v>
      </c>
      <c r="L80" s="55">
        <f t="shared" si="12"/>
        <v>5.8112629463107019E-3</v>
      </c>
      <c r="M80" s="51">
        <f t="shared" si="13"/>
        <v>2.0733372429395063</v>
      </c>
      <c r="N80" s="94">
        <f t="shared" si="15"/>
        <v>38147204.57681071</v>
      </c>
      <c r="O80" s="56">
        <f t="shared" si="16"/>
        <v>119.99095389996094</v>
      </c>
      <c r="P80" s="57">
        <f t="shared" si="14"/>
        <v>118.39605804323232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0"/>
        <v>7.5641113648534839</v>
      </c>
      <c r="K81" s="51">
        <f t="shared" si="11"/>
        <v>2.0812032761404007</v>
      </c>
      <c r="L81" s="55">
        <f t="shared" si="12"/>
        <v>5.7517694003022379E-3</v>
      </c>
      <c r="M81" s="51">
        <f t="shared" si="13"/>
        <v>2.0754515067400985</v>
      </c>
      <c r="N81" s="94">
        <f t="shared" si="15"/>
        <v>36653155.120321549</v>
      </c>
      <c r="O81" s="56">
        <f t="shared" si="16"/>
        <v>120.56001022505778</v>
      </c>
      <c r="P81" s="57">
        <f t="shared" si="14"/>
        <v>118.9738475714487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0"/>
        <v>7.5460378194676494</v>
      </c>
      <c r="K82" s="51">
        <f t="shared" si="11"/>
        <v>2.0833435693082523</v>
      </c>
      <c r="L82" s="55">
        <f t="shared" si="12"/>
        <v>5.7065499704382194E-3</v>
      </c>
      <c r="M82" s="51">
        <f t="shared" si="13"/>
        <v>2.0776370193378142</v>
      </c>
      <c r="N82" s="94">
        <f t="shared" si="15"/>
        <v>35159105.663832404</v>
      </c>
      <c r="O82" s="56">
        <f t="shared" si="16"/>
        <v>121.15562137067403</v>
      </c>
      <c r="P82" s="57">
        <f t="shared" si="14"/>
        <v>119.57407207929644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0"/>
        <v>7.5271793439047698</v>
      </c>
      <c r="K83" s="51">
        <f t="shared" si="11"/>
        <v>2.0855768149466516</v>
      </c>
      <c r="L83" s="55">
        <f t="shared" si="12"/>
        <v>5.6780204750615636E-3</v>
      </c>
      <c r="M83" s="51">
        <f t="shared" si="13"/>
        <v>2.0798987944715899</v>
      </c>
      <c r="N83" s="94">
        <f t="shared" si="15"/>
        <v>33665056.207343251</v>
      </c>
      <c r="O83" s="56">
        <f t="shared" si="16"/>
        <v>121.78023700965197</v>
      </c>
      <c r="P83" s="57">
        <f t="shared" si="14"/>
        <v>120.19842983590812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0"/>
        <v>7.5074646518096246</v>
      </c>
      <c r="K84" s="51">
        <f t="shared" si="11"/>
        <v>2.0879114548801425</v>
      </c>
      <c r="L84" s="55">
        <f t="shared" si="12"/>
        <v>5.6688663868329665E-3</v>
      </c>
      <c r="M84" s="51">
        <f t="shared" si="13"/>
        <v>2.0822425884933096</v>
      </c>
      <c r="N84" s="94">
        <f t="shared" si="15"/>
        <v>32171006.750854071</v>
      </c>
      <c r="O84" s="56">
        <f t="shared" si="16"/>
        <v>122.43665466916757</v>
      </c>
      <c r="P84" s="57">
        <f t="shared" si="14"/>
        <v>120.84886850034731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0"/>
        <v>7.4868122817502645</v>
      </c>
      <c r="K85" s="51">
        <f t="shared" si="11"/>
        <v>2.0903571358793247</v>
      </c>
      <c r="L85" s="55">
        <f t="shared" si="12"/>
        <v>5.6820417234061324E-3</v>
      </c>
      <c r="M85" s="51">
        <f t="shared" si="13"/>
        <v>2.0846750941559185</v>
      </c>
      <c r="N85" s="94">
        <f t="shared" si="15"/>
        <v>30676957.29436494</v>
      </c>
      <c r="O85" s="56">
        <f t="shared" si="16"/>
        <v>123.12808808971937</v>
      </c>
      <c r="P85" s="57">
        <f t="shared" si="14"/>
        <v>121.52764837552726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0"/>
        <v>7.4651285636035212</v>
      </c>
      <c r="K86" s="51">
        <f t="shared" si="11"/>
        <v>2.0929249504841705</v>
      </c>
      <c r="L86" s="55">
        <f t="shared" si="12"/>
        <v>5.7207617820152308E-3</v>
      </c>
      <c r="M86" s="51">
        <f t="shared" si="13"/>
        <v>2.0872041887021551</v>
      </c>
      <c r="N86" s="94">
        <f t="shared" si="15"/>
        <v>29182907.837875705</v>
      </c>
      <c r="O86" s="56">
        <f t="shared" si="16"/>
        <v>123.85825311939612</v>
      </c>
      <c r="P86" s="57">
        <f t="shared" si="14"/>
        <v>122.23742388296714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0"/>
        <v>7.4423050500436938</v>
      </c>
      <c r="K87" s="51">
        <f t="shared" si="11"/>
        <v>2.0956277411705377</v>
      </c>
      <c r="L87" s="55">
        <f t="shared" si="12"/>
        <v>5.7884928003107796E-3</v>
      </c>
      <c r="M87" s="51">
        <f t="shared" si="13"/>
        <v>2.0898392483702271</v>
      </c>
      <c r="N87" s="94">
        <f t="shared" si="15"/>
        <v>27688858.381386608</v>
      </c>
      <c r="O87" s="56">
        <f t="shared" si="16"/>
        <v>124.6314768051771</v>
      </c>
      <c r="P87" s="57">
        <f t="shared" si="14"/>
        <v>122.98134780987384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0"/>
        <v>7.4182152348830162</v>
      </c>
      <c r="K88" s="51">
        <f t="shared" si="11"/>
        <v>2.0984804889686322</v>
      </c>
      <c r="L88" s="55">
        <f t="shared" si="12"/>
        <v>5.8889447463974448E-3</v>
      </c>
      <c r="M88" s="51">
        <f t="shared" si="13"/>
        <v>2.0925915442222349</v>
      </c>
      <c r="N88" s="94">
        <f t="shared" si="15"/>
        <v>26194808.924897447</v>
      </c>
      <c r="O88" s="56">
        <f t="shared" si="16"/>
        <v>125.45283758885284</v>
      </c>
      <c r="P88" s="57">
        <f t="shared" si="14"/>
        <v>123.76320408722118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0"/>
        <v>7.392710306614652</v>
      </c>
      <c r="K89" s="51">
        <f t="shared" si="11"/>
        <v>2.1015008163340703</v>
      </c>
      <c r="L89" s="55">
        <f t="shared" si="12"/>
        <v>6.0260770423181658E-3</v>
      </c>
      <c r="M89" s="51">
        <f t="shared" si="13"/>
        <v>2.0954747392917521</v>
      </c>
      <c r="N89" s="94">
        <f t="shared" si="15"/>
        <v>24700759.468408238</v>
      </c>
      <c r="O89" s="56">
        <f t="shared" si="16"/>
        <v>126.32834783721221</v>
      </c>
      <c r="P89" s="57">
        <f t="shared" si="14"/>
        <v>124.58757688860119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0"/>
        <v>7.3656135754000953</v>
      </c>
      <c r="K90" s="51">
        <f t="shared" si="11"/>
        <v>2.1047096471114051</v>
      </c>
      <c r="L90" s="55">
        <f t="shared" si="12"/>
        <v>6.2041306756988965E-3</v>
      </c>
      <c r="M90" s="51">
        <f t="shared" si="13"/>
        <v>2.098505516435706</v>
      </c>
      <c r="N90" s="94">
        <f t="shared" si="15"/>
        <v>23206710.011919096</v>
      </c>
      <c r="O90" s="56">
        <f t="shared" si="16"/>
        <v>127.26519495019983</v>
      </c>
      <c r="P90" s="57">
        <f t="shared" si="14"/>
        <v>125.46006737731129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0"/>
        <v>7.3367130428808052</v>
      </c>
      <c r="K91" s="51">
        <f t="shared" si="11"/>
        <v>2.1081320864268696</v>
      </c>
      <c r="L91" s="55">
        <f t="shared" si="12"/>
        <v>6.4277035616156107E-3</v>
      </c>
      <c r="M91" s="51">
        <f t="shared" si="13"/>
        <v>2.101704382865254</v>
      </c>
      <c r="N91" s="94">
        <f t="shared" si="15"/>
        <v>21712660.555429909</v>
      </c>
      <c r="O91" s="56">
        <f t="shared" si="16"/>
        <v>128.27206502986058</v>
      </c>
      <c r="P91" s="57">
        <f t="shared" si="14"/>
        <v>126.38757551001542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0"/>
        <v>7.3057513187731136</v>
      </c>
      <c r="K92" s="51">
        <f t="shared" si="11"/>
        <v>2.1117986147785524</v>
      </c>
      <c r="L92" s="55">
        <f t="shared" si="12"/>
        <v>6.7018894504934133E-3</v>
      </c>
      <c r="M92" s="51">
        <f t="shared" si="13"/>
        <v>2.105096725328059</v>
      </c>
      <c r="N92" s="94">
        <f t="shared" si="15"/>
        <v>20218611.098940749</v>
      </c>
      <c r="O92" s="56">
        <f t="shared" si="16"/>
        <v>129.35958534051161</v>
      </c>
      <c r="P92" s="57">
        <f t="shared" si="14"/>
        <v>127.3786745043418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0"/>
        <v>7.2724116592957868</v>
      </c>
      <c r="K93" s="51">
        <f t="shared" si="11"/>
        <v>2.1157467413842901</v>
      </c>
      <c r="L93" s="55">
        <f t="shared" si="12"/>
        <v>7.0325054418980959E-3</v>
      </c>
      <c r="M93" s="51">
        <f t="shared" si="13"/>
        <v>2.1087142359423918</v>
      </c>
      <c r="N93" s="94">
        <f t="shared" si="15"/>
        <v>18724561.642451596</v>
      </c>
      <c r="O93" s="56">
        <f t="shared" si="16"/>
        <v>130.54094172615274</v>
      </c>
      <c r="P93" s="57">
        <f t="shared" si="14"/>
        <v>128.44412245635573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0"/>
        <v>7.2362981872699121</v>
      </c>
      <c r="K94" s="51">
        <f t="shared" si="11"/>
        <v>2.1200233465436162</v>
      </c>
      <c r="L94" s="55">
        <f t="shared" si="12"/>
        <v>7.4264420728425932E-3</v>
      </c>
      <c r="M94" s="51">
        <f t="shared" si="13"/>
        <v>2.1125969044707738</v>
      </c>
      <c r="N94" s="94">
        <f t="shared" si="15"/>
        <v>17230512.185962386</v>
      </c>
      <c r="O94" s="56">
        <f t="shared" si="16"/>
        <v>131.83276065203819</v>
      </c>
      <c r="P94" s="57">
        <f t="shared" si="14"/>
        <v>129.5975837370035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0"/>
        <v>7.1969071174947947</v>
      </c>
      <c r="K95" s="51">
        <f t="shared" si="11"/>
        <v>2.1246880891668383</v>
      </c>
      <c r="L95" s="55">
        <f t="shared" si="12"/>
        <v>7.8921880388254598E-3</v>
      </c>
      <c r="M95" s="51">
        <f t="shared" si="13"/>
        <v>2.1167959011280129</v>
      </c>
      <c r="N95" s="94">
        <f t="shared" si="15"/>
        <v>15736462.729473224</v>
      </c>
      <c r="O95" s="56">
        <f t="shared" si="16"/>
        <v>133.25640392656715</v>
      </c>
      <c r="P95" s="57">
        <f t="shared" si="14"/>
        <v>130.85668109312479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0"/>
        <v>7.1535835835663759</v>
      </c>
      <c r="K96" s="51">
        <f t="shared" si="11"/>
        <v>2.1298185194003469</v>
      </c>
      <c r="L96" s="55">
        <f t="shared" si="12"/>
        <v>8.440617880262586E-3</v>
      </c>
      <c r="M96" s="51">
        <f t="shared" si="13"/>
        <v>2.1213779015200842</v>
      </c>
      <c r="N96" s="94">
        <f t="shared" si="15"/>
        <v>14242413.272984032</v>
      </c>
      <c r="O96" s="56">
        <f t="shared" si="16"/>
        <v>134.83993031309183</v>
      </c>
      <c r="P96" s="57">
        <f t="shared" si="14"/>
        <v>132.24458604824849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0"/>
        <v>7.1054544490001224</v>
      </c>
      <c r="K97" s="51">
        <f t="shared" si="11"/>
        <v>2.1355180352223782</v>
      </c>
      <c r="L97" s="55">
        <f t="shared" si="12"/>
        <v>9.0862031079877812E-3</v>
      </c>
      <c r="M97" s="51">
        <f t="shared" si="13"/>
        <v>2.1264318321143905</v>
      </c>
      <c r="N97" s="94">
        <f t="shared" si="15"/>
        <v>12748363.816494888</v>
      </c>
      <c r="O97" s="56">
        <f t="shared" si="16"/>
        <v>136.62118100566641</v>
      </c>
      <c r="P97" s="57">
        <f t="shared" si="14"/>
        <v>133.79251947794407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0"/>
        <v>7.0513190418744021</v>
      </c>
      <c r="K98" s="51">
        <f t="shared" si="11"/>
        <v>2.1419288217911743</v>
      </c>
      <c r="L98" s="55">
        <f t="shared" si="12"/>
        <v>9.8489541389315573E-3</v>
      </c>
      <c r="M98" s="51">
        <f t="shared" si="13"/>
        <v>2.1320798676522426</v>
      </c>
      <c r="N98" s="94">
        <f t="shared" si="15"/>
        <v>11254314.360005697</v>
      </c>
      <c r="O98" s="56">
        <f t="shared" si="16"/>
        <v>138.65285666988424</v>
      </c>
      <c r="P98" s="57">
        <f t="shared" si="14"/>
        <v>135.54386574007026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0"/>
        <v>6.9894616050206073</v>
      </c>
      <c r="K99" s="51">
        <f t="shared" si="11"/>
        <v>2.1492540613417246</v>
      </c>
      <c r="L99" s="55">
        <f t="shared" si="12"/>
        <v>1.0757716712110014E-2</v>
      </c>
      <c r="M99" s="51">
        <f t="shared" si="13"/>
        <v>2.1384963446296146</v>
      </c>
      <c r="N99" s="94">
        <f t="shared" si="15"/>
        <v>9760264.9035165422</v>
      </c>
      <c r="O99" s="56">
        <f t="shared" si="16"/>
        <v>141.01134705426762</v>
      </c>
      <c r="P99" s="57">
        <f t="shared" si="14"/>
        <v>137.56132319632621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0"/>
        <v>6.9173067203548069</v>
      </c>
      <c r="K100" s="51">
        <f t="shared" si="11"/>
        <v>2.1577987382925103</v>
      </c>
      <c r="L100" s="55">
        <f t="shared" si="12"/>
        <v>1.1856186787551215E-2</v>
      </c>
      <c r="M100" s="51">
        <f t="shared" si="13"/>
        <v>2.1459425515049593</v>
      </c>
      <c r="N100" s="94">
        <f t="shared" si="15"/>
        <v>8266215.4470273731</v>
      </c>
      <c r="O100" s="56">
        <f t="shared" si="16"/>
        <v>143.81319615170571</v>
      </c>
      <c r="P100" s="57">
        <f t="shared" si="14"/>
        <v>139.94021973384528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0"/>
        <v>6.8307275944297077</v>
      </c>
      <c r="K101" s="51">
        <f t="shared" si="11"/>
        <v>2.1680515529860394</v>
      </c>
      <c r="L101" s="55">
        <f t="shared" si="12"/>
        <v>1.3214944737826865E-2</v>
      </c>
      <c r="M101" s="51">
        <f t="shared" si="13"/>
        <v>2.1548366082482127</v>
      </c>
      <c r="N101" s="94">
        <f t="shared" si="15"/>
        <v>6772165.9905382134</v>
      </c>
      <c r="O101" s="56">
        <f t="shared" si="16"/>
        <v>147.24872838637748</v>
      </c>
      <c r="P101" s="57">
        <f t="shared" si="14"/>
        <v>142.83564762637116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0"/>
        <v>6.7224789746554867</v>
      </c>
      <c r="K102" s="51">
        <f t="shared" si="11"/>
        <v>2.1808704978242615</v>
      </c>
      <c r="L102" s="55">
        <f t="shared" si="12"/>
        <v>1.4958689673202737E-2</v>
      </c>
      <c r="M102" s="51">
        <f t="shared" si="13"/>
        <v>2.1659118081510589</v>
      </c>
      <c r="N102" s="94">
        <f>10^$J102</f>
        <v>5278116.5340490462</v>
      </c>
      <c r="O102" s="56">
        <f t="shared" si="16"/>
        <v>151.65980659841682</v>
      </c>
      <c r="P102" s="57">
        <f t="shared" si="14"/>
        <v>146.52502634899457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8.1894427609960694</v>
      </c>
      <c r="K104" s="51">
        <f t="shared" si="11"/>
        <v>2.007150704481937</v>
      </c>
      <c r="L104" s="55">
        <f t="shared" si="12"/>
        <v>1.3255145636186006E-2</v>
      </c>
      <c r="M104" s="51">
        <f>+$I$14+$I$13*J104+L104</f>
        <v>2.0204058501181228</v>
      </c>
      <c r="N104" s="94">
        <f t="shared" ref="N104:N167" si="17">10^$J104</f>
        <v>154683062.18296623</v>
      </c>
      <c r="O104" s="56">
        <f t="shared" ref="O104:O167" si="18">10^K104</f>
        <v>101.66014024147464</v>
      </c>
      <c r="P104" s="57">
        <f t="shared" ref="P104:P167" si="19">10^M104</f>
        <v>104.8107551690279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20">LOG($I$24+($I$25-$I$24)*(ROW()-104)/100)</f>
        <v>8.1852276172327425</v>
      </c>
      <c r="K105" s="51">
        <f t="shared" si="11"/>
        <v>2.007649867385815</v>
      </c>
      <c r="L105" s="55">
        <f t="shared" si="12"/>
        <v>1.3188107964470466E-2</v>
      </c>
      <c r="M105" s="51">
        <f t="shared" ref="M105:M168" si="21">+$I$14+$I$13*J105+L105</f>
        <v>2.0208379753502856</v>
      </c>
      <c r="N105" s="94">
        <f t="shared" si="17"/>
        <v>153189012.72647673</v>
      </c>
      <c r="O105" s="56">
        <f t="shared" si="18"/>
        <v>101.77705202910133</v>
      </c>
      <c r="P105" s="57">
        <f t="shared" si="19"/>
        <v>104.91509430721037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20"/>
        <v>8.1809711611402864</v>
      </c>
      <c r="K106" s="51">
        <f t="shared" si="11"/>
        <v>2.0081539225503917</v>
      </c>
      <c r="L106" s="55">
        <f t="shared" si="12"/>
        <v>1.3120491547571117E-2</v>
      </c>
      <c r="M106" s="51">
        <f t="shared" si="21"/>
        <v>2.021274414097963</v>
      </c>
      <c r="N106" s="94">
        <f t="shared" si="17"/>
        <v>151694963.26998729</v>
      </c>
      <c r="O106" s="56">
        <f t="shared" si="18"/>
        <v>101.89524609615115</v>
      </c>
      <c r="P106" s="57">
        <f t="shared" si="19"/>
        <v>105.0205803991004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20"/>
        <v>8.176672574898193</v>
      </c>
      <c r="K107" s="51">
        <f t="shared" si="11"/>
        <v>2.0086629668230547</v>
      </c>
      <c r="L107" s="55">
        <f t="shared" si="12"/>
        <v>1.3052286948227446E-2</v>
      </c>
      <c r="M107" s="51">
        <f t="shared" si="21"/>
        <v>2.0217152537712821</v>
      </c>
      <c r="N107" s="94">
        <f t="shared" si="17"/>
        <v>150200913.81349865</v>
      </c>
      <c r="O107" s="56">
        <f t="shared" si="18"/>
        <v>102.01474934539763</v>
      </c>
      <c r="P107" s="57">
        <f t="shared" si="19"/>
        <v>105.12723785326206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20"/>
        <v>8.1723310161585676</v>
      </c>
      <c r="K108" s="51">
        <f t="shared" si="11"/>
        <v>2.0091770999557563</v>
      </c>
      <c r="L108" s="55">
        <f t="shared" si="12"/>
        <v>1.2983484524453089E-2</v>
      </c>
      <c r="M108" s="51">
        <f t="shared" si="21"/>
        <v>2.0221605844802095</v>
      </c>
      <c r="N108" s="94">
        <f t="shared" si="17"/>
        <v>148706864.35700962</v>
      </c>
      <c r="O108" s="56">
        <f t="shared" si="18"/>
        <v>102.13558951880273</v>
      </c>
      <c r="P108" s="57">
        <f t="shared" si="19"/>
        <v>105.23509185684313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20"/>
        <v>8.1679456170554108</v>
      </c>
      <c r="K109" s="51">
        <f t="shared" si="11"/>
        <v>2.0096964247223372</v>
      </c>
      <c r="L109" s="55">
        <f t="shared" si="12"/>
        <v>1.2914074425285436E-2</v>
      </c>
      <c r="M109" s="51">
        <f t="shared" si="21"/>
        <v>2.0226104991476226</v>
      </c>
      <c r="N109" s="94">
        <f t="shared" si="17"/>
        <v>147212814.90052009</v>
      </c>
      <c r="O109" s="56">
        <f t="shared" si="18"/>
        <v>102.25779523243861</v>
      </c>
      <c r="P109" s="57">
        <f t="shared" si="19"/>
        <v>105.34416840895354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20"/>
        <v>8.1635154831633709</v>
      </c>
      <c r="K110" s="51">
        <f t="shared" si="11"/>
        <v>2.0102210470418314</v>
      </c>
      <c r="L110" s="55">
        <f t="shared" si="12"/>
        <v>1.2844046586574299E-2</v>
      </c>
      <c r="M110" s="51">
        <f t="shared" si="21"/>
        <v>2.0230650936284058</v>
      </c>
      <c r="N110" s="94">
        <f t="shared" si="17"/>
        <v>145718765.44403112</v>
      </c>
      <c r="O110" s="56">
        <f t="shared" si="18"/>
        <v>102.3813960132328</v>
      </c>
      <c r="P110" s="57">
        <f t="shared" si="19"/>
        <v>105.45449435585459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20"/>
        <v>8.1590396924028266</v>
      </c>
      <c r="K111" s="51">
        <f t="shared" si="11"/>
        <v>2.0107510761081282</v>
      </c>
      <c r="L111" s="55">
        <f t="shared" si="12"/>
        <v>1.2773390726831231E-2</v>
      </c>
      <c r="M111" s="51">
        <f t="shared" si="21"/>
        <v>2.0235244668349592</v>
      </c>
      <c r="N111" s="94">
        <f t="shared" si="17"/>
        <v>144224715.98754144</v>
      </c>
      <c r="O111" s="56">
        <f t="shared" si="18"/>
        <v>102.50642233765318</v>
      </c>
      <c r="P111" s="57">
        <f t="shared" si="19"/>
        <v>105.5660974280762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20"/>
        <v>8.1545172938879773</v>
      </c>
      <c r="K112" s="51">
        <f t="shared" si="11"/>
        <v>2.0112866245263827</v>
      </c>
      <c r="L112" s="55">
        <f t="shared" si="12"/>
        <v>1.270209634316509E-2</v>
      </c>
      <c r="M112" s="51">
        <f t="shared" si="21"/>
        <v>2.0239887208695477</v>
      </c>
      <c r="N112" s="94">
        <f t="shared" si="17"/>
        <v>142730666.53105259</v>
      </c>
      <c r="O112" s="56">
        <f t="shared" si="18"/>
        <v>102.63290567245673</v>
      </c>
      <c r="P112" s="57">
        <f t="shared" si="19"/>
        <v>105.67900627959381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20"/>
        <v>8.1499473067143047</v>
      </c>
      <c r="K113" s="51">
        <f t="shared" si="11"/>
        <v>2.0118278084566064</v>
      </c>
      <c r="L113" s="55">
        <f t="shared" si="12"/>
        <v>1.2630152707332068E-2</v>
      </c>
      <c r="M113" s="51">
        <f t="shared" si="21"/>
        <v>2.0244579611639386</v>
      </c>
      <c r="N113" s="94">
        <f t="shared" si="17"/>
        <v>141236617.07456332</v>
      </c>
      <c r="O113" s="56">
        <f t="shared" si="18"/>
        <v>102.7608785176339</v>
      </c>
      <c r="P113" s="57">
        <f t="shared" si="19"/>
        <v>105.79325052920071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20"/>
        <v>8.1453287186815757</v>
      </c>
      <c r="K114" s="51">
        <f t="shared" si="11"/>
        <v>2.0123747477648903</v>
      </c>
      <c r="L114" s="55">
        <f t="shared" si="12"/>
        <v>1.2557548861933956E-2</v>
      </c>
      <c r="M114" s="51">
        <f t="shared" si="21"/>
        <v>2.0249322966268242</v>
      </c>
      <c r="N114" s="94">
        <f t="shared" si="17"/>
        <v>139742567.61807433</v>
      </c>
      <c r="O114" s="56">
        <f t="shared" si="18"/>
        <v>102.89037445169186</v>
      </c>
      <c r="P114" s="57">
        <f t="shared" si="19"/>
        <v>105.90886080422739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20"/>
        <v>8.1406604849481941</v>
      </c>
      <c r="K115" s="51">
        <f t="shared" si="11"/>
        <v>2.0129275661827601</v>
      </c>
      <c r="L115" s="55">
        <f t="shared" si="12"/>
        <v>1.2484273616801968E-2</v>
      </c>
      <c r="M115" s="51">
        <f t="shared" si="21"/>
        <v>2.025411839799562</v>
      </c>
      <c r="N115" s="94">
        <f t="shared" si="17"/>
        <v>138248518.16158494</v>
      </c>
      <c r="O115" s="56">
        <f t="shared" si="18"/>
        <v>103.02142817943236</v>
      </c>
      <c r="P115" s="57">
        <f t="shared" si="19"/>
        <v>106.02586878677178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20"/>
        <v>8.1359415266124557</v>
      </c>
      <c r="K116" s="51">
        <f t="shared" si="11"/>
        <v>2.0134863914751828</v>
      </c>
      <c r="L116" s="55">
        <f t="shared" si="12"/>
        <v>1.2410315545610062E-2</v>
      </c>
      <c r="M116" s="51">
        <f t="shared" si="21"/>
        <v>2.0258967070207929</v>
      </c>
      <c r="N116" s="94">
        <f t="shared" si="17"/>
        <v>136754468.70509619</v>
      </c>
      <c r="O116" s="56">
        <f t="shared" si="18"/>
        <v>103.15407558238594</v>
      </c>
      <c r="P116" s="57">
        <f t="shared" si="19"/>
        <v>106.1443072626104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20"/>
        <v>8.1311707292158513</v>
      </c>
      <c r="K117" s="51">
        <f t="shared" si="11"/>
        <v>2.014051355617811</v>
      </c>
      <c r="L117" s="55">
        <f t="shared" si="12"/>
        <v>1.233566298276683E-2</v>
      </c>
      <c r="M117" s="51">
        <f t="shared" si="21"/>
        <v>2.0263870186005777</v>
      </c>
      <c r="N117" s="94">
        <f t="shared" si="17"/>
        <v>135260419.24860647</v>
      </c>
      <c r="O117" s="56">
        <f t="shared" si="18"/>
        <v>103.28835377208721</v>
      </c>
      <c r="P117" s="57">
        <f t="shared" si="19"/>
        <v>106.26421017298703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20"/>
        <v>8.1263469411632787</v>
      </c>
      <c r="K118" s="51">
        <f t="shared" si="11"/>
        <v>2.0146225949840604</v>
      </c>
      <c r="L118" s="55">
        <f t="shared" si="12"/>
        <v>1.2260304020643615E-2</v>
      </c>
      <c r="M118" s="51">
        <f t="shared" si="21"/>
        <v>2.0268828990047041</v>
      </c>
      <c r="N118" s="94">
        <f t="shared" si="17"/>
        <v>133766369.79211754</v>
      </c>
      <c r="O118" s="56">
        <f t="shared" si="18"/>
        <v>103.4243011463774</v>
      </c>
      <c r="P118" s="57">
        <f t="shared" si="19"/>
        <v>106.38561266947985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20"/>
        <v>8.1214689720544957</v>
      </c>
      <c r="K119" s="51">
        <f t="shared" si="11"/>
        <v>2.0152002505427036</v>
      </c>
      <c r="L119" s="55">
        <f t="shared" si="12"/>
        <v>1.2184226507202639E-2</v>
      </c>
      <c r="M119" s="51">
        <f t="shared" si="21"/>
        <v>2.0273844770499063</v>
      </c>
      <c r="N119" s="94">
        <f t="shared" si="17"/>
        <v>132272320.33562842</v>
      </c>
      <c r="O119" s="56">
        <f t="shared" si="18"/>
        <v>103.56195744894953</v>
      </c>
      <c r="P119" s="57">
        <f t="shared" si="19"/>
        <v>106.50855117217188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20"/>
        <v>8.1165355909208206</v>
      </c>
      <c r="K120" s="51">
        <f t="shared" si="11"/>
        <v>2.0157844680666814</v>
      </c>
      <c r="L120" s="55">
        <f t="shared" si="12"/>
        <v>1.2107418044100137E-2</v>
      </c>
      <c r="M120" s="51">
        <f t="shared" si="21"/>
        <v>2.0278918861107815</v>
      </c>
      <c r="N120" s="94">
        <f t="shared" si="17"/>
        <v>130778270.87913927</v>
      </c>
      <c r="O120" s="56">
        <f t="shared" si="18"/>
        <v>103.7013638323555</v>
      </c>
      <c r="P120" s="57">
        <f t="shared" si="19"/>
        <v>106.63306343136864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20"/>
        <v>8.1115455243605155</v>
      </c>
      <c r="K121" s="51">
        <f t="shared" si="11"/>
        <v>2.016375398353913</v>
      </c>
      <c r="L121" s="55">
        <f t="shared" si="12"/>
        <v>1.2029865985348531E-2</v>
      </c>
      <c r="M121" s="51">
        <f t="shared" si="21"/>
        <v>2.0284052643392614</v>
      </c>
      <c r="N121" s="94">
        <f t="shared" si="17"/>
        <v>129284221.42265035</v>
      </c>
      <c r="O121" s="56">
        <f t="shared" si="18"/>
        <v>103.84256292472264</v>
      </c>
      <c r="P121" s="57">
        <f t="shared" si="19"/>
        <v>106.75918859312389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20"/>
        <v>8.1064974545658011</v>
      </c>
      <c r="K122" s="51">
        <f t="shared" si="11"/>
        <v>2.0169731974609402</v>
      </c>
      <c r="L122" s="55">
        <f t="shared" si="12"/>
        <v>1.1951557436634428E-2</v>
      </c>
      <c r="M122" s="51">
        <f t="shared" si="21"/>
        <v>2.0289247548975746</v>
      </c>
      <c r="N122" s="94">
        <f t="shared" si="17"/>
        <v>127790171.96616095</v>
      </c>
      <c r="O122" s="56">
        <f t="shared" si="18"/>
        <v>103.98559890044268</v>
      </c>
      <c r="P122" s="57">
        <f t="shared" si="19"/>
        <v>106.88696726886276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20"/>
        <v>8.1013900172338467</v>
      </c>
      <c r="K123" s="51">
        <f t="shared" si="11"/>
        <v>2.0175780269503099</v>
      </c>
      <c r="L123" s="55">
        <f t="shared" si="12"/>
        <v>1.1872479255402588E-2</v>
      </c>
      <c r="M123" s="51">
        <f t="shared" si="21"/>
        <v>2.0294505062057127</v>
      </c>
      <c r="N123" s="94">
        <f t="shared" si="17"/>
        <v>126296122.50967154</v>
      </c>
      <c r="O123" s="56">
        <f t="shared" si="18"/>
        <v>104.13051755511789</v>
      </c>
      <c r="P123" s="57">
        <f t="shared" si="19"/>
        <v>107.01644160941362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20"/>
        <v>8.096221799353458</v>
      </c>
      <c r="K124" s="51">
        <f t="shared" si="11"/>
        <v>2.0181900541526776</v>
      </c>
      <c r="L124" s="55">
        <f t="shared" si="12"/>
        <v>1.1792618051831709E-2</v>
      </c>
      <c r="M124" s="51">
        <f t="shared" si="21"/>
        <v>2.0299826722045093</v>
      </c>
      <c r="N124" s="94">
        <f t="shared" si="17"/>
        <v>124802073.05318214</v>
      </c>
      <c r="O124" s="56">
        <f t="shared" si="18"/>
        <v>104.27736638507646</v>
      </c>
      <c r="P124" s="57">
        <f t="shared" si="19"/>
        <v>107.14765538378936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20"/>
        <v>8.0909913368584689</v>
      </c>
      <c r="K125" s="51">
        <f t="shared" si="11"/>
        <v>2.0188094524446973</v>
      </c>
      <c r="L125" s="55">
        <f t="shared" si="12"/>
        <v>1.1711960190845593E-2</v>
      </c>
      <c r="M125" s="51">
        <f t="shared" si="21"/>
        <v>2.0305214126355429</v>
      </c>
      <c r="N125" s="94">
        <f t="shared" si="17"/>
        <v>123308023.59669319</v>
      </c>
      <c r="O125" s="56">
        <f t="shared" si="18"/>
        <v>104.4261946717935</v>
      </c>
      <c r="P125" s="57">
        <f t="shared" si="19"/>
        <v>107.28065406309216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20"/>
        <v>8.0856971121381047</v>
      </c>
      <c r="K126" s="51">
        <f t="shared" si="11"/>
        <v>2.019436401543846</v>
      </c>
      <c r="L126" s="55">
        <f t="shared" si="12"/>
        <v>1.1630491795324025E-2</v>
      </c>
      <c r="M126" s="51">
        <f t="shared" si="21"/>
        <v>2.0310668933391698</v>
      </c>
      <c r="N126" s="94">
        <f t="shared" si="17"/>
        <v>121813974.14020431</v>
      </c>
      <c r="O126" s="56">
        <f t="shared" si="18"/>
        <v>104.57705357158297</v>
      </c>
      <c r="P126" s="57">
        <f t="shared" si="19"/>
        <v>107.41548490994472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20"/>
        <v>8.0803375513937006</v>
      </c>
      <c r="K127" s="51">
        <f t="shared" si="11"/>
        <v>2.0200710878214441</v>
      </c>
      <c r="L127" s="55">
        <f t="shared" si="12"/>
        <v>1.1548198750700451E-2</v>
      </c>
      <c r="M127" s="51">
        <f t="shared" si="21"/>
        <v>2.0316192865721443</v>
      </c>
      <c r="N127" s="94">
        <f t="shared" si="17"/>
        <v>120319924.68371534</v>
      </c>
      <c r="O127" s="56">
        <f t="shared" si="18"/>
        <v>104.72999621095965</v>
      </c>
      <c r="P127" s="57">
        <f t="shared" si="19"/>
        <v>107.55219707389686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20"/>
        <v>8.0749110218302906</v>
      </c>
      <c r="K128" s="51">
        <f t="shared" si="11"/>
        <v>2.0207137046352326</v>
      </c>
      <c r="L128" s="55">
        <f t="shared" si="12"/>
        <v>1.1465066711161188E-2</v>
      </c>
      <c r="M128" s="51">
        <f t="shared" si="21"/>
        <v>2.0321787713463939</v>
      </c>
      <c r="N128" s="94">
        <f t="shared" si="17"/>
        <v>118825875.22722596</v>
      </c>
      <c r="O128" s="56">
        <f t="shared" si="18"/>
        <v>104.88507778810518</v>
      </c>
      <c r="P128" s="57">
        <f t="shared" si="19"/>
        <v>107.69084169329281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20"/>
        <v>8.069415828670488</v>
      </c>
      <c r="K129" s="51">
        <f t="shared" si="11"/>
        <v>2.0213644526829935</v>
      </c>
      <c r="L129" s="55">
        <f t="shared" si="12"/>
        <v>1.1381081107690559E-2</v>
      </c>
      <c r="M129" s="51">
        <f t="shared" si="21"/>
        <v>2.0327455337906839</v>
      </c>
      <c r="N129" s="94">
        <f t="shared" si="17"/>
        <v>117331825.77073675</v>
      </c>
      <c r="O129" s="56">
        <f t="shared" si="18"/>
        <v>105.04235568091075</v>
      </c>
      <c r="P129" s="57">
        <f t="shared" si="19"/>
        <v>107.83147200413512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20"/>
        <v>8.0638502119770248</v>
      </c>
      <c r="K130" s="51">
        <f t="shared" ref="K130:K193" si="22">+$I$14+$I$13*J130</f>
        <v>2.0220235403788274</v>
      </c>
      <c r="L130" s="55">
        <f t="shared" ref="L130:L193" si="23">SQRT(2*$I$20*$I$17)*SQRT((1/$I$2)+((J130-$I$11)^2/$I$8))</f>
        <v>1.1296227158242623E-2</v>
      </c>
      <c r="M130" s="51">
        <f t="shared" si="21"/>
        <v>2.03331976753707</v>
      </c>
      <c r="N130" s="94">
        <f t="shared" si="17"/>
        <v>115837776.31424733</v>
      </c>
      <c r="O130" s="56">
        <f t="shared" si="18"/>
        <v>105.20188956211165</v>
      </c>
      <c r="P130" s="57">
        <f t="shared" si="19"/>
        <v>107.97414345653293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20"/>
        <v>8.0582123432690338</v>
      </c>
      <c r="K131" s="51">
        <f t="shared" si="22"/>
        <v>2.0226911842538589</v>
      </c>
      <c r="L131" s="55">
        <f t="shared" si="23"/>
        <v>1.121048988036023E-2</v>
      </c>
      <c r="M131" s="51">
        <f t="shared" si="21"/>
        <v>2.0339016741342193</v>
      </c>
      <c r="N131" s="94">
        <f t="shared" si="17"/>
        <v>114343726.85775831</v>
      </c>
      <c r="O131" s="56">
        <f t="shared" si="18"/>
        <v>105.36374152207974</v>
      </c>
      <c r="P131" s="57">
        <f t="shared" si="19"/>
        <v>108.11891383937873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20"/>
        <v>8.0525003219157831</v>
      </c>
      <c r="K132" s="51">
        <f t="shared" si="22"/>
        <v>2.0233676093832953</v>
      </c>
      <c r="L132" s="55">
        <f t="shared" si="23"/>
        <v>1.1123854106608599E-2</v>
      </c>
      <c r="M132" s="51">
        <f t="shared" si="21"/>
        <v>2.0344914634899038</v>
      </c>
      <c r="N132" s="94">
        <f t="shared" si="17"/>
        <v>112849677.40126909</v>
      </c>
      <c r="O132" s="56">
        <f t="shared" si="18"/>
        <v>105.52797619988836</v>
      </c>
      <c r="P132" s="57">
        <f t="shared" si="19"/>
        <v>108.26584341396956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20"/>
        <v>8.0467121712900962</v>
      </c>
      <c r="K133" s="51">
        <f t="shared" si="22"/>
        <v>2.0240530498419425</v>
      </c>
      <c r="L133" s="55">
        <f t="shared" si="23"/>
        <v>1.1036304503245191E-2</v>
      </c>
      <c r="M133" s="51">
        <f t="shared" si="21"/>
        <v>2.0350893543451876</v>
      </c>
      <c r="N133" s="94">
        <f t="shared" si="17"/>
        <v>111355627.9447799</v>
      </c>
      <c r="O133" s="56">
        <f t="shared" si="18"/>
        <v>105.69466092332543</v>
      </c>
      <c r="P133" s="57">
        <f t="shared" si="19"/>
        <v>108.41499505735223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20"/>
        <v>8.0408458346619422</v>
      </c>
      <c r="K134" s="51">
        <f t="shared" si="22"/>
        <v>2.0247477491904942</v>
      </c>
      <c r="L134" s="55">
        <f t="shared" si="23"/>
        <v>1.0947825592608589E-2</v>
      </c>
      <c r="M134" s="51">
        <f t="shared" si="21"/>
        <v>2.0356955747831029</v>
      </c>
      <c r="N134" s="94">
        <f t="shared" si="17"/>
        <v>109861578.48829067</v>
      </c>
      <c r="O134" s="56">
        <f t="shared" si="18"/>
        <v>105.86386585859644</v>
      </c>
      <c r="P134" s="57">
        <f t="shared" si="19"/>
        <v>108.56643441626406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20"/>
        <v>8.0348991708108777</v>
      </c>
      <c r="K135" s="51">
        <f t="shared" si="22"/>
        <v>2.0254519609951087</v>
      </c>
      <c r="L135" s="55">
        <f t="shared" si="23"/>
        <v>1.0858401779781609E-2</v>
      </c>
      <c r="M135" s="51">
        <f t="shared" si="21"/>
        <v>2.0363103627748904</v>
      </c>
      <c r="N135" s="94">
        <f t="shared" si="17"/>
        <v>108367529.03180178</v>
      </c>
      <c r="O135" s="56">
        <f t="shared" si="18"/>
        <v>106.03566417052654</v>
      </c>
      <c r="P135" s="57">
        <f t="shared" si="19"/>
        <v>108.72023007262375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20"/>
        <v>8.0288699493339006</v>
      </c>
      <c r="K136" s="51">
        <f t="shared" si="22"/>
        <v>2.0261659493830622</v>
      </c>
      <c r="L136" s="55">
        <f t="shared" si="23"/>
        <v>1.0768017384166124E-2</v>
      </c>
      <c r="M136" s="51">
        <f t="shared" si="21"/>
        <v>2.0369339667672284</v>
      </c>
      <c r="N136" s="94">
        <f t="shared" si="17"/>
        <v>106873479.57531251</v>
      </c>
      <c r="O136" s="56">
        <f t="shared" si="18"/>
        <v>106.21013219415899</v>
      </c>
      <c r="P136" s="57">
        <f t="shared" si="19"/>
        <v>108.8764537216376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20"/>
        <v>8.0227558456229939</v>
      </c>
      <c r="K137" s="51">
        <f t="shared" si="22"/>
        <v>2.026889989637513</v>
      </c>
      <c r="L137" s="55">
        <f t="shared" si="23"/>
        <v>1.067665667670304E-2</v>
      </c>
      <c r="M137" s="51">
        <f t="shared" si="21"/>
        <v>2.0375666463142159</v>
      </c>
      <c r="N137" s="94">
        <f t="shared" si="17"/>
        <v>105379430.11882316</v>
      </c>
      <c r="O137" s="56">
        <f t="shared" si="18"/>
        <v>106.3873496187275</v>
      </c>
      <c r="P137" s="57">
        <f t="shared" si="19"/>
        <v>109.03518036369566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20"/>
        <v>8.0165544354840605</v>
      </c>
      <c r="K138" s="51">
        <f t="shared" si="22"/>
        <v>2.0276243688347351</v>
      </c>
      <c r="L138" s="55">
        <f t="shared" si="23"/>
        <v>1.0584303923582034E-2</v>
      </c>
      <c r="M138" s="51">
        <f t="shared" si="21"/>
        <v>2.0382086727583171</v>
      </c>
      <c r="N138" s="94">
        <f t="shared" si="17"/>
        <v>103885380.66233446</v>
      </c>
      <c r="O138" s="56">
        <f t="shared" si="18"/>
        <v>106.56739968508826</v>
      </c>
      <c r="P138" s="57">
        <f t="shared" si="19"/>
        <v>109.19648851136915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20"/>
        <v>8.0102631893660572</v>
      </c>
      <c r="K139" s="51">
        <f t="shared" si="22"/>
        <v>2.028369386527511</v>
      </c>
      <c r="L139" s="55">
        <f t="shared" si="23"/>
        <v>1.0490943437414083E-2</v>
      </c>
      <c r="M139" s="51">
        <f t="shared" si="21"/>
        <v>2.0388603299649253</v>
      </c>
      <c r="N139" s="94">
        <f t="shared" si="17"/>
        <v>102391331.20584521</v>
      </c>
      <c r="O139" s="56">
        <f t="shared" si="18"/>
        <v>106.75036939780443</v>
      </c>
      <c r="P139" s="57">
        <f t="shared" si="19"/>
        <v>109.36046041296289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20"/>
        <v>8.0038794661659765</v>
      </c>
      <c r="K140" s="51">
        <f t="shared" si="22"/>
        <v>2.0291253554787549</v>
      </c>
      <c r="L140" s="55">
        <f t="shared" si="23"/>
        <v>1.039655963699028E-2</v>
      </c>
      <c r="M140" s="51">
        <f t="shared" si="21"/>
        <v>2.0395219151157451</v>
      </c>
      <c r="N140" s="94">
        <f t="shared" si="17"/>
        <v>100897281.74935563</v>
      </c>
      <c r="O140" s="56">
        <f t="shared" si="18"/>
        <v>106.93634975320148</v>
      </c>
      <c r="P140" s="57">
        <f t="shared" si="19"/>
        <v>109.52718229424703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20"/>
        <v>7.997400506571684</v>
      </c>
      <c r="K141" s="51">
        <f t="shared" si="22"/>
        <v>2.0298926024498618</v>
      </c>
      <c r="L141" s="55">
        <f t="shared" si="23"/>
        <v>1.030113711692382E-2</v>
      </c>
      <c r="M141" s="51">
        <f t="shared" si="21"/>
        <v>2.0401937395667855</v>
      </c>
      <c r="N141" s="94">
        <f t="shared" si="17"/>
        <v>99403232.292866826</v>
      </c>
      <c r="O141" s="56">
        <f t="shared" si="18"/>
        <v>107.1254359848536</v>
      </c>
      <c r="P141" s="57">
        <f t="shared" si="19"/>
        <v>109.69674462018158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20"/>
        <v>7.9908234259006106</v>
      </c>
      <c r="K142" s="51">
        <f t="shared" si="22"/>
        <v>2.0306714690487606</v>
      </c>
      <c r="L142" s="55">
        <f t="shared" si="23"/>
        <v>1.0204660728675423E-2</v>
      </c>
      <c r="M142" s="51">
        <f t="shared" si="21"/>
        <v>2.0408761297774358</v>
      </c>
      <c r="N142" s="94">
        <f t="shared" si="17"/>
        <v>97909182.836377695</v>
      </c>
      <c r="O142" s="56">
        <f t="shared" si="18"/>
        <v>107.31772782811842</v>
      </c>
      <c r="P142" s="57">
        <f t="shared" si="19"/>
        <v>109.86924237865807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20"/>
        <v>7.9841452063878044</v>
      </c>
      <c r="K143" s="51">
        <f t="shared" si="22"/>
        <v>2.0314623126431712</v>
      </c>
      <c r="L143" s="55">
        <f t="shared" si="23"/>
        <v>1.0107115674699435E-2</v>
      </c>
      <c r="M143" s="51">
        <f t="shared" si="21"/>
        <v>2.0415694283178705</v>
      </c>
      <c r="N143" s="94">
        <f t="shared" si="17"/>
        <v>96415133.379888371</v>
      </c>
      <c r="O143" s="56">
        <f t="shared" si="18"/>
        <v>107.51332980551086</v>
      </c>
      <c r="P143" s="57">
        <f t="shared" si="19"/>
        <v>110.04477538853187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20"/>
        <v>7.9773626888717155</v>
      </c>
      <c r="K144" s="51">
        <f t="shared" si="22"/>
        <v>2.0322655073451852</v>
      </c>
      <c r="L144" s="55">
        <f t="shared" si="23"/>
        <v>1.0008487617723941E-2</v>
      </c>
      <c r="M144" s="51">
        <f t="shared" si="21"/>
        <v>2.0422739949629092</v>
      </c>
      <c r="N144" s="94">
        <f t="shared" si="17"/>
        <v>94921083.923399016</v>
      </c>
      <c r="O144" s="56">
        <f t="shared" si="18"/>
        <v>107.71235153491399</v>
      </c>
      <c r="P144" s="57">
        <f t="shared" si="19"/>
        <v>110.22344863449406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20"/>
        <v>7.9704725638203886</v>
      </c>
      <c r="K145" s="51">
        <f t="shared" si="22"/>
        <v>2.0330814450739587</v>
      </c>
      <c r="L145" s="55">
        <f t="shared" si="23"/>
        <v>9.9087628075022732E-3</v>
      </c>
      <c r="M145" s="51">
        <f t="shared" si="21"/>
        <v>2.042990207881461</v>
      </c>
      <c r="N145" s="94">
        <f t="shared" si="17"/>
        <v>93427034.46691002</v>
      </c>
      <c r="O145" s="56">
        <f t="shared" si="18"/>
        <v>107.91490806284304</v>
      </c>
      <c r="P145" s="57">
        <f t="shared" si="19"/>
        <v>110.4053726316518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20"/>
        <v>7.9634713616342498</v>
      </c>
      <c r="K146" s="51">
        <f t="shared" si="22"/>
        <v>2.0339105367040649</v>
      </c>
      <c r="L146" s="55">
        <f t="shared" si="23"/>
        <v>9.8079282277521388E-3</v>
      </c>
      <c r="M146" s="51">
        <f t="shared" si="21"/>
        <v>2.0437184649318172</v>
      </c>
      <c r="N146" s="94">
        <f t="shared" si="17"/>
        <v>91932985.010420769</v>
      </c>
      <c r="O146" s="56">
        <f t="shared" si="18"/>
        <v>108.12112022523571</v>
      </c>
      <c r="P146" s="57">
        <f t="shared" si="19"/>
        <v>110.59066382304663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20"/>
        <v>7.9563554421543667</v>
      </c>
      <c r="K147" s="51">
        <f t="shared" si="22"/>
        <v>2.0347532133079431</v>
      </c>
      <c r="L147" s="55">
        <f t="shared" si="23"/>
        <v>9.7059717664434823E-3</v>
      </c>
      <c r="M147" s="51">
        <f t="shared" si="21"/>
        <v>2.0444591850743867</v>
      </c>
      <c r="N147" s="94">
        <f t="shared" si="17"/>
        <v>90438935.553931475</v>
      </c>
      <c r="O147" s="56">
        <f t="shared" si="18"/>
        <v>108.33111503853426</v>
      </c>
      <c r="P147" s="57">
        <f t="shared" si="19"/>
        <v>110.77944501376108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20"/>
        <v>7.9491209832967602</v>
      </c>
      <c r="K148" s="51">
        <f t="shared" si="22"/>
        <v>2.0356099275018376</v>
      </c>
      <c r="L148" s="55">
        <f t="shared" si="23"/>
        <v>9.6028824131184614E-3</v>
      </c>
      <c r="M148" s="51">
        <f t="shared" si="21"/>
        <v>2.0452128099149558</v>
      </c>
      <c r="N148" s="94">
        <f t="shared" si="17"/>
        <v>88944886.097442508</v>
      </c>
      <c r="O148" s="56">
        <f t="shared" si="18"/>
        <v>108.54502612414733</v>
      </c>
      <c r="P148" s="57">
        <f t="shared" si="19"/>
        <v>110.97184584574042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20"/>
        <v>7.9417639687239143</v>
      </c>
      <c r="K149" s="51">
        <f t="shared" si="22"/>
        <v>2.0364811549057529</v>
      </c>
      <c r="L149" s="55">
        <f t="shared" si="23"/>
        <v>9.4986504875410778E-3</v>
      </c>
      <c r="M149" s="51">
        <f t="shared" si="21"/>
        <v>2.0459798053932938</v>
      </c>
      <c r="N149" s="94">
        <f t="shared" si="17"/>
        <v>87450836.640953332</v>
      </c>
      <c r="O149" s="56">
        <f t="shared" si="18"/>
        <v>108.76299416975631</v>
      </c>
      <c r="P149" s="57">
        <f t="shared" si="19"/>
        <v>111.16800331801112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20"/>
        <v>7.9342801744539493</v>
      </c>
      <c r="K150" s="51">
        <f t="shared" si="22"/>
        <v>2.0373673957292144</v>
      </c>
      <c r="L150" s="55">
        <f t="shared" si="23"/>
        <v>9.3932679046980216E-3</v>
      </c>
      <c r="M150" s="51">
        <f t="shared" si="21"/>
        <v>2.0467606636339126</v>
      </c>
      <c r="N150" s="94">
        <f t="shared" si="17"/>
        <v>85956787.184463963</v>
      </c>
      <c r="O150" s="56">
        <f t="shared" si="18"/>
        <v>108.98516743135528</v>
      </c>
      <c r="P150" s="57">
        <f t="shared" si="19"/>
        <v>111.3680623576092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20"/>
        <v>7.9266651542956463</v>
      </c>
      <c r="K151" s="51">
        <f t="shared" si="22"/>
        <v>2.0382691764960716</v>
      </c>
      <c r="L151" s="55">
        <f t="shared" si="23"/>
        <v>9.2867284820245411E-3</v>
      </c>
      <c r="M151" s="51">
        <f t="shared" si="21"/>
        <v>2.047555904978096</v>
      </c>
      <c r="N151" s="94">
        <f t="shared" si="17"/>
        <v>84462737.727975085</v>
      </c>
      <c r="O151" s="56">
        <f t="shared" si="18"/>
        <v>109.21170228039959</v>
      </c>
      <c r="P151" s="57">
        <f t="shared" si="19"/>
        <v>111.57217644727616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20"/>
        <v>7.9189142239836006</v>
      </c>
      <c r="K152" s="51">
        <f t="shared" si="22"/>
        <v>2.0391870519232342</v>
      </c>
      <c r="L152" s="55">
        <f t="shared" si="23"/>
        <v>9.1790282957367568E-3</v>
      </c>
      <c r="M152" s="51">
        <f t="shared" si="21"/>
        <v>2.0483660802189712</v>
      </c>
      <c r="N152" s="94">
        <f t="shared" si="17"/>
        <v>82968688.271485835</v>
      </c>
      <c r="O152" s="56">
        <f t="shared" si="18"/>
        <v>109.44276380099416</v>
      </c>
      <c r="P152" s="57">
        <f t="shared" si="19"/>
        <v>111.78050831682668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20"/>
        <v>7.9110224438717429</v>
      </c>
      <c r="K153" s="51">
        <f t="shared" si="22"/>
        <v>2.040121606970128</v>
      </c>
      <c r="L153" s="55">
        <f t="shared" si="23"/>
        <v>9.0701660943409267E-3</v>
      </c>
      <c r="M153" s="51">
        <f t="shared" si="21"/>
        <v>2.0491917730644689</v>
      </c>
      <c r="N153" s="94">
        <f t="shared" si="17"/>
        <v>81474638.814996734</v>
      </c>
      <c r="O153" s="56">
        <f t="shared" si="18"/>
        <v>109.67852644269234</v>
      </c>
      <c r="P153" s="57">
        <f t="shared" si="19"/>
        <v>111.9932307060859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20"/>
        <v>7.9029846000251167</v>
      </c>
      <c r="K154" s="51">
        <f t="shared" si="22"/>
        <v>2.0410734590778317</v>
      </c>
      <c r="L154" s="55">
        <f t="shared" si="23"/>
        <v>8.9601437787971815E-3</v>
      </c>
      <c r="M154" s="51">
        <f t="shared" si="21"/>
        <v>2.0500336028566291</v>
      </c>
      <c r="N154" s="94">
        <f t="shared" si="17"/>
        <v>79980589.358507395</v>
      </c>
      <c r="O154" s="56">
        <f t="shared" si="18"/>
        <v>109.91917473521026</v>
      </c>
      <c r="P154" s="57">
        <f t="shared" si="19"/>
        <v>112.21052720845285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20"/>
        <v>7.8947951835286654</v>
      </c>
      <c r="K155" s="51">
        <f t="shared" si="22"/>
        <v>2.042043260619359</v>
      </c>
      <c r="L155" s="55">
        <f t="shared" si="23"/>
        <v>8.8489669604803044E-3</v>
      </c>
      <c r="M155" s="51">
        <f t="shared" si="21"/>
        <v>2.0508922275798391</v>
      </c>
      <c r="N155" s="94">
        <f t="shared" si="17"/>
        <v>78486539.902018368</v>
      </c>
      <c r="O155" s="56">
        <f t="shared" si="18"/>
        <v>110.16490407220887</v>
      </c>
      <c r="P155" s="57">
        <f t="shared" si="19"/>
        <v>112.43259320548459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20"/>
        <v>7.8864483678073736</v>
      </c>
      <c r="K156" s="51">
        <f t="shared" si="22"/>
        <v>2.0430317015854351</v>
      </c>
      <c r="L156" s="55">
        <f t="shared" si="23"/>
        <v>8.7366456100509866E-3</v>
      </c>
      <c r="M156" s="51">
        <f t="shared" si="21"/>
        <v>2.0517683471954862</v>
      </c>
      <c r="N156" s="94">
        <f t="shared" si="17"/>
        <v>76992490.445529133</v>
      </c>
      <c r="O156" s="56">
        <f t="shared" si="18"/>
        <v>110.41592157227585</v>
      </c>
      <c r="P156" s="57">
        <f t="shared" si="19"/>
        <v>112.65963690447906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20"/>
        <v>7.8779379837239194</v>
      </c>
      <c r="K157" s="51">
        <f t="shared" si="22"/>
        <v>2.0440395125334678</v>
      </c>
      <c r="L157" s="55">
        <f t="shared" si="23"/>
        <v>8.6231948126861309E-3</v>
      </c>
      <c r="M157" s="51">
        <f t="shared" si="21"/>
        <v>2.0526627073461539</v>
      </c>
      <c r="N157" s="94">
        <f t="shared" si="17"/>
        <v>75498440.989039928</v>
      </c>
      <c r="O157" s="56">
        <f t="shared" si="18"/>
        <v>110.67244702637645</v>
      </c>
      <c r="P157" s="57">
        <f t="shared" si="19"/>
        <v>112.89188049287112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20"/>
        <v>7.8692574921872485</v>
      </c>
      <c r="K158" s="51">
        <f t="shared" si="22"/>
        <v>2.0450674678312755</v>
      </c>
      <c r="L158" s="55">
        <f t="shared" si="23"/>
        <v>8.5086356478812058E-3</v>
      </c>
      <c r="M158" s="51">
        <f t="shared" si="21"/>
        <v>2.0535761034791569</v>
      </c>
      <c r="N158" s="94">
        <f t="shared" si="17"/>
        <v>74004391.532550976</v>
      </c>
      <c r="O158" s="56">
        <f t="shared" si="18"/>
        <v>110.93471394236049</v>
      </c>
      <c r="P158" s="57">
        <f t="shared" si="19"/>
        <v>113.12956142542696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20"/>
        <v>7.8603999539674101</v>
      </c>
      <c r="K159" s="51">
        <f t="shared" si="22"/>
        <v>2.0461163892316532</v>
      </c>
      <c r="L159" s="55">
        <f t="shared" si="23"/>
        <v>8.3929962153104689E-3</v>
      </c>
      <c r="M159" s="51">
        <f t="shared" si="21"/>
        <v>2.0545093854469636</v>
      </c>
      <c r="N159" s="94">
        <f t="shared" si="17"/>
        <v>72510342.076061472</v>
      </c>
      <c r="O159" s="56">
        <f t="shared" si="18"/>
        <v>111.20297069865504</v>
      </c>
      <c r="P159" s="57">
        <f t="shared" si="19"/>
        <v>113.37293386276316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20"/>
        <v>7.851357996367617</v>
      </c>
      <c r="K160" s="51">
        <f t="shared" si="22"/>
        <v>2.0471871498191141</v>
      </c>
      <c r="L160" s="55">
        <f t="shared" si="23"/>
        <v>8.2763128321013263E-3</v>
      </c>
      <c r="M160" s="51">
        <f t="shared" si="21"/>
        <v>2.0554634626512156</v>
      </c>
      <c r="N160" s="94">
        <f t="shared" si="17"/>
        <v>71016292.619572476</v>
      </c>
      <c r="O160" s="56">
        <f t="shared" si="18"/>
        <v>111.47748182107048</v>
      </c>
      <c r="P160" s="57">
        <f t="shared" si="19"/>
        <v>113.62227028272049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20"/>
        <v>7.8421237763524703</v>
      </c>
      <c r="K161" s="51">
        <f t="shared" si="22"/>
        <v>2.0482806783762921</v>
      </c>
      <c r="L161" s="55">
        <f t="shared" si="23"/>
        <v>8.1586314314480365E-3</v>
      </c>
      <c r="M161" s="51">
        <f t="shared" si="21"/>
        <v>2.05643930980774</v>
      </c>
      <c r="N161" s="94">
        <f t="shared" si="17"/>
        <v>69522243.163083419</v>
      </c>
      <c r="O161" s="56">
        <f t="shared" si="18"/>
        <v>111.75852939875892</v>
      </c>
      <c r="P161" s="57">
        <f t="shared" si="19"/>
        <v>113.87786328965461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20"/>
        <v>7.8326889396703514</v>
      </c>
      <c r="K162" s="51">
        <f t="shared" si="22"/>
        <v>2.0493979642247209</v>
      </c>
      <c r="L162" s="55">
        <f t="shared" si="23"/>
        <v>8.0400091978728716E-3</v>
      </c>
      <c r="M162" s="51">
        <f t="shared" si="21"/>
        <v>2.0574379734225938</v>
      </c>
      <c r="N162" s="94">
        <f t="shared" si="17"/>
        <v>68028193.706594214</v>
      </c>
      <c r="O162" s="56">
        <f t="shared" si="18"/>
        <v>112.0464146578482</v>
      </c>
      <c r="P162" s="57">
        <f t="shared" si="19"/>
        <v>114.14002765089572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20"/>
        <v>7.8230445754360938</v>
      </c>
      <c r="K163" s="51">
        <f t="shared" si="22"/>
        <v>2.050540062603218</v>
      </c>
      <c r="L163" s="55">
        <f t="shared" si="23"/>
        <v>7.9205164807604686E-3</v>
      </c>
      <c r="M163" s="51">
        <f t="shared" si="21"/>
        <v>2.0584605790839783</v>
      </c>
      <c r="N163" s="94">
        <f t="shared" si="17"/>
        <v>66534144.250105053</v>
      </c>
      <c r="O163" s="56">
        <f t="shared" si="18"/>
        <v>112.34145971421027</v>
      </c>
      <c r="P163" s="57">
        <f t="shared" si="19"/>
        <v>114.40910259456832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20"/>
        <v>7.8131811655551724</v>
      </c>
      <c r="K164" s="51">
        <f t="shared" si="22"/>
        <v>2.0517081006571352</v>
      </c>
      <c r="L164" s="55">
        <f t="shared" si="23"/>
        <v>7.8002390351731669E-3</v>
      </c>
      <c r="M164" s="51">
        <f t="shared" si="21"/>
        <v>2.0595083396923082</v>
      </c>
      <c r="N164" s="94">
        <f t="shared" si="17"/>
        <v>65040094.793615729</v>
      </c>
      <c r="O164" s="56">
        <f t="shared" si="18"/>
        <v>112.64400953029016</v>
      </c>
      <c r="P164" s="57">
        <f t="shared" si="19"/>
        <v>114.68545440881745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20"/>
        <v>7.8030885282699662</v>
      </c>
      <c r="K165" s="51">
        <f t="shared" si="22"/>
        <v>2.0529032841236874</v>
      </c>
      <c r="L165" s="55">
        <f t="shared" si="23"/>
        <v>7.679280647524509E-3</v>
      </c>
      <c r="M165" s="51">
        <f t="shared" si="21"/>
        <v>2.0605825647712117</v>
      </c>
      <c r="N165" s="94">
        <f t="shared" si="17"/>
        <v>63546045.337126702</v>
      </c>
      <c r="O165" s="56">
        <f t="shared" si="18"/>
        <v>112.95443410506105</v>
      </c>
      <c r="P165" s="57">
        <f t="shared" si="19"/>
        <v>114.96947938942382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20"/>
        <v>7.7927557549887698</v>
      </c>
      <c r="K166" s="51">
        <f t="shared" si="22"/>
        <v>2.0541269048127435</v>
      </c>
      <c r="L166" s="55">
        <f t="shared" si="23"/>
        <v>7.5577662135489802E-3</v>
      </c>
      <c r="M166" s="51">
        <f t="shared" si="21"/>
        <v>2.0616846710262924</v>
      </c>
      <c r="N166" s="94">
        <f t="shared" si="17"/>
        <v>62051995.880637474</v>
      </c>
      <c r="O166" s="56">
        <f t="shared" si="18"/>
        <v>113.27313093109473</v>
      </c>
      <c r="P166" s="57">
        <f t="shared" si="19"/>
        <v>115.26160719099225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20"/>
        <v>7.7821711394150306</v>
      </c>
      <c r="K167" s="51">
        <f t="shared" si="22"/>
        <v>2.0553803489994369</v>
      </c>
      <c r="L167" s="55">
        <f t="shared" si="23"/>
        <v>7.4358453472192949E-3</v>
      </c>
      <c r="M167" s="51">
        <f t="shared" si="21"/>
        <v>2.0628161943466563</v>
      </c>
      <c r="N167" s="94">
        <f t="shared" si="17"/>
        <v>60557946.424148306</v>
      </c>
      <c r="O167" s="56">
        <f t="shared" si="18"/>
        <v>113.60052775864769</v>
      </c>
      <c r="P167" s="57">
        <f t="shared" si="19"/>
        <v>115.56230464660975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20"/>
        <v>7.7713220978223703</v>
      </c>
      <c r="K168" s="51">
        <f t="shared" si="22"/>
        <v>2.0566651068653012</v>
      </c>
      <c r="L168" s="55">
        <f t="shared" si="23"/>
        <v>7.3136966118031357E-3</v>
      </c>
      <c r="M168" s="51">
        <f t="shared" si="21"/>
        <v>2.0639788034771045</v>
      </c>
      <c r="N168" s="94">
        <f t="shared" ref="N168:N204" si="24">10^$J168</f>
        <v>59063896.96765919</v>
      </c>
      <c r="O168" s="56">
        <f t="shared" ref="O168:O204" si="25">10^K168</f>
        <v>113.93708571376781</v>
      </c>
      <c r="P168" s="57">
        <f t="shared" ref="P168:P204" si="26">10^M168</f>
        <v>115.87208013233338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7">LOG($I$24+($I$25-$I$24)*(ROW()-104)/100)</f>
        <v>7.7601950791138936</v>
      </c>
      <c r="K169" s="51">
        <f t="shared" si="22"/>
        <v>2.0579827831491682</v>
      </c>
      <c r="L169" s="55">
        <f t="shared" si="23"/>
        <v>7.1915324779545688E-3</v>
      </c>
      <c r="M169" s="51">
        <f t="shared" ref="M169:M204" si="28">+$I$14+$I$13*J169+L169</f>
        <v>2.0651743156271229</v>
      </c>
      <c r="N169" s="94">
        <f t="shared" si="24"/>
        <v>57569847.511169985</v>
      </c>
      <c r="O169" s="56">
        <f t="shared" si="25"/>
        <v>114.28330282601976</v>
      </c>
      <c r="P169" s="57">
        <f t="shared" si="26"/>
        <v>116.19148856638289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7"/>
        <v>7.7487754630535388</v>
      </c>
      <c r="K170" s="51">
        <f t="shared" si="22"/>
        <v>2.0593351091987442</v>
      </c>
      <c r="L170" s="55">
        <f t="shared" si="23"/>
        <v>7.0696051282016425E-3</v>
      </c>
      <c r="M170" s="51">
        <f t="shared" si="28"/>
        <v>2.0664047143269459</v>
      </c>
      <c r="N170" s="94">
        <f t="shared" si="24"/>
        <v>56075798.054680735</v>
      </c>
      <c r="O170" s="56">
        <f t="shared" si="25"/>
        <v>114.63971803184603</v>
      </c>
      <c r="P170" s="57">
        <f t="shared" si="26"/>
        <v>116.52113714876928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7"/>
        <v>7.7370474447523687</v>
      </c>
      <c r="K171" s="51">
        <f t="shared" si="22"/>
        <v>2.0607239566498983</v>
      </c>
      <c r="L171" s="55">
        <f t="shared" si="23"/>
        <v>6.9482132416675505E-3</v>
      </c>
      <c r="M171" s="51">
        <f t="shared" si="28"/>
        <v>2.0676721698915657</v>
      </c>
      <c r="N171" s="94">
        <f t="shared" si="24"/>
        <v>54581748.598191649</v>
      </c>
      <c r="O171" s="56">
        <f t="shared" si="25"/>
        <v>115.00691573230577</v>
      </c>
      <c r="P171" s="57">
        <f t="shared" si="26"/>
        <v>116.86169196563104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7"/>
        <v>7.7249939031200965</v>
      </c>
      <c r="K172" s="51">
        <f t="shared" si="22"/>
        <v>2.0621513530048041</v>
      </c>
      <c r="L172" s="55">
        <f t="shared" si="23"/>
        <v>6.8277099060577639E-3</v>
      </c>
      <c r="M172" s="51">
        <f t="shared" si="28"/>
        <v>2.068979062910862</v>
      </c>
      <c r="N172" s="94">
        <f t="shared" si="24"/>
        <v>53087699.141702369</v>
      </c>
      <c r="O172" s="56">
        <f t="shared" si="25"/>
        <v>115.38553099950974</v>
      </c>
      <c r="P172" s="57">
        <f t="shared" si="26"/>
        <v>117.21388560406398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7"/>
        <v>7.7125962505343937</v>
      </c>
      <c r="K173" s="51">
        <f t="shared" si="22"/>
        <v>2.063619499434302</v>
      </c>
      <c r="L173" s="55">
        <f t="shared" si="23"/>
        <v>6.7085118137991673E-3</v>
      </c>
      <c r="M173" s="51">
        <f t="shared" si="28"/>
        <v>2.0703280112481011</v>
      </c>
      <c r="N173" s="94">
        <f t="shared" si="24"/>
        <v>51593649.685213305</v>
      </c>
      <c r="O173" s="56">
        <f t="shared" si="25"/>
        <v>115.7762555452868</v>
      </c>
      <c r="P173" s="57">
        <f t="shared" si="26"/>
        <v>117.57852594802549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7"/>
        <v>7.6998342604151127</v>
      </c>
      <c r="K174" s="51">
        <f t="shared" si="22"/>
        <v>2.0651307911967853</v>
      </c>
      <c r="L174" s="55">
        <f t="shared" si="23"/>
        <v>6.5911099025966315E-3</v>
      </c>
      <c r="M174" s="51">
        <f t="shared" si="28"/>
        <v>2.0717219010993819</v>
      </c>
      <c r="N174" s="94">
        <f t="shared" si="24"/>
        <v>50099600.228724174</v>
      </c>
      <c r="O174" s="56">
        <f t="shared" si="25"/>
        <v>116.17984458940946</v>
      </c>
      <c r="P174" s="57">
        <f t="shared" si="26"/>
        <v>117.9565063541732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7"/>
        <v>7.6866858686881567</v>
      </c>
      <c r="K175" s="51">
        <f t="shared" si="22"/>
        <v>2.0666878411491147</v>
      </c>
      <c r="L175" s="55">
        <f t="shared" si="23"/>
        <v>6.4760815930181414E-3</v>
      </c>
      <c r="M175" s="51">
        <f t="shared" si="28"/>
        <v>2.073163922742133</v>
      </c>
      <c r="N175" s="94">
        <f t="shared" si="24"/>
        <v>48605550.772234879</v>
      </c>
      <c r="O175" s="56">
        <f t="shared" si="25"/>
        <v>116.59712479437174</v>
      </c>
      <c r="P175" s="57">
        <f t="shared" si="26"/>
        <v>118.34881743839996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7"/>
        <v>7.6731269442457668</v>
      </c>
      <c r="K176" s="51">
        <f t="shared" si="22"/>
        <v>2.0682935069290127</v>
      </c>
      <c r="L176" s="55">
        <f t="shared" si="23"/>
        <v>6.3641047506844944E-3</v>
      </c>
      <c r="M176" s="51">
        <f t="shared" si="28"/>
        <v>2.0746576116796973</v>
      </c>
      <c r="N176" s="94">
        <f t="shared" si="24"/>
        <v>47111501.315745741</v>
      </c>
      <c r="O176" s="56">
        <f t="shared" si="25"/>
        <v>117.02900347090726</v>
      </c>
      <c r="P176" s="57">
        <f t="shared" si="26"/>
        <v>118.75656073938742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7"/>
        <v>7.6591310224055276</v>
      </c>
      <c r="K177" s="51">
        <f t="shared" si="22"/>
        <v>2.0699509225192001</v>
      </c>
      <c r="L177" s="55">
        <f t="shared" si="23"/>
        <v>6.2559734498342139E-3</v>
      </c>
      <c r="M177" s="51">
        <f t="shared" si="28"/>
        <v>2.0762068959690345</v>
      </c>
      <c r="N177" s="94">
        <f t="shared" si="24"/>
        <v>45617451.859256566</v>
      </c>
      <c r="O177" s="56">
        <f t="shared" si="25"/>
        <v>117.47647930539291</v>
      </c>
      <c r="P177" s="57">
        <f t="shared" si="26"/>
        <v>119.18096456469704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7"/>
        <v>7.6446689939715577</v>
      </c>
      <c r="K178" s="51">
        <f t="shared" si="22"/>
        <v>2.071663535069185</v>
      </c>
      <c r="L178" s="55">
        <f t="shared" si="23"/>
        <v>6.1526155280972293E-3</v>
      </c>
      <c r="M178" s="51">
        <f t="shared" si="28"/>
        <v>2.0778161505972821</v>
      </c>
      <c r="N178" s="94">
        <f t="shared" si="24"/>
        <v>44123402.40276742</v>
      </c>
      <c r="O178" s="56">
        <f t="shared" si="25"/>
        <v>117.94065491996055</v>
      </c>
      <c r="P178" s="57">
        <f t="shared" si="26"/>
        <v>119.62340236788771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7"/>
        <v>7.6297087407167181</v>
      </c>
      <c r="K179" s="51">
        <f t="shared" si="22"/>
        <v>2.0734351480619382</v>
      </c>
      <c r="L179" s="55">
        <f t="shared" si="23"/>
        <v>6.0551117876920524E-3</v>
      </c>
      <c r="M179" s="51">
        <f t="shared" si="28"/>
        <v>2.0794902598496301</v>
      </c>
      <c r="N179" s="94">
        <f t="shared" si="24"/>
        <v>42629352.946278319</v>
      </c>
      <c r="O179" s="56">
        <f t="shared" si="25"/>
        <v>118.42275165255208</v>
      </c>
      <c r="P179" s="57">
        <f t="shared" si="26"/>
        <v>120.08541405263462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7"/>
        <v>7.6142147058103058</v>
      </c>
      <c r="K180" s="51">
        <f t="shared" si="22"/>
        <v>2.075269972184417</v>
      </c>
      <c r="L180" s="55">
        <f t="shared" si="23"/>
        <v>5.9647165053354463E-3</v>
      </c>
      <c r="M180" s="51">
        <f t="shared" si="28"/>
        <v>2.0812346886897526</v>
      </c>
      <c r="N180" s="94">
        <f t="shared" si="24"/>
        <v>41135303.489789173</v>
      </c>
      <c r="O180" s="56">
        <f t="shared" si="25"/>
        <v>118.92412704276376</v>
      </c>
      <c r="P180" s="57">
        <f t="shared" si="26"/>
        <v>120.56873065415071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7"/>
        <v>7.5981473847417886</v>
      </c>
      <c r="K181" s="51">
        <f t="shared" si="22"/>
        <v>2.0771726856130495</v>
      </c>
      <c r="L181" s="55">
        <f t="shared" si="23"/>
        <v>5.8828786564922696E-3</v>
      </c>
      <c r="M181" s="51">
        <f t="shared" si="28"/>
        <v>2.0830555642695416</v>
      </c>
      <c r="N181" s="94">
        <f t="shared" si="24"/>
        <v>39641254.033299968</v>
      </c>
      <c r="O181" s="56">
        <f t="shared" si="25"/>
        <v>119.44629563763196</v>
      </c>
      <c r="P181" s="57">
        <f t="shared" si="26"/>
        <v>121.07530291502221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7"/>
        <v>7.5814627184023839</v>
      </c>
      <c r="K182" s="51">
        <f t="shared" si="22"/>
        <v>2.0791485058858168</v>
      </c>
      <c r="L182" s="55">
        <f t="shared" si="23"/>
        <v>5.8112629463107019E-3</v>
      </c>
      <c r="M182" s="51">
        <f t="shared" si="28"/>
        <v>2.0849597688321273</v>
      </c>
      <c r="N182" s="94">
        <f t="shared" si="24"/>
        <v>38147204.57681071</v>
      </c>
      <c r="O182" s="56">
        <f t="shared" si="25"/>
        <v>119.99095389996094</v>
      </c>
      <c r="P182" s="57">
        <f t="shared" si="26"/>
        <v>121.60733436382812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7"/>
        <v>7.5641113648534839</v>
      </c>
      <c r="K183" s="51">
        <f t="shared" si="22"/>
        <v>2.0812032761404007</v>
      </c>
      <c r="L183" s="55">
        <f t="shared" si="23"/>
        <v>5.7517694003022379E-3</v>
      </c>
      <c r="M183" s="51">
        <f t="shared" si="28"/>
        <v>2.0869550455407029</v>
      </c>
      <c r="N183" s="94">
        <f t="shared" si="24"/>
        <v>36653155.120321549</v>
      </c>
      <c r="O183" s="56">
        <f t="shared" si="25"/>
        <v>120.56001022505778</v>
      </c>
      <c r="P183" s="57">
        <f t="shared" si="26"/>
        <v>122.16731964339772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7"/>
        <v>7.5460378194676494</v>
      </c>
      <c r="K184" s="51">
        <f t="shared" si="22"/>
        <v>2.0833435693082523</v>
      </c>
      <c r="L184" s="55">
        <f t="shared" si="23"/>
        <v>5.7065499704382194E-3</v>
      </c>
      <c r="M184" s="51">
        <f t="shared" si="28"/>
        <v>2.0890501192786903</v>
      </c>
      <c r="N184" s="94">
        <f t="shared" si="24"/>
        <v>35159105.663832404</v>
      </c>
      <c r="O184" s="56">
        <f t="shared" si="25"/>
        <v>121.15562137067403</v>
      </c>
      <c r="P184" s="57">
        <f t="shared" si="26"/>
        <v>122.75808906114568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7"/>
        <v>7.5271793439047698</v>
      </c>
      <c r="K185" s="51">
        <f t="shared" si="22"/>
        <v>2.0855768149466516</v>
      </c>
      <c r="L185" s="55">
        <f t="shared" si="23"/>
        <v>5.6780204750615636E-3</v>
      </c>
      <c r="M185" s="51">
        <f t="shared" si="28"/>
        <v>2.0912548354217133</v>
      </c>
      <c r="N185" s="94">
        <f t="shared" si="24"/>
        <v>33665056.207343251</v>
      </c>
      <c r="O185" s="56">
        <f t="shared" si="25"/>
        <v>121.78023700965197</v>
      </c>
      <c r="P185" s="57">
        <f t="shared" si="26"/>
        <v>123.38286071101882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7"/>
        <v>7.5074646518096246</v>
      </c>
      <c r="K186" s="51">
        <f t="shared" si="22"/>
        <v>2.0879114548801425</v>
      </c>
      <c r="L186" s="55">
        <f t="shared" si="23"/>
        <v>5.6688663868329665E-3</v>
      </c>
      <c r="M186" s="51">
        <f t="shared" si="28"/>
        <v>2.0935803212669755</v>
      </c>
      <c r="N186" s="94">
        <f t="shared" si="24"/>
        <v>32171006.750854071</v>
      </c>
      <c r="O186" s="56">
        <f t="shared" si="25"/>
        <v>122.43665466916757</v>
      </c>
      <c r="P186" s="57">
        <f t="shared" si="26"/>
        <v>124.04530214144205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7"/>
        <v>7.4868122817502645</v>
      </c>
      <c r="K187" s="51">
        <f t="shared" si="22"/>
        <v>2.0903571358793247</v>
      </c>
      <c r="L187" s="55">
        <f t="shared" si="23"/>
        <v>5.6820417234061324E-3</v>
      </c>
      <c r="M187" s="51">
        <f t="shared" si="28"/>
        <v>2.096039177602731</v>
      </c>
      <c r="N187" s="94">
        <f t="shared" si="24"/>
        <v>30676957.29436494</v>
      </c>
      <c r="O187" s="56">
        <f t="shared" si="25"/>
        <v>123.12808808971937</v>
      </c>
      <c r="P187" s="57">
        <f t="shared" si="26"/>
        <v>124.74960454910475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7"/>
        <v>7.4651285636035212</v>
      </c>
      <c r="K188" s="51">
        <f t="shared" si="22"/>
        <v>2.0929249504841705</v>
      </c>
      <c r="L188" s="55">
        <f t="shared" si="23"/>
        <v>5.7207617820152308E-3</v>
      </c>
      <c r="M188" s="51">
        <f t="shared" si="28"/>
        <v>2.0986457122661859</v>
      </c>
      <c r="N188" s="94">
        <f t="shared" si="24"/>
        <v>29182907.837875705</v>
      </c>
      <c r="O188" s="56">
        <f t="shared" si="25"/>
        <v>123.85825311939612</v>
      </c>
      <c r="P188" s="57">
        <f t="shared" si="26"/>
        <v>125.50057403431602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7"/>
        <v>7.4423050500436938</v>
      </c>
      <c r="K189" s="51">
        <f t="shared" si="22"/>
        <v>2.0956277411705377</v>
      </c>
      <c r="L189" s="55">
        <f t="shared" si="23"/>
        <v>5.7884928003107796E-3</v>
      </c>
      <c r="M189" s="51">
        <f t="shared" si="28"/>
        <v>2.1014162339708484</v>
      </c>
      <c r="N189" s="94">
        <f t="shared" si="24"/>
        <v>27688858.381386608</v>
      </c>
      <c r="O189" s="56">
        <f t="shared" si="25"/>
        <v>124.6314768051771</v>
      </c>
      <c r="P189" s="57">
        <f t="shared" si="26"/>
        <v>126.30374676534736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7"/>
        <v>7.4182152348830162</v>
      </c>
      <c r="K190" s="51">
        <f t="shared" si="22"/>
        <v>2.0984804889686322</v>
      </c>
      <c r="L190" s="55">
        <f t="shared" si="23"/>
        <v>5.8889447463974448E-3</v>
      </c>
      <c r="M190" s="51">
        <f t="shared" si="28"/>
        <v>2.1043694337150294</v>
      </c>
      <c r="N190" s="94">
        <f t="shared" si="24"/>
        <v>26194808.924897447</v>
      </c>
      <c r="O190" s="56">
        <f t="shared" si="25"/>
        <v>125.45283758885284</v>
      </c>
      <c r="P190" s="57">
        <f t="shared" si="26"/>
        <v>127.16553821605622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7"/>
        <v>7.392710306614652</v>
      </c>
      <c r="K191" s="51">
        <f t="shared" si="22"/>
        <v>2.1015008163340703</v>
      </c>
      <c r="L191" s="55">
        <f t="shared" si="23"/>
        <v>6.0260770423181658E-3</v>
      </c>
      <c r="M191" s="51">
        <f t="shared" si="28"/>
        <v>2.1075268933763884</v>
      </c>
      <c r="N191" s="94">
        <f t="shared" si="24"/>
        <v>24700759.468408238</v>
      </c>
      <c r="O191" s="56">
        <f t="shared" si="25"/>
        <v>126.32834783721221</v>
      </c>
      <c r="P191" s="57">
        <f t="shared" si="26"/>
        <v>128.09344130313369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7"/>
        <v>7.3656135754000953</v>
      </c>
      <c r="K192" s="51">
        <f t="shared" si="22"/>
        <v>2.1047096471114051</v>
      </c>
      <c r="L192" s="55">
        <f t="shared" si="23"/>
        <v>6.2041306756988965E-3</v>
      </c>
      <c r="M192" s="51">
        <f t="shared" si="28"/>
        <v>2.1109137777871041</v>
      </c>
      <c r="N192" s="94">
        <f t="shared" si="24"/>
        <v>23206710.011919096</v>
      </c>
      <c r="O192" s="56">
        <f t="shared" si="25"/>
        <v>127.26519495019983</v>
      </c>
      <c r="P192" s="57">
        <f t="shared" si="26"/>
        <v>129.09629481548802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7"/>
        <v>7.3367130428808052</v>
      </c>
      <c r="K193" s="51">
        <f t="shared" si="22"/>
        <v>2.1081320864268696</v>
      </c>
      <c r="L193" s="55">
        <f t="shared" si="23"/>
        <v>6.4277035616156107E-3</v>
      </c>
      <c r="M193" s="51">
        <f t="shared" si="28"/>
        <v>2.1145597899884852</v>
      </c>
      <c r="N193" s="94">
        <f t="shared" si="24"/>
        <v>21712660.555429909</v>
      </c>
      <c r="O193" s="56">
        <f t="shared" si="25"/>
        <v>128.27206502986058</v>
      </c>
      <c r="P193" s="57">
        <f t="shared" si="26"/>
        <v>130.18465304543278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7"/>
        <v>7.3057513187731136</v>
      </c>
      <c r="K194" s="51">
        <f t="shared" ref="K194:K204" si="29">+$I$14+$I$13*J194</f>
        <v>2.1117986147785524</v>
      </c>
      <c r="L194" s="55">
        <f t="shared" ref="L194:L204" si="30">SQRT(2*$I$20*$I$17)*SQRT((1/$I$2)+((J194-$I$11)^2/$I$8))</f>
        <v>6.7018894504934133E-3</v>
      </c>
      <c r="M194" s="51">
        <f t="shared" si="28"/>
        <v>2.1185005042290457</v>
      </c>
      <c r="N194" s="94">
        <f t="shared" si="24"/>
        <v>20218611.098940749</v>
      </c>
      <c r="O194" s="56">
        <f t="shared" si="25"/>
        <v>129.35958534051161</v>
      </c>
      <c r="P194" s="57">
        <f t="shared" si="26"/>
        <v>131.3713020219779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7"/>
        <v>7.2724116592957868</v>
      </c>
      <c r="K195" s="51">
        <f t="shared" si="29"/>
        <v>2.1157467413842901</v>
      </c>
      <c r="L195" s="55">
        <f t="shared" si="30"/>
        <v>7.0325054418980959E-3</v>
      </c>
      <c r="M195" s="51">
        <f t="shared" si="28"/>
        <v>2.1227792468261883</v>
      </c>
      <c r="N195" s="94">
        <f t="shared" si="24"/>
        <v>18724561.642451596</v>
      </c>
      <c r="O195" s="56">
        <f t="shared" si="25"/>
        <v>130.54094172615274</v>
      </c>
      <c r="P195" s="57">
        <f t="shared" si="26"/>
        <v>132.67199106398331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7"/>
        <v>7.2362981872699121</v>
      </c>
      <c r="K196" s="51">
        <f t="shared" si="29"/>
        <v>2.1200233465436162</v>
      </c>
      <c r="L196" s="55">
        <f t="shared" si="30"/>
        <v>7.4264420728425932E-3</v>
      </c>
      <c r="M196" s="51">
        <f t="shared" si="28"/>
        <v>2.1274497886164587</v>
      </c>
      <c r="N196" s="94">
        <f t="shared" si="24"/>
        <v>17230512.185962386</v>
      </c>
      <c r="O196" s="56">
        <f t="shared" si="25"/>
        <v>131.83276065203819</v>
      </c>
      <c r="P196" s="57">
        <f t="shared" si="26"/>
        <v>134.10648779075328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7"/>
        <v>7.1969071174947947</v>
      </c>
      <c r="K197" s="51">
        <f t="shared" si="29"/>
        <v>2.1246880891668383</v>
      </c>
      <c r="L197" s="55">
        <f t="shared" si="30"/>
        <v>7.8921880388254598E-3</v>
      </c>
      <c r="M197" s="51">
        <f t="shared" si="28"/>
        <v>2.1325802772056637</v>
      </c>
      <c r="N197" s="94">
        <f t="shared" si="24"/>
        <v>15736462.729473224</v>
      </c>
      <c r="O197" s="56">
        <f t="shared" si="25"/>
        <v>133.25640392656715</v>
      </c>
      <c r="P197" s="57">
        <f t="shared" si="26"/>
        <v>135.70013421632905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7"/>
        <v>7.1535835835663759</v>
      </c>
      <c r="K198" s="51">
        <f t="shared" si="29"/>
        <v>2.1298185194003469</v>
      </c>
      <c r="L198" s="55">
        <f t="shared" si="30"/>
        <v>8.440617880262586E-3</v>
      </c>
      <c r="M198" s="51">
        <f t="shared" si="28"/>
        <v>2.1382591372806097</v>
      </c>
      <c r="N198" s="94">
        <f t="shared" si="24"/>
        <v>14242413.272984032</v>
      </c>
      <c r="O198" s="56">
        <f t="shared" si="25"/>
        <v>134.83993031309183</v>
      </c>
      <c r="P198" s="57">
        <f t="shared" si="26"/>
        <v>137.4862090778216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7"/>
        <v>7.1054544490001224</v>
      </c>
      <c r="K199" s="51">
        <f t="shared" si="29"/>
        <v>2.1355180352223782</v>
      </c>
      <c r="L199" s="55">
        <f t="shared" si="30"/>
        <v>9.0862031079877812E-3</v>
      </c>
      <c r="M199" s="51">
        <f t="shared" si="28"/>
        <v>2.1446042383303658</v>
      </c>
      <c r="N199" s="94">
        <f t="shared" si="24"/>
        <v>12748363.816494888</v>
      </c>
      <c r="O199" s="56">
        <f t="shared" si="25"/>
        <v>136.62118100566641</v>
      </c>
      <c r="P199" s="57">
        <f t="shared" si="26"/>
        <v>139.50964651996159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7"/>
        <v>7.0513190418744021</v>
      </c>
      <c r="K200" s="51">
        <f t="shared" si="29"/>
        <v>2.1419288217911743</v>
      </c>
      <c r="L200" s="55">
        <f t="shared" si="30"/>
        <v>9.8489541389315573E-3</v>
      </c>
      <c r="M200" s="51">
        <f t="shared" si="28"/>
        <v>2.151777775930106</v>
      </c>
      <c r="N200" s="94">
        <f t="shared" si="24"/>
        <v>11254314.360005697</v>
      </c>
      <c r="O200" s="56">
        <f t="shared" si="25"/>
        <v>138.65285666988424</v>
      </c>
      <c r="P200" s="57">
        <f t="shared" si="26"/>
        <v>141.83315901278851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7"/>
        <v>6.9894616050206073</v>
      </c>
      <c r="K201" s="51">
        <f t="shared" si="29"/>
        <v>2.1492540613417246</v>
      </c>
      <c r="L201" s="55">
        <f t="shared" si="30"/>
        <v>1.0757716712110014E-2</v>
      </c>
      <c r="M201" s="51">
        <f t="shared" si="28"/>
        <v>2.1600117780538346</v>
      </c>
      <c r="N201" s="94">
        <f t="shared" si="24"/>
        <v>9760264.9035165422</v>
      </c>
      <c r="O201" s="56">
        <f t="shared" si="25"/>
        <v>141.01134705426762</v>
      </c>
      <c r="P201" s="57">
        <f t="shared" si="26"/>
        <v>144.54789715624187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7"/>
        <v>6.9173067203548069</v>
      </c>
      <c r="K202" s="51">
        <f t="shared" si="29"/>
        <v>2.1577987382925103</v>
      </c>
      <c r="L202" s="55">
        <f t="shared" si="30"/>
        <v>1.1856186787551215E-2</v>
      </c>
      <c r="M202" s="51">
        <f t="shared" si="28"/>
        <v>2.1696549250800614</v>
      </c>
      <c r="N202" s="94">
        <f t="shared" si="24"/>
        <v>8266215.4470273731</v>
      </c>
      <c r="O202" s="56">
        <f t="shared" si="25"/>
        <v>143.81319615170571</v>
      </c>
      <c r="P202" s="57">
        <f t="shared" si="26"/>
        <v>147.79336081295912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7"/>
        <v>6.8307275944297077</v>
      </c>
      <c r="K203" s="51">
        <f t="shared" si="29"/>
        <v>2.1680515529860394</v>
      </c>
      <c r="L203" s="55">
        <f t="shared" si="30"/>
        <v>1.3214944737826865E-2</v>
      </c>
      <c r="M203" s="51">
        <f t="shared" si="28"/>
        <v>2.181266497723866</v>
      </c>
      <c r="N203" s="94">
        <f t="shared" si="24"/>
        <v>6772165.9905382134</v>
      </c>
      <c r="O203" s="56">
        <f t="shared" si="25"/>
        <v>147.24872838637748</v>
      </c>
      <c r="P203" s="57">
        <f t="shared" si="26"/>
        <v>151.79815663468941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7"/>
        <v>6.7224789746554867</v>
      </c>
      <c r="K204" s="51">
        <f t="shared" si="29"/>
        <v>2.1808704978242615</v>
      </c>
      <c r="L204" s="55">
        <f t="shared" si="30"/>
        <v>1.4958689673202737E-2</v>
      </c>
      <c r="M204" s="51">
        <f t="shared" si="28"/>
        <v>2.195829187497464</v>
      </c>
      <c r="N204" s="97">
        <f t="shared" si="24"/>
        <v>5278116.5340490462</v>
      </c>
      <c r="O204" s="91">
        <f t="shared" si="25"/>
        <v>151.65980659841682</v>
      </c>
      <c r="P204" s="92">
        <f t="shared" si="26"/>
        <v>156.97452858794179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zoomScaleNormal="100" workbookViewId="0">
      <selection activeCell="E23" sqref="E23"/>
    </sheetView>
  </sheetViews>
  <sheetFormatPr defaultRowHeight="14.5" x14ac:dyDescent="0.35"/>
  <cols>
    <col min="1" max="2" width="12.1796875" bestFit="1" customWidth="1"/>
    <col min="3" max="3" width="10.81640625" bestFit="1" customWidth="1"/>
    <col min="4" max="4" width="10.81640625" customWidth="1"/>
    <col min="5" max="5" width="9.453125" bestFit="1" customWidth="1"/>
    <col min="6" max="6" width="12.81640625" bestFit="1" customWidth="1"/>
    <col min="7" max="7" width="12.81640625" customWidth="1"/>
    <col min="8" max="8" width="11.1796875" customWidth="1"/>
  </cols>
  <sheetData>
    <row r="1" spans="1:17" x14ac:dyDescent="0.35">
      <c r="A1" t="s">
        <v>86</v>
      </c>
      <c r="B1" t="s">
        <v>87</v>
      </c>
      <c r="C1" s="119" t="s">
        <v>107</v>
      </c>
      <c r="D1" s="125" t="s">
        <v>106</v>
      </c>
      <c r="E1" s="125" t="s">
        <v>88</v>
      </c>
      <c r="F1" s="120" t="s">
        <v>109</v>
      </c>
      <c r="G1" t="s">
        <v>15</v>
      </c>
      <c r="H1" t="s">
        <v>105</v>
      </c>
      <c r="I1" t="s">
        <v>102</v>
      </c>
    </row>
    <row r="2" spans="1:17" x14ac:dyDescent="0.35">
      <c r="B2" t="s">
        <v>91</v>
      </c>
      <c r="C2" s="121">
        <f>0.0035</f>
        <v>3.5000000000000001E-3</v>
      </c>
      <c r="D2" s="126">
        <v>3.3999999999999998E-3</v>
      </c>
      <c r="E2" s="126">
        <v>2.8E-3</v>
      </c>
      <c r="F2" s="122">
        <v>2.3540000000000002E-3</v>
      </c>
      <c r="G2">
        <v>2.3800000000000002E-3</v>
      </c>
      <c r="H2">
        <v>7.5900000000000002E-4</v>
      </c>
      <c r="I2">
        <v>1.9040000000000001E-3</v>
      </c>
    </row>
    <row r="3" spans="1:17" x14ac:dyDescent="0.35">
      <c r="B3">
        <v>100</v>
      </c>
      <c r="C3" s="121">
        <v>1.32</v>
      </c>
      <c r="D3" s="126">
        <v>1.32</v>
      </c>
      <c r="E3" s="126">
        <v>1.31</v>
      </c>
      <c r="F3" s="122">
        <v>1.302</v>
      </c>
      <c r="Q3" t="s">
        <v>122</v>
      </c>
    </row>
    <row r="4" spans="1:17" x14ac:dyDescent="0.35">
      <c r="B4">
        <v>200</v>
      </c>
      <c r="C4" s="121">
        <v>1.82</v>
      </c>
      <c r="D4" s="126">
        <v>1.82</v>
      </c>
      <c r="E4" s="126">
        <v>1.1801999999999999</v>
      </c>
      <c r="F4" s="122">
        <v>1.7849999999999999</v>
      </c>
      <c r="Q4" s="104" t="s">
        <v>112</v>
      </c>
    </row>
    <row r="5" spans="1:17" x14ac:dyDescent="0.35">
      <c r="B5">
        <v>280</v>
      </c>
      <c r="C5" s="127">
        <v>2.12</v>
      </c>
      <c r="D5" s="126">
        <v>2.12</v>
      </c>
      <c r="E5" s="128">
        <v>2.0950000000000002</v>
      </c>
      <c r="F5" s="129">
        <v>2.0710000000000002</v>
      </c>
      <c r="G5" s="100">
        <v>2.0719396890000001</v>
      </c>
      <c r="H5" s="98">
        <v>1.6297049910000001</v>
      </c>
      <c r="I5">
        <v>1.760312973</v>
      </c>
      <c r="Q5" s="104" t="s">
        <v>113</v>
      </c>
    </row>
    <row r="6" spans="1:17" x14ac:dyDescent="0.35">
      <c r="B6">
        <v>300</v>
      </c>
      <c r="C6" s="121">
        <v>2.19</v>
      </c>
      <c r="D6" s="126">
        <v>2.1800000000000002</v>
      </c>
      <c r="E6" s="126">
        <v>2.16</v>
      </c>
      <c r="F6" s="122">
        <v>2.1339999999999999</v>
      </c>
      <c r="Q6" s="104" t="s">
        <v>114</v>
      </c>
    </row>
    <row r="7" spans="1:17" ht="15" thickBot="1" x14ac:dyDescent="0.4">
      <c r="B7">
        <v>400</v>
      </c>
      <c r="C7" s="123">
        <v>2.4900000000000002</v>
      </c>
      <c r="D7" s="130">
        <v>2.48</v>
      </c>
      <c r="E7" s="130">
        <v>2.4500000000000002</v>
      </c>
      <c r="F7" s="124">
        <v>2.4129999999999998</v>
      </c>
      <c r="G7" s="98">
        <v>2.4153379400000001</v>
      </c>
      <c r="H7" s="106">
        <v>2.0968</v>
      </c>
      <c r="I7" s="107">
        <v>2.3662180130000001</v>
      </c>
    </row>
    <row r="8" spans="1:17" x14ac:dyDescent="0.35">
      <c r="B8" t="s">
        <v>121</v>
      </c>
      <c r="G8">
        <v>2.645</v>
      </c>
      <c r="H8" s="101">
        <v>2.351</v>
      </c>
      <c r="I8" s="101">
        <v>2.3199999999999998</v>
      </c>
    </row>
    <row r="10" spans="1:17" x14ac:dyDescent="0.35">
      <c r="B10" s="101" t="s">
        <v>108</v>
      </c>
    </row>
    <row r="12" spans="1:17" x14ac:dyDescent="0.35">
      <c r="B12" s="105" t="s">
        <v>115</v>
      </c>
    </row>
    <row r="13" spans="1:17" x14ac:dyDescent="0.35">
      <c r="B13" s="103" t="s">
        <v>116</v>
      </c>
    </row>
    <row r="14" spans="1:17" x14ac:dyDescent="0.35">
      <c r="B14" s="103" t="s">
        <v>117</v>
      </c>
    </row>
    <row r="15" spans="1:17" x14ac:dyDescent="0.35">
      <c r="B15" s="103" t="s">
        <v>118</v>
      </c>
    </row>
    <row r="16" spans="1:17" x14ac:dyDescent="0.35">
      <c r="B16" s="103" t="s">
        <v>119</v>
      </c>
    </row>
    <row r="17" spans="2:6" x14ac:dyDescent="0.35">
      <c r="B17" t="s">
        <v>120</v>
      </c>
    </row>
    <row r="20" spans="2:6" x14ac:dyDescent="0.35">
      <c r="D20" t="s">
        <v>110</v>
      </c>
      <c r="E20" t="s">
        <v>111</v>
      </c>
    </row>
    <row r="21" spans="2:6" x14ac:dyDescent="0.35">
      <c r="D21">
        <f>C2</f>
        <v>3.5000000000000001E-3</v>
      </c>
      <c r="E21" s="102">
        <f>'G20 120L (m;velo)'!$H$37</f>
        <v>7.2342321866673309</v>
      </c>
    </row>
    <row r="22" spans="2:6" x14ac:dyDescent="0.35">
      <c r="D22">
        <f>G2</f>
        <v>2.3800000000000002E-3</v>
      </c>
      <c r="E22" s="102">
        <f>'G27 60L (m;velo)'!$H$37</f>
        <v>7.774697634475225</v>
      </c>
    </row>
    <row r="23" spans="2:6" x14ac:dyDescent="0.35">
      <c r="D23">
        <f>H2</f>
        <v>7.5900000000000002E-4</v>
      </c>
      <c r="E23" s="102">
        <f>'G27 105L (m;velo)'!$H$37</f>
        <v>10.502216330077403</v>
      </c>
    </row>
    <row r="24" spans="2:6" x14ac:dyDescent="0.35">
      <c r="D24">
        <f>I2</f>
        <v>1.9040000000000001E-3</v>
      </c>
      <c r="E24" s="102">
        <f>'G30 85L (m;velo)'!$H$37</f>
        <v>10.234577187497061</v>
      </c>
    </row>
    <row r="26" spans="2:6" x14ac:dyDescent="0.35">
      <c r="E26" t="s">
        <v>82</v>
      </c>
      <c r="F26" t="s">
        <v>129</v>
      </c>
    </row>
    <row r="27" spans="2:6" x14ac:dyDescent="0.35">
      <c r="D27">
        <f>1000*D21</f>
        <v>3.5</v>
      </c>
      <c r="E27" s="102">
        <f>'G20 120L (m;velo)'!$H$37</f>
        <v>7.2342321866673309</v>
      </c>
      <c r="F27" s="102">
        <f>'G20 120L (m;velo)'!$H$38</f>
        <v>0.67685120157513001</v>
      </c>
    </row>
    <row r="28" spans="2:6" x14ac:dyDescent="0.35">
      <c r="D28">
        <f t="shared" ref="D28:D30" si="0">1000*D22</f>
        <v>2.3800000000000003</v>
      </c>
      <c r="E28" s="102">
        <f>'G27 60L (m;velo)'!$H$37</f>
        <v>7.774697634475225</v>
      </c>
      <c r="F28" s="102">
        <f>'G27 60L (m;velo)'!$H$38</f>
        <v>0.63507119867973216</v>
      </c>
    </row>
    <row r="29" spans="2:6" x14ac:dyDescent="0.35">
      <c r="D29">
        <f t="shared" si="0"/>
        <v>0.75900000000000001</v>
      </c>
      <c r="E29" s="102">
        <f>'G27 105L (m;velo)'!$H$37</f>
        <v>10.502216330077403</v>
      </c>
      <c r="F29" s="102">
        <f>'G27 105L (m;velo)'!$H$38</f>
        <v>0.81617233798256539</v>
      </c>
    </row>
    <row r="30" spans="2:6" x14ac:dyDescent="0.35">
      <c r="D30">
        <f t="shared" si="0"/>
        <v>1.9040000000000001</v>
      </c>
      <c r="E30" s="102">
        <f>'G30 85L (m;velo)'!$H$37</f>
        <v>10.234577187497061</v>
      </c>
      <c r="F30" s="102">
        <f>'G30 85L (m;velo)'!$H$38</f>
        <v>0.9617632246567922</v>
      </c>
    </row>
    <row r="32" spans="2:6" x14ac:dyDescent="0.35">
      <c r="C32" t="s">
        <v>130</v>
      </c>
      <c r="D32">
        <f>AVERAGE(D27:D30)</f>
        <v>2.1357500000000003</v>
      </c>
      <c r="E32" s="102">
        <f>'all drops (m;velo)'!$H$37</f>
        <v>9.5734587425080395</v>
      </c>
      <c r="F32" s="102">
        <f>'all drops (m;velo)'!$H$38</f>
        <v>0.496381386654285</v>
      </c>
    </row>
    <row r="33" spans="4:4" x14ac:dyDescent="0.35">
      <c r="D33">
        <f>STDEV(D27:D30)</f>
        <v>1.1357794313451295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topLeftCell="A4" zoomScale="55" zoomScaleNormal="55" workbookViewId="0">
      <selection activeCell="G2" sqref="G2"/>
    </sheetView>
  </sheetViews>
  <sheetFormatPr defaultRowHeight="14.5" x14ac:dyDescent="0.35"/>
  <cols>
    <col min="1" max="1" width="23.7265625" bestFit="1" customWidth="1"/>
    <col min="2" max="2" width="11.81640625" customWidth="1"/>
    <col min="3" max="3" width="11.453125" customWidth="1"/>
    <col min="4" max="4" width="11.1796875" customWidth="1"/>
    <col min="5" max="5" width="11.54296875" customWidth="1"/>
    <col min="6" max="6" width="19.1796875" bestFit="1" customWidth="1"/>
    <col min="7" max="7" width="37.54296875" bestFit="1" customWidth="1"/>
    <col min="8" max="8" width="37.54296875" customWidth="1"/>
    <col min="9" max="9" width="29.36328125" customWidth="1"/>
    <col min="10" max="10" width="12.54296875" bestFit="1" customWidth="1"/>
    <col min="11" max="11" width="20.54296875" bestFit="1" customWidth="1"/>
    <col min="19" max="19" width="12" bestFit="1" customWidth="1"/>
  </cols>
  <sheetData>
    <row r="1" spans="1:18" x14ac:dyDescent="0.35">
      <c r="A1" t="s">
        <v>5</v>
      </c>
      <c r="B1" t="s">
        <v>137</v>
      </c>
      <c r="D1" s="119" t="s">
        <v>139</v>
      </c>
      <c r="E1" s="120" t="s">
        <v>140</v>
      </c>
      <c r="F1" t="s">
        <v>144</v>
      </c>
      <c r="G1" t="s">
        <v>145</v>
      </c>
      <c r="H1" t="s">
        <v>150</v>
      </c>
      <c r="I1" t="s">
        <v>153</v>
      </c>
      <c r="J1" t="s">
        <v>141</v>
      </c>
    </row>
    <row r="2" spans="1:18" x14ac:dyDescent="0.35">
      <c r="A2" t="s">
        <v>134</v>
      </c>
      <c r="B2">
        <v>0.75900000000000001</v>
      </c>
      <c r="D2" s="121">
        <f>'G27 105L (m;velo)'!$I$44</f>
        <v>2.8551959583194889E+22</v>
      </c>
      <c r="E2" s="122">
        <f>'G27 105L (m;velo)'!$I$45</f>
        <v>10.502216330077403</v>
      </c>
      <c r="F2">
        <f>(-1.3081*B2 + 11.73)</f>
        <v>10.737152100000001</v>
      </c>
      <c r="G2">
        <f>H2/(J2^(-F2))</f>
        <v>9.5214936964215901E+22</v>
      </c>
      <c r="H2" s="118">
        <f xml:space="preserve"> ($I$6*B2 + $J$6)</f>
        <v>31.94485228204551</v>
      </c>
      <c r="I2">
        <f>D2*J2^(-E2)</f>
        <v>28.262023945859521</v>
      </c>
      <c r="J2">
        <f>$M$3</f>
        <v>100</v>
      </c>
      <c r="L2" t="s">
        <v>138</v>
      </c>
    </row>
    <row r="3" spans="1:18" x14ac:dyDescent="0.35">
      <c r="A3" t="s">
        <v>133</v>
      </c>
      <c r="B3">
        <v>1.9040000000000001</v>
      </c>
      <c r="D3" s="121">
        <f>'G30 85L (m;velo)'!$I$44</f>
        <v>1.0036826209747351E+22</v>
      </c>
      <c r="E3" s="122">
        <f>'G30 85L (m;velo)'!$I$45</f>
        <v>10.234577187497061</v>
      </c>
      <c r="F3">
        <f t="shared" ref="F3:F5" si="0">(-1.3081*B3 + 11.73)</f>
        <v>9.239377600000001</v>
      </c>
      <c r="G3">
        <f t="shared" ref="G3:G5" si="1">H3/(J3^(-F3))</f>
        <v>7.3423275657187E+19</v>
      </c>
      <c r="H3" s="118">
        <f t="shared" ref="H3:H5" si="2" xml:space="preserve"> ($I$6*B3 + $J$6)</f>
        <v>24.382518136231411</v>
      </c>
      <c r="I3">
        <f>D3*J3^(-E3)</f>
        <v>34.07548369665696</v>
      </c>
      <c r="J3">
        <f t="shared" ref="J3:J5" si="3">$M$3</f>
        <v>100</v>
      </c>
      <c r="L3" t="s">
        <v>20</v>
      </c>
      <c r="M3">
        <v>100</v>
      </c>
    </row>
    <row r="4" spans="1:18" x14ac:dyDescent="0.35">
      <c r="A4" t="s">
        <v>136</v>
      </c>
      <c r="B4">
        <v>2.3800000000000003</v>
      </c>
      <c r="D4" s="121">
        <f>'G27 60L (m;velo)'!$I$44</f>
        <v>5.824763679134476E+16</v>
      </c>
      <c r="E4" s="122">
        <f>'G27 60L (m;velo)'!$I$45</f>
        <v>7.774697634475225</v>
      </c>
      <c r="F4">
        <f t="shared" si="0"/>
        <v>8.6167219999999993</v>
      </c>
      <c r="G4">
        <f t="shared" si="1"/>
        <v>3.6355652464550968E+18</v>
      </c>
      <c r="H4" s="118">
        <f t="shared" si="2"/>
        <v>21.238700622338385</v>
      </c>
      <c r="I4">
        <f>D4*J4^(-E4)</f>
        <v>16.439289403629978</v>
      </c>
      <c r="J4">
        <f t="shared" si="3"/>
        <v>100</v>
      </c>
    </row>
    <row r="5" spans="1:18" ht="15" thickBot="1" x14ac:dyDescent="0.4">
      <c r="A5" t="s">
        <v>135</v>
      </c>
      <c r="B5">
        <v>3.5</v>
      </c>
      <c r="D5" s="123">
        <f>'G20 120L (m;velo)'!I44</f>
        <v>3714443451912400.5</v>
      </c>
      <c r="E5" s="124">
        <f>'G20 120L (m;velo)'!$I$45</f>
        <v>7.2342321866673309</v>
      </c>
      <c r="F5">
        <f t="shared" si="0"/>
        <v>7.1516500000000001</v>
      </c>
      <c r="G5">
        <f t="shared" si="1"/>
        <v>2782804018711886.5</v>
      </c>
      <c r="H5" s="118">
        <f t="shared" si="2"/>
        <v>13.841482942590098</v>
      </c>
      <c r="I5">
        <f>D5*J5^(-E5)</f>
        <v>12.630756937058919</v>
      </c>
      <c r="J5">
        <f t="shared" si="3"/>
        <v>100</v>
      </c>
    </row>
    <row r="6" spans="1:18" x14ac:dyDescent="0.35">
      <c r="I6" s="116">
        <f t="array" ref="I6:J7">LINEST(I2:I5,B2:B5,,TRUE)</f>
        <v>-6.6046586426324012</v>
      </c>
      <c r="J6" s="116">
        <v>36.957788191803502</v>
      </c>
    </row>
    <row r="7" spans="1:18" x14ac:dyDescent="0.35">
      <c r="I7" s="116">
        <v>4.1299550403961351</v>
      </c>
      <c r="J7" s="116">
        <v>9.7110377815506865</v>
      </c>
    </row>
    <row r="10" spans="1:18" x14ac:dyDescent="0.35">
      <c r="A10" t="s">
        <v>142</v>
      </c>
      <c r="B10" t="s">
        <v>20</v>
      </c>
      <c r="C10" t="s">
        <v>143</v>
      </c>
    </row>
    <row r="11" spans="1:18" x14ac:dyDescent="0.35">
      <c r="A11">
        <f t="shared" ref="A11:A37" si="4">(($D$2*B11^(-$E$2))+($D$3*B11^(-$E$3))+($D$4*B11^(-$E$4))+($D$5*B11^(-$E$5)))</f>
        <v>0.20672862150155183</v>
      </c>
      <c r="B11">
        <v>200</v>
      </c>
      <c r="C11" s="115">
        <f t="shared" ref="C11:C37" si="5">_xlfn.STDEV.P(($D$2*B11^(-$E$2)),($D$3*B11^(-$E$3)),($D$4*B11^(-$E$4)),($D$5*B11^(-$E$5)))</f>
        <v>2.8144371691296573E-2</v>
      </c>
    </row>
    <row r="12" spans="1:18" x14ac:dyDescent="0.35">
      <c r="A12">
        <f t="shared" si="4"/>
        <v>0.2542227887180103</v>
      </c>
      <c r="B12">
        <v>195</v>
      </c>
      <c r="C12" s="115">
        <f t="shared" si="5"/>
        <v>3.2928379420582313E-2</v>
      </c>
    </row>
    <row r="13" spans="1:18" x14ac:dyDescent="0.35">
      <c r="A13">
        <f t="shared" si="4"/>
        <v>0.31463950715947742</v>
      </c>
      <c r="B13">
        <v>190</v>
      </c>
      <c r="C13" s="115">
        <f t="shared" si="5"/>
        <v>3.8551176095890434E-2</v>
      </c>
    </row>
    <row r="14" spans="1:18" x14ac:dyDescent="0.35">
      <c r="A14">
        <f t="shared" si="4"/>
        <v>0.3920795494668492</v>
      </c>
      <c r="B14">
        <v>185</v>
      </c>
      <c r="C14" s="115">
        <f t="shared" si="5"/>
        <v>4.5137192269699762E-2</v>
      </c>
    </row>
    <row r="15" spans="1:18" x14ac:dyDescent="0.35">
      <c r="A15">
        <f t="shared" si="4"/>
        <v>0.49214229610092675</v>
      </c>
      <c r="B15">
        <v>180</v>
      </c>
      <c r="C15" s="115">
        <f t="shared" si="5"/>
        <v>5.2809016078473631E-2</v>
      </c>
      <c r="K15" s="133" t="s">
        <v>148</v>
      </c>
      <c r="L15" s="133"/>
      <c r="M15" s="133"/>
      <c r="N15" s="133"/>
      <c r="O15" s="134" t="s">
        <v>149</v>
      </c>
      <c r="P15" s="134"/>
      <c r="Q15" s="134"/>
      <c r="R15" s="134"/>
    </row>
    <row r="16" spans="1:18" x14ac:dyDescent="0.35">
      <c r="A16">
        <f t="shared" si="4"/>
        <v>0.62254978196511135</v>
      </c>
      <c r="B16">
        <v>175</v>
      </c>
      <c r="C16" s="115">
        <f t="shared" si="5"/>
        <v>6.1670084958413141E-2</v>
      </c>
      <c r="K16" s="133" t="s">
        <v>147</v>
      </c>
      <c r="L16" s="133"/>
      <c r="M16" s="133"/>
      <c r="N16" s="133"/>
      <c r="O16" s="134" t="s">
        <v>147</v>
      </c>
      <c r="P16" s="134"/>
      <c r="Q16" s="134"/>
      <c r="R16" s="134"/>
    </row>
    <row r="17" spans="1:18" x14ac:dyDescent="0.35">
      <c r="A17">
        <f t="shared" si="4"/>
        <v>0.79406424515284391</v>
      </c>
      <c r="B17">
        <v>170</v>
      </c>
      <c r="C17" s="115">
        <f t="shared" si="5"/>
        <v>7.1773949156995254E-2</v>
      </c>
      <c r="J17" t="s">
        <v>146</v>
      </c>
      <c r="K17" s="116">
        <v>0.75900000000000001</v>
      </c>
      <c r="L17" s="116">
        <v>1.9040000000000001</v>
      </c>
      <c r="M17" s="116">
        <v>2.3800000000000003</v>
      </c>
      <c r="N17" s="116">
        <v>3.5</v>
      </c>
      <c r="O17" s="117">
        <v>0.75900000000000001</v>
      </c>
      <c r="P17" s="117">
        <v>1.9040000000000001</v>
      </c>
      <c r="Q17" s="117">
        <v>2.3800000000000003</v>
      </c>
      <c r="R17" s="117">
        <v>3.5</v>
      </c>
    </row>
    <row r="18" spans="1:18" x14ac:dyDescent="0.35">
      <c r="A18">
        <f t="shared" si="4"/>
        <v>1.0218539452794781</v>
      </c>
      <c r="B18">
        <v>165</v>
      </c>
      <c r="C18" s="115">
        <f t="shared" si="5"/>
        <v>8.3072769774152566E-2</v>
      </c>
      <c r="J18">
        <v>200</v>
      </c>
      <c r="K18">
        <f>$D$2*J18^(-$E$2)</f>
        <v>1.9485929355516705E-2</v>
      </c>
      <c r="L18">
        <f>$D$3*J18^(-$E$3)</f>
        <v>2.8283119138091017E-2</v>
      </c>
      <c r="M18">
        <f>$D$4*J18^(-$E$4)</f>
        <v>7.5069901465062427E-2</v>
      </c>
      <c r="N18">
        <f>$D$5*J18^(-$E$5)</f>
        <v>8.3889671542881683E-2</v>
      </c>
      <c r="O18">
        <f>$G$2*J18^(-$F$2)</f>
        <v>1.8715267292856285E-2</v>
      </c>
      <c r="P18">
        <f>$G$3*J18^(-$F$3)</f>
        <v>4.0341194830920218E-2</v>
      </c>
      <c r="Q18">
        <f>$G$4*J18^(-$F$4)</f>
        <v>5.4104844963389971E-2</v>
      </c>
      <c r="R18">
        <f>$G$5*J18^(-$F$5)</f>
        <v>9.7346749225571724E-2</v>
      </c>
    </row>
    <row r="19" spans="1:18" x14ac:dyDescent="0.35">
      <c r="A19">
        <f t="shared" si="4"/>
        <v>1.3275529673530437</v>
      </c>
      <c r="B19">
        <v>160</v>
      </c>
      <c r="C19" s="115">
        <f t="shared" si="5"/>
        <v>9.5336758812359035E-2</v>
      </c>
      <c r="J19">
        <v>195</v>
      </c>
      <c r="K19">
        <f t="shared" ref="K19:K43" si="6">$D$2*J19^(-$E$2)</f>
        <v>2.5421257413420634E-2</v>
      </c>
      <c r="L19">
        <f t="shared" ref="L19:L43" si="7">$D$3*J19^(-$E$3)</f>
        <v>3.6648855126405692E-2</v>
      </c>
      <c r="M19">
        <f t="shared" ref="M19:M43" si="8">$D$4*J19^(-$E$4)</f>
        <v>9.1401144554105779E-2</v>
      </c>
      <c r="N19">
        <f t="shared" ref="N19:N43" si="9">$D$5*J19^(-$E$5)</f>
        <v>0.10075153162407821</v>
      </c>
      <c r="O19">
        <f t="shared" ref="O19:O43" si="10">$G$2*J19^(-$F$2)</f>
        <v>2.4561514795042878E-2</v>
      </c>
      <c r="P19">
        <f t="shared" ref="P19:P43" si="11">$G$3*J19^(-$F$3)</f>
        <v>5.0972890831153715E-2</v>
      </c>
      <c r="Q19">
        <f t="shared" ref="Q19:Q43" si="12">$G$4*J19^(-$F$4)</f>
        <v>6.7294617153592987E-2</v>
      </c>
      <c r="R19">
        <f t="shared" ref="R19:R43" si="13">$G$5*J19^(-$F$5)</f>
        <v>0.11666930036083742</v>
      </c>
    </row>
    <row r="20" spans="1:18" x14ac:dyDescent="0.35">
      <c r="A20">
        <f t="shared" si="4"/>
        <v>1.7424109436957991</v>
      </c>
      <c r="B20">
        <v>155</v>
      </c>
      <c r="C20" s="115">
        <f t="shared" si="5"/>
        <v>0.10804339363204957</v>
      </c>
      <c r="J20">
        <v>190</v>
      </c>
      <c r="K20">
        <f t="shared" si="6"/>
        <v>3.3394322734978735E-2</v>
      </c>
      <c r="L20">
        <f t="shared" si="7"/>
        <v>4.7809784270258116E-2</v>
      </c>
      <c r="M20">
        <f t="shared" si="8"/>
        <v>0.11185568946352786</v>
      </c>
      <c r="N20">
        <f t="shared" si="9"/>
        <v>0.12157971069071274</v>
      </c>
      <c r="O20">
        <f t="shared" si="10"/>
        <v>3.2462433454994527E-2</v>
      </c>
      <c r="P20">
        <f t="shared" si="11"/>
        <v>6.4799070964857347E-2</v>
      </c>
      <c r="Q20">
        <f t="shared" si="12"/>
        <v>8.4175490800391287E-2</v>
      </c>
      <c r="R20">
        <f t="shared" si="13"/>
        <v>0.14048644783313485</v>
      </c>
    </row>
    <row r="21" spans="1:18" x14ac:dyDescent="0.35">
      <c r="A21">
        <f t="shared" si="4"/>
        <v>2.3121807728171859</v>
      </c>
      <c r="B21">
        <v>150</v>
      </c>
      <c r="C21" s="115">
        <f t="shared" si="5"/>
        <v>0.12027806566600312</v>
      </c>
      <c r="J21">
        <v>185</v>
      </c>
      <c r="K21">
        <f t="shared" si="6"/>
        <v>4.4188368906423442E-2</v>
      </c>
      <c r="L21">
        <f t="shared" si="7"/>
        <v>6.2813407355824302E-2</v>
      </c>
      <c r="M21">
        <f t="shared" si="8"/>
        <v>0.13762699778061302</v>
      </c>
      <c r="N21">
        <f t="shared" si="9"/>
        <v>0.14745077542398846</v>
      </c>
      <c r="O21">
        <f t="shared" si="10"/>
        <v>4.3225238631837977E-2</v>
      </c>
      <c r="P21">
        <f t="shared" si="11"/>
        <v>8.2904494037487939E-2</v>
      </c>
      <c r="Q21">
        <f t="shared" si="12"/>
        <v>0.10592133194074636</v>
      </c>
      <c r="R21">
        <f t="shared" si="13"/>
        <v>0.17000587523569349</v>
      </c>
    </row>
    <row r="22" spans="1:18" x14ac:dyDescent="0.35">
      <c r="A22">
        <f t="shared" si="4"/>
        <v>3.104822966155337</v>
      </c>
      <c r="B22">
        <v>145</v>
      </c>
      <c r="C22" s="115">
        <f t="shared" si="5"/>
        <v>0.1308778170546587</v>
      </c>
      <c r="J22">
        <v>180</v>
      </c>
      <c r="K22">
        <f>$D$2*J22^(-$E$2)</f>
        <v>5.8921824786094056E-2</v>
      </c>
      <c r="L22">
        <f t="shared" si="7"/>
        <v>8.314494913702114E-2</v>
      </c>
      <c r="M22">
        <f t="shared" si="8"/>
        <v>0.17030072602336613</v>
      </c>
      <c r="N22">
        <f t="shared" si="9"/>
        <v>0.17977479615444539</v>
      </c>
      <c r="O22">
        <f t="shared" si="10"/>
        <v>5.8009773529877302E-2</v>
      </c>
      <c r="P22">
        <f t="shared" si="11"/>
        <v>0.10678727157264807</v>
      </c>
      <c r="Q22">
        <f t="shared" si="12"/>
        <v>0.13412685225116946</v>
      </c>
      <c r="R22">
        <f t="shared" si="13"/>
        <v>0.20680594099048394</v>
      </c>
    </row>
    <row r="23" spans="1:18" x14ac:dyDescent="0.35">
      <c r="A23">
        <f t="shared" si="4"/>
        <v>4.2228539423202189</v>
      </c>
      <c r="B23">
        <v>140</v>
      </c>
      <c r="C23" s="115">
        <f t="shared" si="5"/>
        <v>0.13983370370020556</v>
      </c>
      <c r="J23">
        <v>175</v>
      </c>
      <c r="K23">
        <f t="shared" si="6"/>
        <v>7.9207279367209671E-2</v>
      </c>
      <c r="L23">
        <f t="shared" si="7"/>
        <v>0.11093034419480104</v>
      </c>
      <c r="M23">
        <f t="shared" si="8"/>
        <v>0.21199992086126176</v>
      </c>
      <c r="N23">
        <f t="shared" si="9"/>
        <v>0.22041223754183892</v>
      </c>
      <c r="O23">
        <f t="shared" si="10"/>
        <v>7.8499047916922748E-2</v>
      </c>
      <c r="P23">
        <f t="shared" si="11"/>
        <v>0.13853459931956899</v>
      </c>
      <c r="Q23">
        <f t="shared" si="12"/>
        <v>0.17097658649757289</v>
      </c>
      <c r="R23">
        <f t="shared" si="13"/>
        <v>0.25296448988080805</v>
      </c>
    </row>
    <row r="24" spans="1:18" x14ac:dyDescent="0.35">
      <c r="A24">
        <f t="shared" si="4"/>
        <v>5.8234929509213869</v>
      </c>
      <c r="B24">
        <v>135</v>
      </c>
      <c r="C24" s="115">
        <f t="shared" si="5"/>
        <v>0.15464752189864664</v>
      </c>
      <c r="J24">
        <v>170</v>
      </c>
      <c r="K24">
        <f t="shared" si="6"/>
        <v>0.10739370727931372</v>
      </c>
      <c r="L24">
        <f t="shared" si="7"/>
        <v>0.14924326985561268</v>
      </c>
      <c r="M24">
        <f t="shared" si="8"/>
        <v>0.26559039026956732</v>
      </c>
      <c r="N24">
        <f t="shared" si="9"/>
        <v>0.27183687774835019</v>
      </c>
      <c r="O24">
        <f t="shared" si="10"/>
        <v>0.10716075483813012</v>
      </c>
      <c r="P24">
        <f t="shared" si="11"/>
        <v>0.18108144598549056</v>
      </c>
      <c r="Q24">
        <f t="shared" si="12"/>
        <v>0.21948945113784452</v>
      </c>
      <c r="R24">
        <f t="shared" si="13"/>
        <v>0.31123798379542661</v>
      </c>
    </row>
    <row r="25" spans="1:18" x14ac:dyDescent="0.35">
      <c r="A25">
        <f t="shared" si="4"/>
        <v>8.1521647416795702</v>
      </c>
      <c r="B25">
        <v>130</v>
      </c>
      <c r="C25" s="115">
        <f t="shared" si="5"/>
        <v>0.20679653863235836</v>
      </c>
      <c r="J25">
        <v>165</v>
      </c>
      <c r="K25">
        <f t="shared" si="6"/>
        <v>0.14693993032365327</v>
      </c>
      <c r="L25">
        <f t="shared" si="7"/>
        <v>0.20257498489710257</v>
      </c>
      <c r="M25">
        <f t="shared" si="8"/>
        <v>0.33497402708025187</v>
      </c>
      <c r="N25">
        <f t="shared" si="9"/>
        <v>0.33736500297847044</v>
      </c>
      <c r="O25">
        <f t="shared" si="10"/>
        <v>0.14765314297990964</v>
      </c>
      <c r="P25">
        <f t="shared" si="11"/>
        <v>0.23859551370162091</v>
      </c>
      <c r="Q25">
        <f t="shared" si="12"/>
        <v>0.28387637869173143</v>
      </c>
      <c r="R25">
        <f t="shared" si="13"/>
        <v>0.38531292049356491</v>
      </c>
    </row>
    <row r="26" spans="1:18" x14ac:dyDescent="0.35">
      <c r="A26">
        <f t="shared" si="4"/>
        <v>11.599360451871153</v>
      </c>
      <c r="B26">
        <v>125</v>
      </c>
      <c r="C26" s="115">
        <f t="shared" si="5"/>
        <v>0.3575890681631298</v>
      </c>
      <c r="J26">
        <v>160</v>
      </c>
      <c r="K26">
        <f t="shared" si="6"/>
        <v>0.2029976661470782</v>
      </c>
      <c r="L26">
        <f t="shared" si="7"/>
        <v>0.27756219372440305</v>
      </c>
      <c r="M26">
        <f t="shared" si="8"/>
        <v>0.42551208077496028</v>
      </c>
      <c r="N26">
        <f t="shared" si="9"/>
        <v>0.42148102670660226</v>
      </c>
      <c r="O26">
        <f t="shared" si="10"/>
        <v>0.20546298049430961</v>
      </c>
      <c r="P26">
        <f t="shared" si="11"/>
        <v>0.31705671853498513</v>
      </c>
      <c r="Q26">
        <f t="shared" si="12"/>
        <v>0.37006907792614108</v>
      </c>
      <c r="R26">
        <f t="shared" si="13"/>
        <v>0.48016217785482679</v>
      </c>
    </row>
    <row r="27" spans="1:18" x14ac:dyDescent="0.35">
      <c r="A27">
        <f t="shared" si="4"/>
        <v>16.799281720426151</v>
      </c>
      <c r="B27">
        <v>120</v>
      </c>
      <c r="C27" s="115">
        <f t="shared" si="5"/>
        <v>0.6847622194293439</v>
      </c>
      <c r="J27">
        <v>155</v>
      </c>
      <c r="K27">
        <f t="shared" si="6"/>
        <v>0.28333393378674837</v>
      </c>
      <c r="L27">
        <f t="shared" si="7"/>
        <v>0.38412942232477748</v>
      </c>
      <c r="M27">
        <f t="shared" si="8"/>
        <v>0.54464263786130818</v>
      </c>
      <c r="N27">
        <f t="shared" si="9"/>
        <v>0.53030494972296505</v>
      </c>
      <c r="O27">
        <f t="shared" si="10"/>
        <v>0.28892191951183432</v>
      </c>
      <c r="P27">
        <f t="shared" si="11"/>
        <v>0.42514015572358349</v>
      </c>
      <c r="Q27">
        <f t="shared" si="12"/>
        <v>0.4865109419569672</v>
      </c>
      <c r="R27">
        <f t="shared" si="13"/>
        <v>0.60255533029867347</v>
      </c>
    </row>
    <row r="28" spans="1:18" x14ac:dyDescent="0.35">
      <c r="A28">
        <f t="shared" si="4"/>
        <v>24.80506217269539</v>
      </c>
      <c r="B28">
        <v>115</v>
      </c>
      <c r="C28" s="115">
        <f t="shared" si="5"/>
        <v>1.3141009171302138</v>
      </c>
      <c r="J28">
        <v>150</v>
      </c>
      <c r="K28">
        <f t="shared" si="6"/>
        <v>0.39981102292061976</v>
      </c>
      <c r="L28">
        <f t="shared" si="7"/>
        <v>0.53730693552337017</v>
      </c>
      <c r="M28">
        <f t="shared" si="8"/>
        <v>0.70279189737330028</v>
      </c>
      <c r="N28">
        <f t="shared" si="9"/>
        <v>0.6722709169998955</v>
      </c>
      <c r="O28">
        <f t="shared" si="10"/>
        <v>0.41084901704848703</v>
      </c>
      <c r="P28">
        <f t="shared" si="11"/>
        <v>0.57557897499279098</v>
      </c>
      <c r="Q28">
        <f t="shared" si="12"/>
        <v>0.64535475944966092</v>
      </c>
      <c r="R28">
        <f t="shared" si="13"/>
        <v>0.76179754549687639</v>
      </c>
    </row>
    <row r="29" spans="1:18" x14ac:dyDescent="0.35">
      <c r="A29">
        <f t="shared" si="4"/>
        <v>37.408057779458616</v>
      </c>
      <c r="B29">
        <v>110</v>
      </c>
      <c r="C29" s="115">
        <f t="shared" si="5"/>
        <v>2.4833425007872356</v>
      </c>
      <c r="J29">
        <v>145</v>
      </c>
      <c r="K29">
        <f t="shared" si="6"/>
        <v>0.5707968816104988</v>
      </c>
      <c r="L29">
        <f t="shared" si="7"/>
        <v>0.76016654935076911</v>
      </c>
      <c r="M29">
        <f t="shared" si="8"/>
        <v>0.91473567229183428</v>
      </c>
      <c r="N29">
        <f t="shared" si="9"/>
        <v>0.85912386290223486</v>
      </c>
      <c r="O29">
        <f t="shared" si="10"/>
        <v>0.59124584284913251</v>
      </c>
      <c r="P29">
        <f t="shared" si="11"/>
        <v>0.78729709817383475</v>
      </c>
      <c r="Q29">
        <f t="shared" si="12"/>
        <v>0.86430042838450416</v>
      </c>
      <c r="R29">
        <f t="shared" si="13"/>
        <v>0.97081202852910131</v>
      </c>
    </row>
    <row r="30" spans="1:18" x14ac:dyDescent="0.35">
      <c r="A30">
        <f t="shared" si="4"/>
        <v>57.735974829959332</v>
      </c>
      <c r="B30">
        <v>105</v>
      </c>
      <c r="C30" s="115">
        <f t="shared" si="5"/>
        <v>4.645148564517549</v>
      </c>
      <c r="J30">
        <v>140</v>
      </c>
      <c r="K30">
        <f t="shared" si="6"/>
        <v>0.82515401549739553</v>
      </c>
      <c r="L30">
        <f t="shared" si="7"/>
        <v>1.0886376971005718</v>
      </c>
      <c r="M30">
        <f t="shared" si="8"/>
        <v>1.2016603950357674</v>
      </c>
      <c r="N30">
        <f t="shared" si="9"/>
        <v>1.1074018346864847</v>
      </c>
      <c r="O30">
        <f t="shared" si="10"/>
        <v>0.86179096983205161</v>
      </c>
      <c r="P30">
        <f t="shared" si="11"/>
        <v>1.088795848707883</v>
      </c>
      <c r="Q30">
        <f t="shared" si="12"/>
        <v>1.1694543761271305</v>
      </c>
      <c r="R30">
        <f t="shared" si="13"/>
        <v>1.2477456242493399</v>
      </c>
    </row>
    <row r="31" spans="1:18" x14ac:dyDescent="0.35">
      <c r="A31">
        <f t="shared" si="4"/>
        <v>91.407553983205389</v>
      </c>
      <c r="B31">
        <v>100</v>
      </c>
      <c r="C31" s="115">
        <f t="shared" si="5"/>
        <v>8.6722490202755704</v>
      </c>
      <c r="J31">
        <v>135</v>
      </c>
      <c r="K31">
        <f t="shared" si="6"/>
        <v>1.2089541437964917</v>
      </c>
      <c r="L31">
        <f t="shared" si="7"/>
        <v>1.5795414079663148</v>
      </c>
      <c r="M31">
        <f t="shared" si="8"/>
        <v>1.5943269943109484</v>
      </c>
      <c r="N31">
        <f t="shared" si="9"/>
        <v>1.4406704048476329</v>
      </c>
      <c r="O31">
        <f t="shared" si="10"/>
        <v>1.2734660991485125</v>
      </c>
      <c r="P31">
        <f t="shared" si="11"/>
        <v>1.5236164563710697</v>
      </c>
      <c r="Q31">
        <f t="shared" si="12"/>
        <v>1.5998456797882603</v>
      </c>
      <c r="R31">
        <f t="shared" si="13"/>
        <v>1.6183823239506563</v>
      </c>
    </row>
    <row r="32" spans="1:18" x14ac:dyDescent="0.35">
      <c r="A32">
        <f t="shared" si="4"/>
        <v>148.83608652472134</v>
      </c>
      <c r="B32">
        <v>95</v>
      </c>
      <c r="C32" s="115">
        <f t="shared" si="5"/>
        <v>16.285300429601794</v>
      </c>
      <c r="J32">
        <v>130</v>
      </c>
      <c r="K32">
        <f t="shared" si="6"/>
        <v>1.7969894389195176</v>
      </c>
      <c r="L32">
        <f t="shared" si="7"/>
        <v>2.3242347768032481</v>
      </c>
      <c r="M32">
        <f t="shared" si="8"/>
        <v>2.1380011248903985</v>
      </c>
      <c r="N32">
        <f t="shared" si="9"/>
        <v>1.892939401066406</v>
      </c>
      <c r="O32">
        <f t="shared" si="10"/>
        <v>1.9097379557764114</v>
      </c>
      <c r="P32">
        <f t="shared" si="11"/>
        <v>2.1592995733771088</v>
      </c>
      <c r="Q32">
        <f t="shared" si="12"/>
        <v>2.2146737221538122</v>
      </c>
      <c r="R32">
        <f t="shared" si="13"/>
        <v>2.1198232265439674</v>
      </c>
    </row>
    <row r="33" spans="1:18" x14ac:dyDescent="0.35">
      <c r="A33">
        <f t="shared" si="4"/>
        <v>249.99322651207171</v>
      </c>
      <c r="B33">
        <v>90</v>
      </c>
      <c r="C33" s="115">
        <f t="shared" si="5"/>
        <v>30.972545716562148</v>
      </c>
      <c r="J33">
        <v>125</v>
      </c>
      <c r="K33">
        <f t="shared" si="6"/>
        <v>2.7128972096355817</v>
      </c>
      <c r="L33">
        <f t="shared" si="7"/>
        <v>3.4722342843188647</v>
      </c>
      <c r="M33">
        <f t="shared" si="8"/>
        <v>2.9002603955181732</v>
      </c>
      <c r="N33">
        <f t="shared" si="9"/>
        <v>2.5139685623985337</v>
      </c>
      <c r="O33">
        <f t="shared" si="10"/>
        <v>2.9098013065465564</v>
      </c>
      <c r="P33">
        <f t="shared" si="11"/>
        <v>3.1023468581493594</v>
      </c>
      <c r="Q33">
        <f t="shared" si="12"/>
        <v>3.1051408316390678</v>
      </c>
      <c r="R33">
        <f t="shared" si="13"/>
        <v>2.8061838917469459</v>
      </c>
    </row>
    <row r="34" spans="1:18" x14ac:dyDescent="0.35">
      <c r="A34">
        <f t="shared" si="4"/>
        <v>434.65951359332581</v>
      </c>
      <c r="B34">
        <v>85</v>
      </c>
      <c r="C34" s="115">
        <f t="shared" si="5"/>
        <v>60.038192474533581</v>
      </c>
      <c r="J34">
        <v>120</v>
      </c>
      <c r="K34">
        <f t="shared" si="6"/>
        <v>4.1650928252895287</v>
      </c>
      <c r="L34">
        <f t="shared" si="7"/>
        <v>5.2729718741081202</v>
      </c>
      <c r="M34">
        <f t="shared" si="8"/>
        <v>3.9835731333984992</v>
      </c>
      <c r="N34">
        <f t="shared" si="9"/>
        <v>3.3776438876300032</v>
      </c>
      <c r="O34">
        <f t="shared" si="10"/>
        <v>4.5104492634289519</v>
      </c>
      <c r="P34">
        <f t="shared" si="11"/>
        <v>4.5236930099321455</v>
      </c>
      <c r="Q34">
        <f t="shared" si="12"/>
        <v>4.4141303967580408</v>
      </c>
      <c r="R34">
        <f t="shared" si="13"/>
        <v>3.7575612071302418</v>
      </c>
    </row>
    <row r="35" spans="1:18" x14ac:dyDescent="0.35">
      <c r="A35">
        <f t="shared" si="4"/>
        <v>785.47193432171093</v>
      </c>
      <c r="B35">
        <v>80</v>
      </c>
      <c r="C35" s="115">
        <f t="shared" si="5"/>
        <v>119.35423591443416</v>
      </c>
      <c r="J35">
        <v>115</v>
      </c>
      <c r="K35">
        <f t="shared" si="6"/>
        <v>6.5124051319711214</v>
      </c>
      <c r="L35">
        <f t="shared" si="7"/>
        <v>8.151270343125546</v>
      </c>
      <c r="M35">
        <f t="shared" si="8"/>
        <v>5.5459466205780963</v>
      </c>
      <c r="N35">
        <f t="shared" si="9"/>
        <v>4.5954400770206263</v>
      </c>
      <c r="O35">
        <f t="shared" si="10"/>
        <v>7.1232623580284091</v>
      </c>
      <c r="P35">
        <f t="shared" si="11"/>
        <v>6.7029856461847581</v>
      </c>
      <c r="Q35">
        <f t="shared" si="12"/>
        <v>6.3695907108303551</v>
      </c>
      <c r="R35">
        <f t="shared" si="13"/>
        <v>5.094398477107708</v>
      </c>
    </row>
    <row r="36" spans="1:18" x14ac:dyDescent="0.35">
      <c r="A36">
        <f t="shared" si="4"/>
        <v>1482.3470299544197</v>
      </c>
      <c r="B36">
        <v>75</v>
      </c>
      <c r="C36" s="115">
        <f t="shared" si="5"/>
        <v>244.90312264604458</v>
      </c>
      <c r="J36">
        <v>110</v>
      </c>
      <c r="K36">
        <f t="shared" si="6"/>
        <v>10.38695681543169</v>
      </c>
      <c r="L36">
        <f t="shared" si="7"/>
        <v>12.847108680047008</v>
      </c>
      <c r="M36">
        <f t="shared" si="8"/>
        <v>7.8355128942908774</v>
      </c>
      <c r="N36">
        <f t="shared" si="9"/>
        <v>6.3384793896890388</v>
      </c>
      <c r="O36">
        <f t="shared" si="10"/>
        <v>11.480513876746848</v>
      </c>
      <c r="P36">
        <f t="shared" si="11"/>
        <v>10.107317488666306</v>
      </c>
      <c r="Q36">
        <f t="shared" si="12"/>
        <v>9.3424048285144394</v>
      </c>
      <c r="R36">
        <f t="shared" si="13"/>
        <v>7.0009443428865987</v>
      </c>
    </row>
    <row r="37" spans="1:18" x14ac:dyDescent="0.35">
      <c r="A37">
        <f t="shared" si="4"/>
        <v>2938.2598612218299</v>
      </c>
      <c r="B37">
        <v>70</v>
      </c>
      <c r="C37" s="115">
        <f t="shared" si="5"/>
        <v>522.32020587007423</v>
      </c>
      <c r="J37">
        <v>105</v>
      </c>
      <c r="K37">
        <f t="shared" si="6"/>
        <v>16.930456073406134</v>
      </c>
      <c r="L37">
        <f t="shared" si="7"/>
        <v>20.681332284053287</v>
      </c>
      <c r="M37">
        <f t="shared" si="8"/>
        <v>11.249744205653117</v>
      </c>
      <c r="N37">
        <f t="shared" si="9"/>
        <v>8.8744422668468026</v>
      </c>
      <c r="O37">
        <f t="shared" si="10"/>
        <v>18.918563508409502</v>
      </c>
      <c r="P37">
        <f t="shared" si="11"/>
        <v>15.534691057175959</v>
      </c>
      <c r="Q37">
        <f t="shared" si="12"/>
        <v>13.949082528626565</v>
      </c>
      <c r="R37">
        <f t="shared" si="13"/>
        <v>9.764368728482717</v>
      </c>
    </row>
    <row r="38" spans="1:18" x14ac:dyDescent="0.35">
      <c r="J38">
        <v>100</v>
      </c>
      <c r="K38">
        <f t="shared" si="6"/>
        <v>28.262023945859521</v>
      </c>
      <c r="L38">
        <f t="shared" si="7"/>
        <v>34.07548369665696</v>
      </c>
      <c r="M38">
        <f t="shared" si="8"/>
        <v>16.439289403629978</v>
      </c>
      <c r="N38">
        <f t="shared" si="9"/>
        <v>12.630756937058919</v>
      </c>
      <c r="O38">
        <f t="shared" si="10"/>
        <v>31.94485228204551</v>
      </c>
      <c r="P38">
        <f t="shared" si="11"/>
        <v>24.382518136231411</v>
      </c>
      <c r="Q38">
        <f t="shared" si="12"/>
        <v>21.238700622338385</v>
      </c>
      <c r="R38">
        <f t="shared" si="13"/>
        <v>13.841482942590098</v>
      </c>
    </row>
    <row r="39" spans="1:18" x14ac:dyDescent="0.35">
      <c r="J39">
        <v>95</v>
      </c>
      <c r="K39">
        <f t="shared" si="6"/>
        <v>48.434495043704175</v>
      </c>
      <c r="L39">
        <f t="shared" si="7"/>
        <v>57.601197254364699</v>
      </c>
      <c r="M39">
        <f t="shared" si="8"/>
        <v>24.494877636003075</v>
      </c>
      <c r="N39">
        <f t="shared" si="9"/>
        <v>18.305516590649379</v>
      </c>
      <c r="O39">
        <f t="shared" si="10"/>
        <v>55.409715779553466</v>
      </c>
      <c r="P39">
        <f t="shared" si="11"/>
        <v>39.165040342350281</v>
      </c>
      <c r="Q39">
        <f t="shared" si="12"/>
        <v>33.042845794264984</v>
      </c>
      <c r="R39">
        <f t="shared" si="13"/>
        <v>19.975405309545067</v>
      </c>
    </row>
    <row r="40" spans="1:18" x14ac:dyDescent="0.35">
      <c r="J40">
        <v>90</v>
      </c>
      <c r="K40">
        <f t="shared" si="6"/>
        <v>85.459101932281627</v>
      </c>
      <c r="L40">
        <f t="shared" si="7"/>
        <v>100.17298109677957</v>
      </c>
      <c r="M40">
        <f t="shared" si="8"/>
        <v>37.293547295374829</v>
      </c>
      <c r="N40">
        <f t="shared" si="9"/>
        <v>27.067596187635694</v>
      </c>
      <c r="O40">
        <f t="shared" si="10"/>
        <v>99.01614640760171</v>
      </c>
      <c r="P40">
        <f t="shared" si="11"/>
        <v>64.543021017392206</v>
      </c>
      <c r="Q40">
        <f t="shared" si="12"/>
        <v>52.651108460005382</v>
      </c>
      <c r="R40">
        <f t="shared" si="13"/>
        <v>29.40520281795046</v>
      </c>
    </row>
    <row r="41" spans="1:18" x14ac:dyDescent="0.35">
      <c r="J41">
        <v>85</v>
      </c>
      <c r="K41">
        <f t="shared" si="6"/>
        <v>155.76180490992817</v>
      </c>
      <c r="L41">
        <f t="shared" si="7"/>
        <v>179.808195269089</v>
      </c>
      <c r="M41">
        <f t="shared" si="8"/>
        <v>58.160690280064813</v>
      </c>
      <c r="N41">
        <f t="shared" si="9"/>
        <v>40.928823134243828</v>
      </c>
      <c r="O41">
        <f t="shared" si="10"/>
        <v>182.91133277285741</v>
      </c>
      <c r="P41">
        <f t="shared" si="11"/>
        <v>109.44697249006961</v>
      </c>
      <c r="Q41">
        <f t="shared" si="12"/>
        <v>86.159950104882441</v>
      </c>
      <c r="R41">
        <f t="shared" si="13"/>
        <v>44.254125361783771</v>
      </c>
    </row>
    <row r="42" spans="1:18" x14ac:dyDescent="0.35">
      <c r="J42">
        <v>80</v>
      </c>
      <c r="K42">
        <f t="shared" si="6"/>
        <v>294.42398137290343</v>
      </c>
      <c r="L42">
        <f t="shared" si="7"/>
        <v>334.40675198820196</v>
      </c>
      <c r="M42">
        <f t="shared" si="8"/>
        <v>93.181369684572289</v>
      </c>
      <c r="N42">
        <f t="shared" si="9"/>
        <v>63.459831276033405</v>
      </c>
      <c r="O42">
        <f t="shared" si="10"/>
        <v>350.7021544824467</v>
      </c>
      <c r="P42">
        <f t="shared" si="11"/>
        <v>191.63143834223069</v>
      </c>
      <c r="Q42">
        <f t="shared" si="12"/>
        <v>145.26954768979562</v>
      </c>
      <c r="R42">
        <f t="shared" si="13"/>
        <v>68.273020386681125</v>
      </c>
    </row>
    <row r="43" spans="1:18" x14ac:dyDescent="0.35">
      <c r="J43">
        <v>75</v>
      </c>
      <c r="K43">
        <f t="shared" si="6"/>
        <v>579.87835722099078</v>
      </c>
      <c r="L43">
        <f t="shared" si="7"/>
        <v>647.34704938782136</v>
      </c>
      <c r="M43">
        <f t="shared" si="8"/>
        <v>153.90188565550389</v>
      </c>
      <c r="N43">
        <f t="shared" si="9"/>
        <v>101.2197376901035</v>
      </c>
      <c r="O43">
        <f t="shared" si="10"/>
        <v>701.2729743297549</v>
      </c>
      <c r="P43">
        <f t="shared" si="11"/>
        <v>347.88421253796514</v>
      </c>
      <c r="Q43">
        <f t="shared" si="12"/>
        <v>253.33214687939949</v>
      </c>
      <c r="R43">
        <f t="shared" si="13"/>
        <v>108.31802618563756</v>
      </c>
    </row>
  </sheetData>
  <scenarios current="0">
    <scenario name="test" locked="1" count="4" user="Nicolai Frost-Jensen Johansen" comment="Created by Nicolai Frost-Jensen Johansen on 2021-05-25">
      <inputCells r="J2" val="95"/>
      <inputCells r="J3" val="95"/>
      <inputCells r="J4" val="95"/>
      <inputCells r="J5" val="95"/>
    </scenario>
  </scenarios>
  <mergeCells count="4">
    <mergeCell ref="K15:N15"/>
    <mergeCell ref="O15:R15"/>
    <mergeCell ref="K16:N16"/>
    <mergeCell ref="O16:R16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zoomScale="55" zoomScaleNormal="55" workbookViewId="0">
      <selection activeCell="I4" sqref="I4"/>
    </sheetView>
  </sheetViews>
  <sheetFormatPr defaultRowHeight="14.5" x14ac:dyDescent="0.35"/>
  <cols>
    <col min="1" max="1" width="23.7265625" bestFit="1" customWidth="1"/>
    <col min="2" max="2" width="11.81640625" customWidth="1"/>
    <col min="3" max="3" width="11.453125" customWidth="1"/>
    <col min="4" max="4" width="11.1796875" customWidth="1"/>
    <col min="5" max="5" width="11.54296875" customWidth="1"/>
    <col min="6" max="6" width="19.1796875" bestFit="1" customWidth="1"/>
    <col min="7" max="7" width="37.54296875" bestFit="1" customWidth="1"/>
    <col min="8" max="8" width="37.54296875" customWidth="1"/>
    <col min="9" max="9" width="29.36328125" customWidth="1"/>
    <col min="10" max="10" width="12.54296875" bestFit="1" customWidth="1"/>
    <col min="11" max="11" width="20.54296875" bestFit="1" customWidth="1"/>
    <col min="19" max="19" width="12" bestFit="1" customWidth="1"/>
  </cols>
  <sheetData>
    <row r="1" spans="1:18" x14ac:dyDescent="0.35">
      <c r="A1" t="s">
        <v>5</v>
      </c>
      <c r="B1" t="s">
        <v>137</v>
      </c>
      <c r="D1" s="119" t="s">
        <v>139</v>
      </c>
      <c r="E1" s="120" t="s">
        <v>140</v>
      </c>
      <c r="F1" t="s">
        <v>144</v>
      </c>
      <c r="G1" t="s">
        <v>145</v>
      </c>
      <c r="H1" t="s">
        <v>150</v>
      </c>
      <c r="I1" t="s">
        <v>153</v>
      </c>
      <c r="J1" t="s">
        <v>141</v>
      </c>
    </row>
    <row r="2" spans="1:18" x14ac:dyDescent="0.35">
      <c r="A2" t="s">
        <v>134</v>
      </c>
      <c r="B2">
        <v>0.75900000000000001</v>
      </c>
      <c r="D2" s="121">
        <f>'G27 105L (m;velo)'!$I$44</f>
        <v>2.8551959583194889E+22</v>
      </c>
      <c r="E2" s="122">
        <f>'G27 105L (m;velo)'!$I$45</f>
        <v>10.502216330077403</v>
      </c>
      <c r="F2">
        <f>(-1.3081*B2 + 11.73)</f>
        <v>10.737152100000001</v>
      </c>
      <c r="G2">
        <f>H2/(J2^(-F2))</f>
        <v>9.5214936964215901E+22</v>
      </c>
      <c r="H2" s="118">
        <f xml:space="preserve"> ($I$6*B2 + $J$6)</f>
        <v>31.94485228204551</v>
      </c>
      <c r="I2">
        <f>D2*J2^(-E2)</f>
        <v>28.262023945859521</v>
      </c>
      <c r="J2">
        <f>$M$3</f>
        <v>100</v>
      </c>
      <c r="L2" t="s">
        <v>138</v>
      </c>
    </row>
    <row r="3" spans="1:18" x14ac:dyDescent="0.35">
      <c r="A3" t="s">
        <v>133</v>
      </c>
      <c r="B3">
        <v>1.9040000000000001</v>
      </c>
      <c r="D3" s="121">
        <f>'G30 85L (m;velo)'!$I$44</f>
        <v>1.0036826209747351E+22</v>
      </c>
      <c r="E3" s="122">
        <f>'G30 85L (m;velo)'!$I$45</f>
        <v>10.234577187497061</v>
      </c>
      <c r="F3">
        <f t="shared" ref="F3:F5" si="0">(-1.3081*B3 + 11.73)</f>
        <v>9.239377600000001</v>
      </c>
      <c r="G3">
        <f t="shared" ref="G3:G5" si="1">H3/(J3^(-F3))</f>
        <v>7.3423275657187E+19</v>
      </c>
      <c r="H3" s="118">
        <f t="shared" ref="H3:H5" si="2" xml:space="preserve"> ($I$6*B3 + $J$6)</f>
        <v>24.382518136231411</v>
      </c>
      <c r="I3">
        <f>D3*J3^(-E3)</f>
        <v>34.07548369665696</v>
      </c>
      <c r="J3">
        <f t="shared" ref="J3:J5" si="3">$M$3</f>
        <v>100</v>
      </c>
      <c r="L3" t="s">
        <v>20</v>
      </c>
      <c r="M3">
        <v>100</v>
      </c>
    </row>
    <row r="4" spans="1:18" x14ac:dyDescent="0.35">
      <c r="A4" t="s">
        <v>136</v>
      </c>
      <c r="B4">
        <v>2.3800000000000003</v>
      </c>
      <c r="D4" s="121">
        <f>'G27 60L (m;velo)'!$I$44</f>
        <v>5.824763679134476E+16</v>
      </c>
      <c r="E4" s="122">
        <f>'G27 60L (m;velo)'!$I$45</f>
        <v>7.774697634475225</v>
      </c>
      <c r="F4">
        <f t="shared" si="0"/>
        <v>8.6167219999999993</v>
      </c>
      <c r="G4">
        <f t="shared" si="1"/>
        <v>3.6355652464550968E+18</v>
      </c>
      <c r="H4" s="118">
        <f t="shared" si="2"/>
        <v>21.238700622338385</v>
      </c>
      <c r="I4">
        <f>D4*J4^(-E4)</f>
        <v>16.439289403629978</v>
      </c>
      <c r="J4">
        <f t="shared" si="3"/>
        <v>100</v>
      </c>
    </row>
    <row r="5" spans="1:18" ht="15" thickBot="1" x14ac:dyDescent="0.4">
      <c r="A5" t="s">
        <v>135</v>
      </c>
      <c r="B5">
        <v>3.5</v>
      </c>
      <c r="D5" s="123">
        <f>'G20 120L (m;velo)'!I44</f>
        <v>3714443451912400.5</v>
      </c>
      <c r="E5" s="124">
        <f>'G20 120L (m;velo)'!$I$45</f>
        <v>7.2342321866673309</v>
      </c>
      <c r="F5">
        <f t="shared" si="0"/>
        <v>7.1516500000000001</v>
      </c>
      <c r="G5">
        <f t="shared" si="1"/>
        <v>2782804018711886.5</v>
      </c>
      <c r="H5" s="118">
        <f t="shared" si="2"/>
        <v>13.841482942590098</v>
      </c>
      <c r="I5">
        <f>D5*J5^(-E5)</f>
        <v>12.630756937058919</v>
      </c>
      <c r="J5">
        <f t="shared" si="3"/>
        <v>100</v>
      </c>
    </row>
    <row r="6" spans="1:18" x14ac:dyDescent="0.35">
      <c r="I6" s="116">
        <f t="array" ref="I6:J7">LINEST(I2:I5,B2:B5,,TRUE)</f>
        <v>-6.6046586426324012</v>
      </c>
      <c r="J6" s="116">
        <v>36.957788191803502</v>
      </c>
    </row>
    <row r="7" spans="1:18" x14ac:dyDescent="0.35">
      <c r="I7" s="116">
        <v>4.1299550403961351</v>
      </c>
      <c r="J7" s="116">
        <v>9.7110377815506865</v>
      </c>
    </row>
    <row r="10" spans="1:18" x14ac:dyDescent="0.35">
      <c r="A10" t="s">
        <v>142</v>
      </c>
      <c r="B10" t="s">
        <v>20</v>
      </c>
      <c r="C10" t="s">
        <v>143</v>
      </c>
    </row>
    <row r="11" spans="1:18" x14ac:dyDescent="0.35">
      <c r="A11">
        <f t="shared" ref="A11:A37" si="4">(($D$2*B11^(-$E$2))+($D$3*B11^(-$E$3))+($D$4*B11^(-$E$4))+($D$5*B11^(-$E$5)))</f>
        <v>0.20672862150155183</v>
      </c>
      <c r="B11">
        <v>200</v>
      </c>
      <c r="C11" s="115">
        <f t="shared" ref="C11:C37" si="5">_xlfn.STDEV.P(($D$2*B11^(-$E$2)),($D$3*B11^(-$E$3)),($D$4*B11^(-$E$4)),($D$5*B11^(-$E$5)))</f>
        <v>2.8144371691296573E-2</v>
      </c>
    </row>
    <row r="12" spans="1:18" x14ac:dyDescent="0.35">
      <c r="A12">
        <f t="shared" si="4"/>
        <v>0.2542227887180103</v>
      </c>
      <c r="B12">
        <v>195</v>
      </c>
      <c r="C12" s="115">
        <f t="shared" si="5"/>
        <v>3.2928379420582313E-2</v>
      </c>
    </row>
    <row r="13" spans="1:18" x14ac:dyDescent="0.35">
      <c r="A13">
        <f t="shared" si="4"/>
        <v>0.31463950715947742</v>
      </c>
      <c r="B13">
        <v>190</v>
      </c>
      <c r="C13" s="115">
        <f t="shared" si="5"/>
        <v>3.8551176095890434E-2</v>
      </c>
    </row>
    <row r="14" spans="1:18" x14ac:dyDescent="0.35">
      <c r="A14">
        <f t="shared" si="4"/>
        <v>0.3920795494668492</v>
      </c>
      <c r="B14">
        <v>185</v>
      </c>
      <c r="C14" s="115">
        <f t="shared" si="5"/>
        <v>4.5137192269699762E-2</v>
      </c>
    </row>
    <row r="15" spans="1:18" x14ac:dyDescent="0.35">
      <c r="A15">
        <f t="shared" si="4"/>
        <v>0.49214229610092675</v>
      </c>
      <c r="B15">
        <v>180</v>
      </c>
      <c r="C15" s="115">
        <f t="shared" si="5"/>
        <v>5.2809016078473631E-2</v>
      </c>
      <c r="K15" s="133" t="s">
        <v>148</v>
      </c>
      <c r="L15" s="133"/>
      <c r="M15" s="133"/>
      <c r="N15" s="133"/>
      <c r="O15" s="134" t="s">
        <v>149</v>
      </c>
      <c r="P15" s="134"/>
      <c r="Q15" s="134"/>
      <c r="R15" s="134"/>
    </row>
    <row r="16" spans="1:18" x14ac:dyDescent="0.35">
      <c r="A16">
        <f t="shared" si="4"/>
        <v>0.62254978196511135</v>
      </c>
      <c r="B16">
        <v>175</v>
      </c>
      <c r="C16" s="115">
        <f t="shared" si="5"/>
        <v>6.1670084958413141E-2</v>
      </c>
      <c r="K16" s="133" t="s">
        <v>147</v>
      </c>
      <c r="L16" s="133"/>
      <c r="M16" s="133"/>
      <c r="N16" s="133"/>
      <c r="O16" s="134" t="s">
        <v>147</v>
      </c>
      <c r="P16" s="134"/>
      <c r="Q16" s="134"/>
      <c r="R16" s="134"/>
    </row>
    <row r="17" spans="1:18" x14ac:dyDescent="0.35">
      <c r="A17">
        <f t="shared" si="4"/>
        <v>0.79406424515284391</v>
      </c>
      <c r="B17">
        <v>170</v>
      </c>
      <c r="C17" s="115">
        <f t="shared" si="5"/>
        <v>7.1773949156995254E-2</v>
      </c>
      <c r="J17" t="s">
        <v>146</v>
      </c>
      <c r="K17" s="116">
        <v>0.75900000000000001</v>
      </c>
      <c r="L17" s="116">
        <v>1.9040000000000001</v>
      </c>
      <c r="M17" s="116">
        <v>2.3800000000000003</v>
      </c>
      <c r="N17" s="116">
        <v>3.5</v>
      </c>
      <c r="O17" s="117">
        <v>0.75900000000000001</v>
      </c>
      <c r="P17" s="117">
        <v>1.9040000000000001</v>
      </c>
      <c r="Q17" s="117">
        <v>2.3800000000000003</v>
      </c>
      <c r="R17" s="117">
        <v>3.5</v>
      </c>
    </row>
    <row r="18" spans="1:18" x14ac:dyDescent="0.35">
      <c r="A18">
        <f t="shared" si="4"/>
        <v>1.0218539452794781</v>
      </c>
      <c r="B18">
        <v>165</v>
      </c>
      <c r="C18" s="115">
        <f t="shared" si="5"/>
        <v>8.3072769774152566E-2</v>
      </c>
      <c r="J18">
        <v>200</v>
      </c>
      <c r="K18">
        <f>$D$2*J18^(-$E$2)</f>
        <v>1.9485929355516705E-2</v>
      </c>
      <c r="L18">
        <f>$D$3*J18^(-$E$3)</f>
        <v>2.8283119138091017E-2</v>
      </c>
      <c r="M18">
        <f>$D$4*J18^(-$E$4)</f>
        <v>7.5069901465062427E-2</v>
      </c>
      <c r="N18">
        <f>$D$5*J18^(-$E$5)</f>
        <v>8.3889671542881683E-2</v>
      </c>
      <c r="O18">
        <f>$G$2*J18^(-$F$2)</f>
        <v>1.8715267292856285E-2</v>
      </c>
      <c r="P18">
        <f>$G$3*J18^(-$F$3)</f>
        <v>4.0341194830920218E-2</v>
      </c>
      <c r="Q18">
        <f>$G$4*J18^(-$F$4)</f>
        <v>5.4104844963389971E-2</v>
      </c>
      <c r="R18">
        <f>$G$5*J18^(-$F$5)</f>
        <v>9.7346749225571724E-2</v>
      </c>
    </row>
    <row r="19" spans="1:18" x14ac:dyDescent="0.35">
      <c r="A19">
        <f t="shared" si="4"/>
        <v>1.3275529673530437</v>
      </c>
      <c r="B19">
        <v>160</v>
      </c>
      <c r="C19" s="115">
        <f t="shared" si="5"/>
        <v>9.5336758812359035E-2</v>
      </c>
      <c r="J19">
        <v>195</v>
      </c>
      <c r="K19">
        <f t="shared" ref="K19:K43" si="6">$D$2*J19^(-$E$2)</f>
        <v>2.5421257413420634E-2</v>
      </c>
      <c r="L19">
        <f t="shared" ref="L19:L43" si="7">$D$3*J19^(-$E$3)</f>
        <v>3.6648855126405692E-2</v>
      </c>
      <c r="M19">
        <f t="shared" ref="M19:M43" si="8">$D$4*J19^(-$E$4)</f>
        <v>9.1401144554105779E-2</v>
      </c>
      <c r="N19">
        <f t="shared" ref="N19:N43" si="9">$D$5*J19^(-$E$5)</f>
        <v>0.10075153162407821</v>
      </c>
      <c r="O19">
        <f t="shared" ref="O19:O43" si="10">$G$2*J19^(-$F$2)</f>
        <v>2.4561514795042878E-2</v>
      </c>
      <c r="P19">
        <f t="shared" ref="P19:P43" si="11">$G$3*J19^(-$F$3)</f>
        <v>5.0972890831153715E-2</v>
      </c>
      <c r="Q19">
        <f t="shared" ref="Q19:Q43" si="12">$G$4*J19^(-$F$4)</f>
        <v>6.7294617153592987E-2</v>
      </c>
      <c r="R19">
        <f t="shared" ref="R19:R43" si="13">$G$5*J19^(-$F$5)</f>
        <v>0.11666930036083742</v>
      </c>
    </row>
    <row r="20" spans="1:18" x14ac:dyDescent="0.35">
      <c r="A20">
        <f t="shared" si="4"/>
        <v>1.7424109436957991</v>
      </c>
      <c r="B20">
        <v>155</v>
      </c>
      <c r="C20" s="115">
        <f t="shared" si="5"/>
        <v>0.10804339363204957</v>
      </c>
      <c r="J20">
        <v>190</v>
      </c>
      <c r="K20">
        <f t="shared" si="6"/>
        <v>3.3394322734978735E-2</v>
      </c>
      <c r="L20">
        <f t="shared" si="7"/>
        <v>4.7809784270258116E-2</v>
      </c>
      <c r="M20">
        <f t="shared" si="8"/>
        <v>0.11185568946352786</v>
      </c>
      <c r="N20">
        <f t="shared" si="9"/>
        <v>0.12157971069071274</v>
      </c>
      <c r="O20">
        <f t="shared" si="10"/>
        <v>3.2462433454994527E-2</v>
      </c>
      <c r="P20">
        <f t="shared" si="11"/>
        <v>6.4799070964857347E-2</v>
      </c>
      <c r="Q20">
        <f t="shared" si="12"/>
        <v>8.4175490800391287E-2</v>
      </c>
      <c r="R20">
        <f t="shared" si="13"/>
        <v>0.14048644783313485</v>
      </c>
    </row>
    <row r="21" spans="1:18" x14ac:dyDescent="0.35">
      <c r="A21">
        <f t="shared" si="4"/>
        <v>2.3121807728171859</v>
      </c>
      <c r="B21">
        <v>150</v>
      </c>
      <c r="C21" s="115">
        <f t="shared" si="5"/>
        <v>0.12027806566600312</v>
      </c>
      <c r="J21">
        <v>185</v>
      </c>
      <c r="K21">
        <f t="shared" si="6"/>
        <v>4.4188368906423442E-2</v>
      </c>
      <c r="L21">
        <f t="shared" si="7"/>
        <v>6.2813407355824302E-2</v>
      </c>
      <c r="M21">
        <f t="shared" si="8"/>
        <v>0.13762699778061302</v>
      </c>
      <c r="N21">
        <f t="shared" si="9"/>
        <v>0.14745077542398846</v>
      </c>
      <c r="O21">
        <f t="shared" si="10"/>
        <v>4.3225238631837977E-2</v>
      </c>
      <c r="P21">
        <f t="shared" si="11"/>
        <v>8.2904494037487939E-2</v>
      </c>
      <c r="Q21">
        <f t="shared" si="12"/>
        <v>0.10592133194074636</v>
      </c>
      <c r="R21">
        <f t="shared" si="13"/>
        <v>0.17000587523569349</v>
      </c>
    </row>
    <row r="22" spans="1:18" x14ac:dyDescent="0.35">
      <c r="A22">
        <f t="shared" si="4"/>
        <v>3.104822966155337</v>
      </c>
      <c r="B22">
        <v>145</v>
      </c>
      <c r="C22" s="115">
        <f t="shared" si="5"/>
        <v>0.1308778170546587</v>
      </c>
      <c r="J22">
        <v>180</v>
      </c>
      <c r="K22">
        <f>$D$2*J22^(-$E$2)</f>
        <v>5.8921824786094056E-2</v>
      </c>
      <c r="L22">
        <f t="shared" si="7"/>
        <v>8.314494913702114E-2</v>
      </c>
      <c r="M22">
        <f t="shared" si="8"/>
        <v>0.17030072602336613</v>
      </c>
      <c r="N22">
        <f t="shared" si="9"/>
        <v>0.17977479615444539</v>
      </c>
      <c r="O22">
        <f t="shared" si="10"/>
        <v>5.8009773529877302E-2</v>
      </c>
      <c r="P22">
        <f t="shared" si="11"/>
        <v>0.10678727157264807</v>
      </c>
      <c r="Q22">
        <f t="shared" si="12"/>
        <v>0.13412685225116946</v>
      </c>
      <c r="R22">
        <f t="shared" si="13"/>
        <v>0.20680594099048394</v>
      </c>
    </row>
    <row r="23" spans="1:18" x14ac:dyDescent="0.35">
      <c r="A23">
        <f t="shared" si="4"/>
        <v>4.2228539423202189</v>
      </c>
      <c r="B23">
        <v>140</v>
      </c>
      <c r="C23" s="115">
        <f t="shared" si="5"/>
        <v>0.13983370370020556</v>
      </c>
      <c r="J23">
        <v>175</v>
      </c>
      <c r="K23">
        <f t="shared" si="6"/>
        <v>7.9207279367209671E-2</v>
      </c>
      <c r="L23">
        <f t="shared" si="7"/>
        <v>0.11093034419480104</v>
      </c>
      <c r="M23">
        <f t="shared" si="8"/>
        <v>0.21199992086126176</v>
      </c>
      <c r="N23">
        <f t="shared" si="9"/>
        <v>0.22041223754183892</v>
      </c>
      <c r="O23">
        <f t="shared" si="10"/>
        <v>7.8499047916922748E-2</v>
      </c>
      <c r="P23">
        <f t="shared" si="11"/>
        <v>0.13853459931956899</v>
      </c>
      <c r="Q23">
        <f t="shared" si="12"/>
        <v>0.17097658649757289</v>
      </c>
      <c r="R23">
        <f t="shared" si="13"/>
        <v>0.25296448988080805</v>
      </c>
    </row>
    <row r="24" spans="1:18" x14ac:dyDescent="0.35">
      <c r="A24">
        <f t="shared" si="4"/>
        <v>5.8234929509213869</v>
      </c>
      <c r="B24">
        <v>135</v>
      </c>
      <c r="C24" s="115">
        <f t="shared" si="5"/>
        <v>0.15464752189864664</v>
      </c>
      <c r="J24">
        <v>170</v>
      </c>
      <c r="K24">
        <f t="shared" si="6"/>
        <v>0.10739370727931372</v>
      </c>
      <c r="L24">
        <f t="shared" si="7"/>
        <v>0.14924326985561268</v>
      </c>
      <c r="M24">
        <f t="shared" si="8"/>
        <v>0.26559039026956732</v>
      </c>
      <c r="N24">
        <f t="shared" si="9"/>
        <v>0.27183687774835019</v>
      </c>
      <c r="O24">
        <f t="shared" si="10"/>
        <v>0.10716075483813012</v>
      </c>
      <c r="P24">
        <f t="shared" si="11"/>
        <v>0.18108144598549056</v>
      </c>
      <c r="Q24">
        <f t="shared" si="12"/>
        <v>0.21948945113784452</v>
      </c>
      <c r="R24">
        <f t="shared" si="13"/>
        <v>0.31123798379542661</v>
      </c>
    </row>
    <row r="25" spans="1:18" x14ac:dyDescent="0.35">
      <c r="A25">
        <f t="shared" si="4"/>
        <v>8.1521647416795702</v>
      </c>
      <c r="B25">
        <v>130</v>
      </c>
      <c r="C25" s="115">
        <f t="shared" si="5"/>
        <v>0.20679653863235836</v>
      </c>
      <c r="J25">
        <v>165</v>
      </c>
      <c r="K25">
        <f t="shared" si="6"/>
        <v>0.14693993032365327</v>
      </c>
      <c r="L25">
        <f t="shared" si="7"/>
        <v>0.20257498489710257</v>
      </c>
      <c r="M25">
        <f t="shared" si="8"/>
        <v>0.33497402708025187</v>
      </c>
      <c r="N25">
        <f t="shared" si="9"/>
        <v>0.33736500297847044</v>
      </c>
      <c r="O25">
        <f t="shared" si="10"/>
        <v>0.14765314297990964</v>
      </c>
      <c r="P25">
        <f t="shared" si="11"/>
        <v>0.23859551370162091</v>
      </c>
      <c r="Q25">
        <f t="shared" si="12"/>
        <v>0.28387637869173143</v>
      </c>
      <c r="R25">
        <f t="shared" si="13"/>
        <v>0.38531292049356491</v>
      </c>
    </row>
    <row r="26" spans="1:18" x14ac:dyDescent="0.35">
      <c r="A26">
        <f t="shared" si="4"/>
        <v>11.599360451871153</v>
      </c>
      <c r="B26">
        <v>125</v>
      </c>
      <c r="C26" s="115">
        <f t="shared" si="5"/>
        <v>0.3575890681631298</v>
      </c>
      <c r="J26">
        <v>160</v>
      </c>
      <c r="K26">
        <f t="shared" si="6"/>
        <v>0.2029976661470782</v>
      </c>
      <c r="L26">
        <f t="shared" si="7"/>
        <v>0.27756219372440305</v>
      </c>
      <c r="M26">
        <f t="shared" si="8"/>
        <v>0.42551208077496028</v>
      </c>
      <c r="N26">
        <f t="shared" si="9"/>
        <v>0.42148102670660226</v>
      </c>
      <c r="O26">
        <f t="shared" si="10"/>
        <v>0.20546298049430961</v>
      </c>
      <c r="P26">
        <f t="shared" si="11"/>
        <v>0.31705671853498513</v>
      </c>
      <c r="Q26">
        <f t="shared" si="12"/>
        <v>0.37006907792614108</v>
      </c>
      <c r="R26">
        <f t="shared" si="13"/>
        <v>0.48016217785482679</v>
      </c>
    </row>
    <row r="27" spans="1:18" x14ac:dyDescent="0.35">
      <c r="A27">
        <f t="shared" si="4"/>
        <v>16.799281720426151</v>
      </c>
      <c r="B27">
        <v>120</v>
      </c>
      <c r="C27" s="115">
        <f t="shared" si="5"/>
        <v>0.6847622194293439</v>
      </c>
      <c r="J27">
        <v>155</v>
      </c>
      <c r="K27">
        <f t="shared" si="6"/>
        <v>0.28333393378674837</v>
      </c>
      <c r="L27">
        <f t="shared" si="7"/>
        <v>0.38412942232477748</v>
      </c>
      <c r="M27">
        <f t="shared" si="8"/>
        <v>0.54464263786130818</v>
      </c>
      <c r="N27">
        <f t="shared" si="9"/>
        <v>0.53030494972296505</v>
      </c>
      <c r="O27">
        <f t="shared" si="10"/>
        <v>0.28892191951183432</v>
      </c>
      <c r="P27">
        <f t="shared" si="11"/>
        <v>0.42514015572358349</v>
      </c>
      <c r="Q27">
        <f t="shared" si="12"/>
        <v>0.4865109419569672</v>
      </c>
      <c r="R27">
        <f t="shared" si="13"/>
        <v>0.60255533029867347</v>
      </c>
    </row>
    <row r="28" spans="1:18" x14ac:dyDescent="0.35">
      <c r="A28">
        <f t="shared" si="4"/>
        <v>24.80506217269539</v>
      </c>
      <c r="B28">
        <v>115</v>
      </c>
      <c r="C28" s="115">
        <f t="shared" si="5"/>
        <v>1.3141009171302138</v>
      </c>
      <c r="J28">
        <v>150</v>
      </c>
      <c r="K28">
        <f t="shared" si="6"/>
        <v>0.39981102292061976</v>
      </c>
      <c r="L28">
        <f t="shared" si="7"/>
        <v>0.53730693552337017</v>
      </c>
      <c r="M28">
        <f t="shared" si="8"/>
        <v>0.70279189737330028</v>
      </c>
      <c r="N28">
        <f t="shared" si="9"/>
        <v>0.6722709169998955</v>
      </c>
      <c r="O28">
        <f t="shared" si="10"/>
        <v>0.41084901704848703</v>
      </c>
      <c r="P28">
        <f t="shared" si="11"/>
        <v>0.57557897499279098</v>
      </c>
      <c r="Q28">
        <f t="shared" si="12"/>
        <v>0.64535475944966092</v>
      </c>
      <c r="R28">
        <f t="shared" si="13"/>
        <v>0.76179754549687639</v>
      </c>
    </row>
    <row r="29" spans="1:18" x14ac:dyDescent="0.35">
      <c r="A29">
        <f t="shared" si="4"/>
        <v>37.408057779458616</v>
      </c>
      <c r="B29">
        <v>110</v>
      </c>
      <c r="C29" s="115">
        <f t="shared" si="5"/>
        <v>2.4833425007872356</v>
      </c>
      <c r="J29">
        <v>145</v>
      </c>
      <c r="K29">
        <f t="shared" si="6"/>
        <v>0.5707968816104988</v>
      </c>
      <c r="L29">
        <f t="shared" si="7"/>
        <v>0.76016654935076911</v>
      </c>
      <c r="M29">
        <f t="shared" si="8"/>
        <v>0.91473567229183428</v>
      </c>
      <c r="N29">
        <f t="shared" si="9"/>
        <v>0.85912386290223486</v>
      </c>
      <c r="O29">
        <f t="shared" si="10"/>
        <v>0.59124584284913251</v>
      </c>
      <c r="P29">
        <f t="shared" si="11"/>
        <v>0.78729709817383475</v>
      </c>
      <c r="Q29">
        <f t="shared" si="12"/>
        <v>0.86430042838450416</v>
      </c>
      <c r="R29">
        <f t="shared" si="13"/>
        <v>0.97081202852910131</v>
      </c>
    </row>
    <row r="30" spans="1:18" x14ac:dyDescent="0.35">
      <c r="A30">
        <f t="shared" si="4"/>
        <v>57.735974829959332</v>
      </c>
      <c r="B30">
        <v>105</v>
      </c>
      <c r="C30" s="115">
        <f t="shared" si="5"/>
        <v>4.645148564517549</v>
      </c>
      <c r="J30">
        <v>140</v>
      </c>
      <c r="K30">
        <f t="shared" si="6"/>
        <v>0.82515401549739553</v>
      </c>
      <c r="L30">
        <f t="shared" si="7"/>
        <v>1.0886376971005718</v>
      </c>
      <c r="M30">
        <f t="shared" si="8"/>
        <v>1.2016603950357674</v>
      </c>
      <c r="N30">
        <f t="shared" si="9"/>
        <v>1.1074018346864847</v>
      </c>
      <c r="O30">
        <f t="shared" si="10"/>
        <v>0.86179096983205161</v>
      </c>
      <c r="P30">
        <f t="shared" si="11"/>
        <v>1.088795848707883</v>
      </c>
      <c r="Q30">
        <f t="shared" si="12"/>
        <v>1.1694543761271305</v>
      </c>
      <c r="R30">
        <f t="shared" si="13"/>
        <v>1.2477456242493399</v>
      </c>
    </row>
    <row r="31" spans="1:18" x14ac:dyDescent="0.35">
      <c r="A31">
        <f t="shared" si="4"/>
        <v>91.407553983205389</v>
      </c>
      <c r="B31">
        <v>100</v>
      </c>
      <c r="C31" s="115">
        <f t="shared" si="5"/>
        <v>8.6722490202755704</v>
      </c>
      <c r="J31">
        <v>135</v>
      </c>
      <c r="K31">
        <f t="shared" si="6"/>
        <v>1.2089541437964917</v>
      </c>
      <c r="L31">
        <f t="shared" si="7"/>
        <v>1.5795414079663148</v>
      </c>
      <c r="M31">
        <f t="shared" si="8"/>
        <v>1.5943269943109484</v>
      </c>
      <c r="N31">
        <f t="shared" si="9"/>
        <v>1.4406704048476329</v>
      </c>
      <c r="O31">
        <f t="shared" si="10"/>
        <v>1.2734660991485125</v>
      </c>
      <c r="P31">
        <f t="shared" si="11"/>
        <v>1.5236164563710697</v>
      </c>
      <c r="Q31">
        <f t="shared" si="12"/>
        <v>1.5998456797882603</v>
      </c>
      <c r="R31">
        <f t="shared" si="13"/>
        <v>1.6183823239506563</v>
      </c>
    </row>
    <row r="32" spans="1:18" x14ac:dyDescent="0.35">
      <c r="A32">
        <f t="shared" si="4"/>
        <v>148.83608652472134</v>
      </c>
      <c r="B32">
        <v>95</v>
      </c>
      <c r="C32" s="115">
        <f t="shared" si="5"/>
        <v>16.285300429601794</v>
      </c>
      <c r="J32">
        <v>130</v>
      </c>
      <c r="K32">
        <f t="shared" si="6"/>
        <v>1.7969894389195176</v>
      </c>
      <c r="L32">
        <f t="shared" si="7"/>
        <v>2.3242347768032481</v>
      </c>
      <c r="M32">
        <f t="shared" si="8"/>
        <v>2.1380011248903985</v>
      </c>
      <c r="N32">
        <f t="shared" si="9"/>
        <v>1.892939401066406</v>
      </c>
      <c r="O32">
        <f t="shared" si="10"/>
        <v>1.9097379557764114</v>
      </c>
      <c r="P32">
        <f t="shared" si="11"/>
        <v>2.1592995733771088</v>
      </c>
      <c r="Q32">
        <f t="shared" si="12"/>
        <v>2.2146737221538122</v>
      </c>
      <c r="R32">
        <f t="shared" si="13"/>
        <v>2.1198232265439674</v>
      </c>
    </row>
    <row r="33" spans="1:18" x14ac:dyDescent="0.35">
      <c r="A33">
        <f t="shared" si="4"/>
        <v>249.99322651207171</v>
      </c>
      <c r="B33">
        <v>90</v>
      </c>
      <c r="C33" s="115">
        <f t="shared" si="5"/>
        <v>30.972545716562148</v>
      </c>
      <c r="J33">
        <v>125</v>
      </c>
      <c r="K33">
        <f t="shared" si="6"/>
        <v>2.7128972096355817</v>
      </c>
      <c r="L33">
        <f t="shared" si="7"/>
        <v>3.4722342843188647</v>
      </c>
      <c r="M33">
        <f t="shared" si="8"/>
        <v>2.9002603955181732</v>
      </c>
      <c r="N33">
        <f t="shared" si="9"/>
        <v>2.5139685623985337</v>
      </c>
      <c r="O33">
        <f t="shared" si="10"/>
        <v>2.9098013065465564</v>
      </c>
      <c r="P33">
        <f t="shared" si="11"/>
        <v>3.1023468581493594</v>
      </c>
      <c r="Q33">
        <f t="shared" si="12"/>
        <v>3.1051408316390678</v>
      </c>
      <c r="R33">
        <f t="shared" si="13"/>
        <v>2.8061838917469459</v>
      </c>
    </row>
    <row r="34" spans="1:18" x14ac:dyDescent="0.35">
      <c r="A34">
        <f t="shared" si="4"/>
        <v>434.65951359332581</v>
      </c>
      <c r="B34">
        <v>85</v>
      </c>
      <c r="C34" s="115">
        <f t="shared" si="5"/>
        <v>60.038192474533581</v>
      </c>
      <c r="J34">
        <v>120</v>
      </c>
      <c r="K34">
        <f t="shared" si="6"/>
        <v>4.1650928252895287</v>
      </c>
      <c r="L34">
        <f t="shared" si="7"/>
        <v>5.2729718741081202</v>
      </c>
      <c r="M34">
        <f t="shared" si="8"/>
        <v>3.9835731333984992</v>
      </c>
      <c r="N34">
        <f t="shared" si="9"/>
        <v>3.3776438876300032</v>
      </c>
      <c r="O34">
        <f t="shared" si="10"/>
        <v>4.5104492634289519</v>
      </c>
      <c r="P34">
        <f t="shared" si="11"/>
        <v>4.5236930099321455</v>
      </c>
      <c r="Q34">
        <f t="shared" si="12"/>
        <v>4.4141303967580408</v>
      </c>
      <c r="R34">
        <f t="shared" si="13"/>
        <v>3.7575612071302418</v>
      </c>
    </row>
    <row r="35" spans="1:18" x14ac:dyDescent="0.35">
      <c r="A35">
        <f t="shared" si="4"/>
        <v>785.47193432171093</v>
      </c>
      <c r="B35">
        <v>80</v>
      </c>
      <c r="C35" s="115">
        <f t="shared" si="5"/>
        <v>119.35423591443416</v>
      </c>
      <c r="J35">
        <v>115</v>
      </c>
      <c r="K35">
        <f t="shared" si="6"/>
        <v>6.5124051319711214</v>
      </c>
      <c r="L35">
        <f t="shared" si="7"/>
        <v>8.151270343125546</v>
      </c>
      <c r="M35">
        <f t="shared" si="8"/>
        <v>5.5459466205780963</v>
      </c>
      <c r="N35">
        <f t="shared" si="9"/>
        <v>4.5954400770206263</v>
      </c>
      <c r="O35">
        <f t="shared" si="10"/>
        <v>7.1232623580284091</v>
      </c>
      <c r="P35">
        <f t="shared" si="11"/>
        <v>6.7029856461847581</v>
      </c>
      <c r="Q35">
        <f t="shared" si="12"/>
        <v>6.3695907108303551</v>
      </c>
      <c r="R35">
        <f t="shared" si="13"/>
        <v>5.094398477107708</v>
      </c>
    </row>
    <row r="36" spans="1:18" x14ac:dyDescent="0.35">
      <c r="A36">
        <f t="shared" si="4"/>
        <v>1482.3470299544197</v>
      </c>
      <c r="B36">
        <v>75</v>
      </c>
      <c r="C36" s="115">
        <f t="shared" si="5"/>
        <v>244.90312264604458</v>
      </c>
      <c r="J36">
        <v>110</v>
      </c>
      <c r="K36">
        <f t="shared" si="6"/>
        <v>10.38695681543169</v>
      </c>
      <c r="L36">
        <f t="shared" si="7"/>
        <v>12.847108680047008</v>
      </c>
      <c r="M36">
        <f t="shared" si="8"/>
        <v>7.8355128942908774</v>
      </c>
      <c r="N36">
        <f t="shared" si="9"/>
        <v>6.3384793896890388</v>
      </c>
      <c r="O36">
        <f t="shared" si="10"/>
        <v>11.480513876746848</v>
      </c>
      <c r="P36">
        <f t="shared" si="11"/>
        <v>10.107317488666306</v>
      </c>
      <c r="Q36">
        <f t="shared" si="12"/>
        <v>9.3424048285144394</v>
      </c>
      <c r="R36">
        <f t="shared" si="13"/>
        <v>7.0009443428865987</v>
      </c>
    </row>
    <row r="37" spans="1:18" x14ac:dyDescent="0.35">
      <c r="A37">
        <f t="shared" si="4"/>
        <v>2938.2598612218299</v>
      </c>
      <c r="B37">
        <v>70</v>
      </c>
      <c r="C37" s="115">
        <f t="shared" si="5"/>
        <v>522.32020587007423</v>
      </c>
      <c r="J37">
        <v>105</v>
      </c>
      <c r="K37">
        <f t="shared" si="6"/>
        <v>16.930456073406134</v>
      </c>
      <c r="L37">
        <f t="shared" si="7"/>
        <v>20.681332284053287</v>
      </c>
      <c r="M37">
        <f t="shared" si="8"/>
        <v>11.249744205653117</v>
      </c>
      <c r="N37">
        <f t="shared" si="9"/>
        <v>8.8744422668468026</v>
      </c>
      <c r="O37">
        <f t="shared" si="10"/>
        <v>18.918563508409502</v>
      </c>
      <c r="P37">
        <f t="shared" si="11"/>
        <v>15.534691057175959</v>
      </c>
      <c r="Q37">
        <f t="shared" si="12"/>
        <v>13.949082528626565</v>
      </c>
      <c r="R37">
        <f t="shared" si="13"/>
        <v>9.764368728482717</v>
      </c>
    </row>
    <row r="38" spans="1:18" x14ac:dyDescent="0.35">
      <c r="J38">
        <v>100</v>
      </c>
      <c r="K38">
        <f t="shared" si="6"/>
        <v>28.262023945859521</v>
      </c>
      <c r="L38">
        <f t="shared" si="7"/>
        <v>34.07548369665696</v>
      </c>
      <c r="M38">
        <f t="shared" si="8"/>
        <v>16.439289403629978</v>
      </c>
      <c r="N38">
        <f t="shared" si="9"/>
        <v>12.630756937058919</v>
      </c>
      <c r="O38">
        <f t="shared" si="10"/>
        <v>31.94485228204551</v>
      </c>
      <c r="P38">
        <f t="shared" si="11"/>
        <v>24.382518136231411</v>
      </c>
      <c r="Q38">
        <f t="shared" si="12"/>
        <v>21.238700622338385</v>
      </c>
      <c r="R38">
        <f t="shared" si="13"/>
        <v>13.841482942590098</v>
      </c>
    </row>
    <row r="39" spans="1:18" x14ac:dyDescent="0.35">
      <c r="J39">
        <v>95</v>
      </c>
      <c r="K39">
        <f t="shared" si="6"/>
        <v>48.434495043704175</v>
      </c>
      <c r="L39">
        <f t="shared" si="7"/>
        <v>57.601197254364699</v>
      </c>
      <c r="M39">
        <f t="shared" si="8"/>
        <v>24.494877636003075</v>
      </c>
      <c r="N39">
        <f t="shared" si="9"/>
        <v>18.305516590649379</v>
      </c>
      <c r="O39">
        <f t="shared" si="10"/>
        <v>55.409715779553466</v>
      </c>
      <c r="P39">
        <f t="shared" si="11"/>
        <v>39.165040342350281</v>
      </c>
      <c r="Q39">
        <f t="shared" si="12"/>
        <v>33.042845794264984</v>
      </c>
      <c r="R39">
        <f t="shared" si="13"/>
        <v>19.975405309545067</v>
      </c>
    </row>
    <row r="40" spans="1:18" x14ac:dyDescent="0.35">
      <c r="J40">
        <v>90</v>
      </c>
      <c r="K40">
        <f t="shared" si="6"/>
        <v>85.459101932281627</v>
      </c>
      <c r="L40">
        <f t="shared" si="7"/>
        <v>100.17298109677957</v>
      </c>
      <c r="M40">
        <f t="shared" si="8"/>
        <v>37.293547295374829</v>
      </c>
      <c r="N40">
        <f t="shared" si="9"/>
        <v>27.067596187635694</v>
      </c>
      <c r="O40">
        <f t="shared" si="10"/>
        <v>99.01614640760171</v>
      </c>
      <c r="P40">
        <f t="shared" si="11"/>
        <v>64.543021017392206</v>
      </c>
      <c r="Q40">
        <f t="shared" si="12"/>
        <v>52.651108460005382</v>
      </c>
      <c r="R40">
        <f t="shared" si="13"/>
        <v>29.40520281795046</v>
      </c>
    </row>
    <row r="41" spans="1:18" x14ac:dyDescent="0.35">
      <c r="J41">
        <v>85</v>
      </c>
      <c r="K41">
        <f t="shared" si="6"/>
        <v>155.76180490992817</v>
      </c>
      <c r="L41">
        <f t="shared" si="7"/>
        <v>179.808195269089</v>
      </c>
      <c r="M41">
        <f t="shared" si="8"/>
        <v>58.160690280064813</v>
      </c>
      <c r="N41">
        <f t="shared" si="9"/>
        <v>40.928823134243828</v>
      </c>
      <c r="O41">
        <f t="shared" si="10"/>
        <v>182.91133277285741</v>
      </c>
      <c r="P41">
        <f t="shared" si="11"/>
        <v>109.44697249006961</v>
      </c>
      <c r="Q41">
        <f t="shared" si="12"/>
        <v>86.159950104882441</v>
      </c>
      <c r="R41">
        <f t="shared" si="13"/>
        <v>44.254125361783771</v>
      </c>
    </row>
    <row r="42" spans="1:18" x14ac:dyDescent="0.35">
      <c r="J42">
        <v>80</v>
      </c>
      <c r="K42">
        <f t="shared" si="6"/>
        <v>294.42398137290343</v>
      </c>
      <c r="L42">
        <f t="shared" si="7"/>
        <v>334.40675198820196</v>
      </c>
      <c r="M42">
        <f t="shared" si="8"/>
        <v>93.181369684572289</v>
      </c>
      <c r="N42">
        <f t="shared" si="9"/>
        <v>63.459831276033405</v>
      </c>
      <c r="O42">
        <f t="shared" si="10"/>
        <v>350.7021544824467</v>
      </c>
      <c r="P42">
        <f t="shared" si="11"/>
        <v>191.63143834223069</v>
      </c>
      <c r="Q42">
        <f t="shared" si="12"/>
        <v>145.26954768979562</v>
      </c>
      <c r="R42">
        <f t="shared" si="13"/>
        <v>68.273020386681125</v>
      </c>
    </row>
    <row r="43" spans="1:18" x14ac:dyDescent="0.35">
      <c r="J43">
        <v>75</v>
      </c>
      <c r="K43">
        <f t="shared" si="6"/>
        <v>579.87835722099078</v>
      </c>
      <c r="L43">
        <f t="shared" si="7"/>
        <v>647.34704938782136</v>
      </c>
      <c r="M43">
        <f t="shared" si="8"/>
        <v>153.90188565550389</v>
      </c>
      <c r="N43">
        <f t="shared" si="9"/>
        <v>101.2197376901035</v>
      </c>
      <c r="O43">
        <f t="shared" si="10"/>
        <v>701.2729743297549</v>
      </c>
      <c r="P43">
        <f t="shared" si="11"/>
        <v>347.88421253796514</v>
      </c>
      <c r="Q43">
        <f t="shared" si="12"/>
        <v>253.33214687939949</v>
      </c>
      <c r="R43">
        <f t="shared" si="13"/>
        <v>108.31802618563756</v>
      </c>
    </row>
  </sheetData>
  <scenarios current="0">
    <scenario name="test" locked="1" count="4" user="Nicolai Frost-Jensen Johansen" comment="Created by Nicolai Frost-Jensen Johansen on 2021-05-25">
      <inputCells r="J2" val="95"/>
      <inputCells r="J3" val="95"/>
      <inputCells r="J4" val="95"/>
      <inputCells r="J5" val="95"/>
    </scenario>
  </scenarios>
  <mergeCells count="4">
    <mergeCell ref="K16:N16"/>
    <mergeCell ref="K15:N15"/>
    <mergeCell ref="O15:R15"/>
    <mergeCell ref="O16:R16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353"/>
  <sheetViews>
    <sheetView topLeftCell="C1" zoomScaleNormal="100" workbookViewId="0">
      <selection activeCell="K32" sqref="K32"/>
    </sheetView>
  </sheetViews>
  <sheetFormatPr defaultColWidth="8.81640625" defaultRowHeight="12.5" x14ac:dyDescent="0.25"/>
  <cols>
    <col min="1" max="1" width="12.1796875" style="46" customWidth="1"/>
    <col min="2" max="2" width="13.81640625" style="46" bestFit="1" customWidth="1"/>
    <col min="3" max="3" width="10.1796875" style="46" customWidth="1"/>
    <col min="4" max="4" width="9.81640625" style="46" customWidth="1"/>
    <col min="5" max="7" width="9" style="46" bestFit="1" customWidth="1"/>
    <col min="8" max="8" width="22" style="46" customWidth="1"/>
    <col min="9" max="9" width="20.1796875" style="46" bestFit="1" customWidth="1"/>
    <col min="10" max="13" width="13.1796875" style="93" customWidth="1"/>
    <col min="14" max="14" width="14.1796875" style="93" customWidth="1"/>
    <col min="15" max="15" width="14" style="93" customWidth="1"/>
    <col min="16" max="16" width="15.1796875" style="93" customWidth="1"/>
    <col min="17" max="17" width="8.81640625" style="46"/>
    <col min="18" max="18" width="36.81640625" style="46" bestFit="1" customWidth="1"/>
    <col min="19" max="19" width="12.81640625" style="46" customWidth="1"/>
    <col min="20" max="16384" width="8.81640625" style="46"/>
  </cols>
  <sheetData>
    <row r="1" spans="1:20" ht="12.75" customHeight="1" thickBot="1" x14ac:dyDescent="0.3">
      <c r="A1" s="39" t="s">
        <v>44</v>
      </c>
      <c r="B1" s="38" t="s">
        <v>43</v>
      </c>
      <c r="C1" s="40" t="s">
        <v>45</v>
      </c>
      <c r="D1" s="40" t="s">
        <v>46</v>
      </c>
      <c r="E1" s="40" t="s">
        <v>47</v>
      </c>
      <c r="F1" s="40" t="s">
        <v>48</v>
      </c>
      <c r="G1" s="41" t="s">
        <v>49</v>
      </c>
      <c r="H1" s="42" t="s">
        <v>50</v>
      </c>
      <c r="I1" s="43"/>
      <c r="J1" s="44" t="s">
        <v>51</v>
      </c>
      <c r="K1" s="44" t="s">
        <v>52</v>
      </c>
      <c r="L1" s="44" t="s">
        <v>53</v>
      </c>
      <c r="M1" s="44" t="s">
        <v>54</v>
      </c>
      <c r="N1" s="38" t="s">
        <v>55</v>
      </c>
      <c r="O1" s="45" t="s">
        <v>56</v>
      </c>
      <c r="P1" s="39" t="str">
        <f xml:space="preserve"> TEXT(I18,"##%") &amp; " confidence"</f>
        <v>95% confidence</v>
      </c>
      <c r="R1" s="47"/>
      <c r="S1" s="47"/>
      <c r="T1" s="47"/>
    </row>
    <row r="2" spans="1:20" ht="12.75" customHeight="1" x14ac:dyDescent="0.35">
      <c r="A2" s="49">
        <f>'New Vestas G27 60L'!O7</f>
        <v>3542117817.5462627</v>
      </c>
      <c r="B2" s="48">
        <f>'New Vestas G27 60L'!T7</f>
        <v>99.747593372498528</v>
      </c>
      <c r="C2" s="50">
        <f>IF(ISNA(A2),"",LOG10(A2))</f>
        <v>9.5492630025511875</v>
      </c>
      <c r="D2" s="50">
        <f>IF(ISNA(B2),"",(B2))</f>
        <v>99.747593372498528</v>
      </c>
      <c r="E2" s="51">
        <f>IF(C2="","",C2^2)</f>
        <v>91.188423891892924</v>
      </c>
      <c r="F2" s="51">
        <f>IF(D2="","",D2^2)</f>
        <v>9949.5823836053114</v>
      </c>
      <c r="G2" s="52">
        <f>IF(OR(C2="",D2=""),"",C2*D2)</f>
        <v>952.51600298552023</v>
      </c>
      <c r="H2" s="53" t="s">
        <v>57</v>
      </c>
      <c r="I2" s="54">
        <f>COUNT(C:C)</f>
        <v>43</v>
      </c>
      <c r="J2" s="51">
        <f t="shared" ref="J2:J65" si="0">LOG($I$24+($I$25-$I$24)*(ROW()-2)/100)</f>
        <v>9.5492630025511875</v>
      </c>
      <c r="K2" s="51">
        <f t="shared" ref="K2:K65" si="1">+$I$14+$I$13*J2</f>
        <v>91.744033842917815</v>
      </c>
      <c r="L2" s="55">
        <f t="shared" ref="L2:L65" si="2">SQRT(2*$I$20*$I$17)*SQRT((1/$I$2)+((J2-$I$11)^2/$I$8))</f>
        <v>3.9617877911960431</v>
      </c>
      <c r="M2" s="51">
        <f t="shared" ref="M2:M65" si="3">+$I$14+$I$13*J2-L2</f>
        <v>87.782246051721771</v>
      </c>
      <c r="N2" s="94">
        <f>10^$J2</f>
        <v>3542117817.5462699</v>
      </c>
      <c r="O2" s="56">
        <f>K2</f>
        <v>91.744033842917815</v>
      </c>
      <c r="P2" s="57">
        <f>M2</f>
        <v>87.782246051721771</v>
      </c>
      <c r="R2" s="47"/>
      <c r="S2" s="47"/>
      <c r="T2" s="47"/>
    </row>
    <row r="3" spans="1:20" ht="12.75" customHeight="1" x14ac:dyDescent="0.35">
      <c r="A3" s="49">
        <f>'New Vestas G27 60L'!O8</f>
        <v>3060896420.076324</v>
      </c>
      <c r="B3" s="48">
        <f>'New Vestas G27 60L'!T8</f>
        <v>95.996428134623116</v>
      </c>
      <c r="C3" s="50">
        <f t="shared" ref="C3:C44" si="4">IF(ISNA(A3),"",LOG10(A3))</f>
        <v>9.4858486334358165</v>
      </c>
      <c r="D3" s="50">
        <f t="shared" ref="D3:D44" si="5">IF(ISNA(B3),"",(B3))</f>
        <v>95.996428134623116</v>
      </c>
      <c r="E3" s="51">
        <f t="shared" ref="E3:F44" si="6">IF(C3="","",C3^2)</f>
        <v>89.981324296456151</v>
      </c>
      <c r="F3" s="51">
        <f t="shared" si="6"/>
        <v>9215.3142146058599</v>
      </c>
      <c r="G3" s="52">
        <f t="shared" ref="G3:G44" si="7">IF(OR(C3="",D3=""),"",C3*D3)</f>
        <v>910.60758663553429</v>
      </c>
      <c r="H3" s="53" t="s">
        <v>58</v>
      </c>
      <c r="I3" s="58">
        <f>SUM(C:C)</f>
        <v>370.64256325493585</v>
      </c>
      <c r="J3" s="51">
        <f t="shared" si="0"/>
        <v>9.5450290361538883</v>
      </c>
      <c r="K3" s="51">
        <f t="shared" si="1"/>
        <v>91.897116841714023</v>
      </c>
      <c r="L3" s="55">
        <f t="shared" si="2"/>
        <v>3.9456156787896863</v>
      </c>
      <c r="M3" s="51">
        <f t="shared" si="3"/>
        <v>87.95150116292433</v>
      </c>
      <c r="N3" s="94">
        <f t="shared" ref="N3:N66" si="8">10^$J3</f>
        <v>3507753253.8075647</v>
      </c>
      <c r="O3" s="56">
        <f t="shared" ref="O3:O66" si="9">K3</f>
        <v>91.897116841714023</v>
      </c>
      <c r="P3" s="57">
        <f t="shared" ref="P3:P66" si="10">M3</f>
        <v>87.95150116292433</v>
      </c>
      <c r="R3" s="47"/>
      <c r="S3" s="47"/>
      <c r="T3" s="47"/>
    </row>
    <row r="4" spans="1:20" ht="12.75" customHeight="1" x14ac:dyDescent="0.35">
      <c r="A4" s="49">
        <f>'New Vestas G27 60L'!O9</f>
        <v>105661443.67408709</v>
      </c>
      <c r="B4" s="48">
        <f>'New Vestas G27 60L'!T9</f>
        <v>147.17769522532859</v>
      </c>
      <c r="C4" s="50">
        <f t="shared" si="4"/>
        <v>8.0239165402464945</v>
      </c>
      <c r="D4" s="50">
        <f t="shared" si="5"/>
        <v>147.17769522532859</v>
      </c>
      <c r="E4" s="51">
        <f t="shared" si="6"/>
        <v>64.383236644841276</v>
      </c>
      <c r="F4" s="51">
        <f t="shared" si="6"/>
        <v>21661.27397183971</v>
      </c>
      <c r="G4" s="52">
        <f t="shared" si="7"/>
        <v>1180.9415430738716</v>
      </c>
      <c r="H4" s="59" t="s">
        <v>59</v>
      </c>
      <c r="I4" s="58">
        <f>SUM(D:D)</f>
        <v>5390.3537817858178</v>
      </c>
      <c r="J4" s="51">
        <f t="shared" si="0"/>
        <v>9.5407533858176965</v>
      </c>
      <c r="K4" s="51">
        <f t="shared" si="1"/>
        <v>92.05170696214708</v>
      </c>
      <c r="L4" s="55">
        <f t="shared" si="2"/>
        <v>3.9292921822751117</v>
      </c>
      <c r="M4" s="51">
        <f t="shared" si="3"/>
        <v>88.122414779871974</v>
      </c>
      <c r="N4" s="94">
        <f t="shared" si="8"/>
        <v>3473388690.06884</v>
      </c>
      <c r="O4" s="56">
        <f t="shared" si="9"/>
        <v>92.05170696214708</v>
      </c>
      <c r="P4" s="57">
        <f t="shared" si="10"/>
        <v>88.122414779871974</v>
      </c>
      <c r="R4" s="47"/>
      <c r="S4" s="47"/>
      <c r="T4" s="47"/>
    </row>
    <row r="5" spans="1:20" ht="12.75" customHeight="1" x14ac:dyDescent="0.35">
      <c r="A5" s="49">
        <f>'New Vestas G27 60L'!O10</f>
        <v>140881924.89878279</v>
      </c>
      <c r="B5" s="48">
        <f>'New Vestas G27 60L'!T10</f>
        <v>145.28074012362984</v>
      </c>
      <c r="C5" s="50">
        <f t="shared" si="4"/>
        <v>8.1488552768547944</v>
      </c>
      <c r="D5" s="50">
        <f t="shared" si="5"/>
        <v>145.28074012362984</v>
      </c>
      <c r="E5" s="51">
        <f t="shared" si="6"/>
        <v>66.403842323124223</v>
      </c>
      <c r="F5" s="51">
        <f t="shared" si="6"/>
        <v>21106.493450869668</v>
      </c>
      <c r="G5" s="52">
        <f t="shared" si="7"/>
        <v>1183.8717257818112</v>
      </c>
      <c r="H5" s="59" t="s">
        <v>60</v>
      </c>
      <c r="I5" s="58">
        <f>SUM(E:E)</f>
        <v>3199.0783318177268</v>
      </c>
      <c r="J5" s="51">
        <f t="shared" si="0"/>
        <v>9.5364352226074978</v>
      </c>
      <c r="K5" s="51">
        <f t="shared" si="1"/>
        <v>92.20783417513826</v>
      </c>
      <c r="L5" s="55">
        <f t="shared" si="2"/>
        <v>3.9128144694494451</v>
      </c>
      <c r="M5" s="51">
        <f t="shared" si="3"/>
        <v>88.295019705688816</v>
      </c>
      <c r="N5" s="94">
        <f t="shared" si="8"/>
        <v>3439024126.3301115</v>
      </c>
      <c r="O5" s="56">
        <f t="shared" si="9"/>
        <v>92.20783417513826</v>
      </c>
      <c r="P5" s="57">
        <f t="shared" si="10"/>
        <v>88.295019705688816</v>
      </c>
      <c r="R5" s="47"/>
      <c r="S5" s="47"/>
      <c r="T5" s="47"/>
    </row>
    <row r="6" spans="1:20" ht="12.75" customHeight="1" x14ac:dyDescent="0.35">
      <c r="A6" s="49">
        <f>'New Vestas G27 60L'!O11</f>
        <v>176102406.12347847</v>
      </c>
      <c r="B6" s="48">
        <f>'New Vestas G27 60L'!T11</f>
        <v>136.67148235438162</v>
      </c>
      <c r="C6" s="50">
        <f t="shared" si="4"/>
        <v>8.2457652898628506</v>
      </c>
      <c r="D6" s="50">
        <f t="shared" si="5"/>
        <v>136.67148235438162</v>
      </c>
      <c r="E6" s="51">
        <f t="shared" si="6"/>
        <v>67.992645215506982</v>
      </c>
      <c r="F6" s="51">
        <f t="shared" si="6"/>
        <v>18679.094088944046</v>
      </c>
      <c r="G6" s="52">
        <f t="shared" si="7"/>
        <v>1126.960965311863</v>
      </c>
      <c r="H6" s="59" t="s">
        <v>61</v>
      </c>
      <c r="I6" s="58">
        <f>SUM(F:F)</f>
        <v>681770.55040824378</v>
      </c>
      <c r="J6" s="51">
        <f t="shared" si="0"/>
        <v>9.532073692613082</v>
      </c>
      <c r="K6" s="51">
        <f t="shared" si="1"/>
        <v>92.365529354606508</v>
      </c>
      <c r="L6" s="55">
        <f t="shared" si="2"/>
        <v>3.8961796290739121</v>
      </c>
      <c r="M6" s="51">
        <f t="shared" si="3"/>
        <v>88.469349725532595</v>
      </c>
      <c r="N6" s="94">
        <f t="shared" si="8"/>
        <v>3404659562.5913954</v>
      </c>
      <c r="O6" s="56">
        <f t="shared" si="9"/>
        <v>92.365529354606508</v>
      </c>
      <c r="P6" s="57">
        <f t="shared" si="10"/>
        <v>88.469349725532595</v>
      </c>
      <c r="R6" s="47"/>
      <c r="S6" s="47"/>
      <c r="T6" s="47"/>
    </row>
    <row r="7" spans="1:20" ht="12.75" customHeight="1" x14ac:dyDescent="0.35">
      <c r="A7" s="49">
        <f>'New Vestas G27 60L'!O12</f>
        <v>211322887.34817418</v>
      </c>
      <c r="B7" s="48">
        <f>'New Vestas G27 60L'!T12</f>
        <v>135.65004499192844</v>
      </c>
      <c r="C7" s="50">
        <f t="shared" si="4"/>
        <v>8.3249465359104757</v>
      </c>
      <c r="D7" s="50">
        <f t="shared" si="5"/>
        <v>135.65004499192844</v>
      </c>
      <c r="E7" s="51">
        <f t="shared" si="6"/>
        <v>69.304734825767824</v>
      </c>
      <c r="F7" s="51">
        <f t="shared" si="6"/>
        <v>18400.934706312211</v>
      </c>
      <c r="G7" s="52">
        <f t="shared" si="7"/>
        <v>1129.2793721516548</v>
      </c>
      <c r="H7" s="59" t="s">
        <v>62</v>
      </c>
      <c r="I7" s="58">
        <f>SUM(G:G)</f>
        <v>46307.56444301275</v>
      </c>
      <c r="J7" s="51">
        <f t="shared" si="0"/>
        <v>9.527667915935659</v>
      </c>
      <c r="K7" s="51">
        <f t="shared" si="1"/>
        <v>92.524824314112209</v>
      </c>
      <c r="L7" s="55">
        <f t="shared" si="2"/>
        <v>3.8793846679667312</v>
      </c>
      <c r="M7" s="51">
        <f t="shared" si="3"/>
        <v>88.645439646145476</v>
      </c>
      <c r="N7" s="94">
        <f t="shared" si="8"/>
        <v>3370294998.8526707</v>
      </c>
      <c r="O7" s="56">
        <f t="shared" si="9"/>
        <v>92.524824314112209</v>
      </c>
      <c r="P7" s="57">
        <f t="shared" si="10"/>
        <v>88.645439646145476</v>
      </c>
      <c r="R7" s="47"/>
      <c r="S7" s="47"/>
      <c r="T7" s="47"/>
    </row>
    <row r="8" spans="1:20" ht="12.75" customHeight="1" x14ac:dyDescent="0.35">
      <c r="A8" s="49">
        <f>'New Vestas G27 60L'!O13</f>
        <v>246543368.57286987</v>
      </c>
      <c r="B8" s="48">
        <f>'New Vestas G27 60L'!T13</f>
        <v>134.0449291366449</v>
      </c>
      <c r="C8" s="50">
        <f t="shared" si="4"/>
        <v>8.3918933255410888</v>
      </c>
      <c r="D8" s="50">
        <f t="shared" si="5"/>
        <v>134.0449291366449</v>
      </c>
      <c r="E8" s="51">
        <f t="shared" si="6"/>
        <v>70.42387358726107</v>
      </c>
      <c r="F8" s="51">
        <f t="shared" si="6"/>
        <v>17968.043027248154</v>
      </c>
      <c r="G8" s="52">
        <f t="shared" si="7"/>
        <v>1124.8907461444385</v>
      </c>
      <c r="H8" s="53" t="s">
        <v>63</v>
      </c>
      <c r="I8" s="58">
        <f>+I5-I3^2/$I$2</f>
        <v>4.2897342319329255</v>
      </c>
      <c r="J8" s="51">
        <f t="shared" si="0"/>
        <v>9.5232169856224296</v>
      </c>
      <c r="K8" s="51">
        <f t="shared" si="1"/>
        <v>92.685751845378491</v>
      </c>
      <c r="L8" s="55">
        <f t="shared" si="2"/>
        <v>3.8624265079650146</v>
      </c>
      <c r="M8" s="51">
        <f t="shared" si="3"/>
        <v>88.823325337413479</v>
      </c>
      <c r="N8" s="94">
        <f t="shared" si="8"/>
        <v>3335930435.1139498</v>
      </c>
      <c r="O8" s="56">
        <f t="shared" si="9"/>
        <v>92.685751845378491</v>
      </c>
      <c r="P8" s="57">
        <f t="shared" si="10"/>
        <v>88.823325337413479</v>
      </c>
      <c r="R8" s="47"/>
      <c r="S8" s="47"/>
      <c r="T8" s="47"/>
    </row>
    <row r="9" spans="1:20" ht="12.75" customHeight="1" x14ac:dyDescent="0.35">
      <c r="A9" s="49">
        <f>'New Vestas G27 60L'!O14</f>
        <v>281763849.79756558</v>
      </c>
      <c r="B9" s="48">
        <f>'New Vestas G27 60L'!T14</f>
        <v>131.914502637814</v>
      </c>
      <c r="C9" s="50">
        <f t="shared" si="4"/>
        <v>8.4498852725187756</v>
      </c>
      <c r="D9" s="50">
        <f t="shared" si="5"/>
        <v>131.914502637814</v>
      </c>
      <c r="E9" s="51">
        <f t="shared" si="6"/>
        <v>71.400561118729698</v>
      </c>
      <c r="F9" s="51">
        <f t="shared" si="6"/>
        <v>17401.436006181837</v>
      </c>
      <c r="G9" s="52">
        <f t="shared" si="7"/>
        <v>1114.6624130709038</v>
      </c>
      <c r="H9" s="59" t="s">
        <v>64</v>
      </c>
      <c r="I9" s="58">
        <f>+I6-I4^2/$I$2</f>
        <v>6051.6226684142603</v>
      </c>
      <c r="J9" s="51">
        <f t="shared" si="0"/>
        <v>9.5187199665459943</v>
      </c>
      <c r="K9" s="51">
        <f t="shared" si="1"/>
        <v>92.848345758807625</v>
      </c>
      <c r="L9" s="55">
        <f t="shared" si="2"/>
        <v>3.8453019827488815</v>
      </c>
      <c r="M9" s="51">
        <f t="shared" si="3"/>
        <v>89.003043776058746</v>
      </c>
      <c r="N9" s="94">
        <f t="shared" si="8"/>
        <v>3301565871.3752255</v>
      </c>
      <c r="O9" s="56">
        <f t="shared" si="9"/>
        <v>92.848345758807625</v>
      </c>
      <c r="P9" s="57">
        <f t="shared" si="10"/>
        <v>89.003043776058746</v>
      </c>
      <c r="R9" s="47"/>
      <c r="S9" s="47"/>
      <c r="T9" s="47"/>
    </row>
    <row r="10" spans="1:20" ht="12.75" customHeight="1" x14ac:dyDescent="0.35">
      <c r="A10" s="49">
        <f>'New Vestas G27 60L'!O15</f>
        <v>316984331.02226126</v>
      </c>
      <c r="B10" s="48">
        <f>'New Vestas G27 60L'!T15</f>
        <v>128.29569598226558</v>
      </c>
      <c r="C10" s="50">
        <f t="shared" si="4"/>
        <v>8.5010377949661571</v>
      </c>
      <c r="D10" s="50">
        <f t="shared" si="5"/>
        <v>128.29569598226558</v>
      </c>
      <c r="E10" s="51">
        <f t="shared" si="6"/>
        <v>72.267643591443061</v>
      </c>
      <c r="F10" s="51">
        <f t="shared" si="6"/>
        <v>16459.785607573918</v>
      </c>
      <c r="G10" s="52">
        <f t="shared" si="7"/>
        <v>1090.6465604767275</v>
      </c>
      <c r="H10" s="59" t="s">
        <v>65</v>
      </c>
      <c r="I10" s="58">
        <f>+I7-I3*I4/$I$2</f>
        <v>-155.09933680196264</v>
      </c>
      <c r="J10" s="51">
        <f t="shared" si="0"/>
        <v>9.5141758942251311</v>
      </c>
      <c r="K10" s="51">
        <f t="shared" si="1"/>
        <v>93.012640926116546</v>
      </c>
      <c r="L10" s="55">
        <f t="shared" si="2"/>
        <v>3.8280078345205442</v>
      </c>
      <c r="M10" s="51">
        <f t="shared" si="3"/>
        <v>89.184633091595998</v>
      </c>
      <c r="N10" s="94">
        <f t="shared" si="8"/>
        <v>3267201307.6364961</v>
      </c>
      <c r="O10" s="56">
        <f t="shared" si="9"/>
        <v>93.012640926116546</v>
      </c>
      <c r="P10" s="57">
        <f t="shared" si="10"/>
        <v>89.184633091595998</v>
      </c>
      <c r="R10" s="47"/>
      <c r="S10" s="47"/>
      <c r="T10" s="47"/>
    </row>
    <row r="11" spans="1:20" ht="12.75" customHeight="1" x14ac:dyDescent="0.35">
      <c r="A11" s="49">
        <f>'New Vestas G27 60L'!O16</f>
        <v>352204812.24695694</v>
      </c>
      <c r="B11" s="48">
        <f>'New Vestas G27 60L'!T16</f>
        <v>118.75255262448876</v>
      </c>
      <c r="C11" s="50">
        <f t="shared" si="4"/>
        <v>8.5467952855268319</v>
      </c>
      <c r="D11" s="50">
        <f t="shared" si="5"/>
        <v>118.75255262448876</v>
      </c>
      <c r="E11" s="51">
        <f t="shared" si="6"/>
        <v>73.047709652703674</v>
      </c>
      <c r="F11" s="51">
        <f t="shared" si="6"/>
        <v>14102.168754831971</v>
      </c>
      <c r="G11" s="52">
        <f t="shared" si="7"/>
        <v>1014.9537569152575</v>
      </c>
      <c r="H11" s="59" t="s">
        <v>66</v>
      </c>
      <c r="I11" s="58">
        <f>+I3/$I$2</f>
        <v>8.6195944943008342</v>
      </c>
      <c r="J11" s="51">
        <f t="shared" si="0"/>
        <v>9.5095837735832429</v>
      </c>
      <c r="K11" s="51">
        <f t="shared" si="1"/>
        <v>93.178673325226384</v>
      </c>
      <c r="L11" s="55">
        <f t="shared" si="2"/>
        <v>3.8105407105308098</v>
      </c>
      <c r="M11" s="51">
        <f t="shared" si="3"/>
        <v>89.368132614695568</v>
      </c>
      <c r="N11" s="94">
        <f t="shared" si="8"/>
        <v>3232836743.8977737</v>
      </c>
      <c r="O11" s="56">
        <f t="shared" si="9"/>
        <v>93.178673325226384</v>
      </c>
      <c r="P11" s="57">
        <f t="shared" si="10"/>
        <v>89.368132614695568</v>
      </c>
      <c r="R11" s="47"/>
      <c r="S11" s="47"/>
      <c r="T11" s="47"/>
    </row>
    <row r="12" spans="1:20" ht="12.75" customHeight="1" x14ac:dyDescent="0.35">
      <c r="A12" s="49">
        <f>'New Vestas G27 60L'!O17</f>
        <v>387425293.47165269</v>
      </c>
      <c r="B12" s="48">
        <f>'New Vestas G27 60L'!T17</f>
        <v>117.93540273452622</v>
      </c>
      <c r="C12" s="50">
        <f t="shared" si="4"/>
        <v>8.5881879706850572</v>
      </c>
      <c r="D12" s="50">
        <f t="shared" si="5"/>
        <v>117.93540273452622</v>
      </c>
      <c r="E12" s="51">
        <f t="shared" si="6"/>
        <v>73.756972619819521</v>
      </c>
      <c r="F12" s="51">
        <f t="shared" si="6"/>
        <v>13908.759218154895</v>
      </c>
      <c r="G12" s="52">
        <f t="shared" si="7"/>
        <v>1012.8514070825557</v>
      </c>
      <c r="H12" s="59" t="s">
        <v>67</v>
      </c>
      <c r="I12" s="58">
        <f>+I4/$I$2</f>
        <v>125.35706469269344</v>
      </c>
      <c r="J12" s="51">
        <f t="shared" si="0"/>
        <v>9.504942577640433</v>
      </c>
      <c r="K12" s="51">
        <f t="shared" si="1"/>
        <v>93.346480087551924</v>
      </c>
      <c r="L12" s="55">
        <f t="shared" si="2"/>
        <v>3.792897159444764</v>
      </c>
      <c r="M12" s="51">
        <f t="shared" si="3"/>
        <v>89.553582928107161</v>
      </c>
      <c r="N12" s="94">
        <f t="shared" si="8"/>
        <v>3198472180.1590538</v>
      </c>
      <c r="O12" s="56">
        <f t="shared" si="9"/>
        <v>93.346480087551924</v>
      </c>
      <c r="P12" s="57">
        <f t="shared" si="10"/>
        <v>89.553582928107161</v>
      </c>
      <c r="R12" s="47"/>
      <c r="S12" s="47"/>
      <c r="T12" s="47"/>
    </row>
    <row r="13" spans="1:20" ht="12.75" customHeight="1" x14ac:dyDescent="0.35">
      <c r="A13" s="49">
        <f>'New Vestas G27 60L'!O18</f>
        <v>140881924.89878279</v>
      </c>
      <c r="B13" s="48">
        <f>'New Vestas G27 60L'!T18</f>
        <v>140.49363704278807</v>
      </c>
      <c r="C13" s="50">
        <f t="shared" si="4"/>
        <v>8.1488552768547944</v>
      </c>
      <c r="D13" s="50">
        <f t="shared" si="5"/>
        <v>140.49363704278807</v>
      </c>
      <c r="E13" s="51">
        <f t="shared" si="6"/>
        <v>66.403842323124223</v>
      </c>
      <c r="F13" s="51">
        <f t="shared" si="6"/>
        <v>19738.462049510672</v>
      </c>
      <c r="G13" s="52">
        <f t="shared" si="7"/>
        <v>1144.8623155806458</v>
      </c>
      <c r="H13" s="59" t="s">
        <v>68</v>
      </c>
      <c r="I13" s="60">
        <f>+I10/I8</f>
        <v>-36.155931443817188</v>
      </c>
      <c r="J13" s="51">
        <f t="shared" si="0"/>
        <v>9.5002512461349617</v>
      </c>
      <c r="K13" s="51">
        <f t="shared" si="1"/>
        <v>93.516099547843965</v>
      </c>
      <c r="L13" s="55">
        <f t="shared" si="2"/>
        <v>3.7750736275383145</v>
      </c>
      <c r="M13" s="51">
        <f t="shared" si="3"/>
        <v>89.741025920305646</v>
      </c>
      <c r="N13" s="94">
        <f t="shared" si="8"/>
        <v>3164107616.4203324</v>
      </c>
      <c r="O13" s="56">
        <f t="shared" si="9"/>
        <v>93.516099547843965</v>
      </c>
      <c r="P13" s="57">
        <f t="shared" si="10"/>
        <v>89.741025920305646</v>
      </c>
      <c r="R13" s="47"/>
      <c r="S13" s="47"/>
      <c r="T13" s="47"/>
    </row>
    <row r="14" spans="1:20" ht="12.75" customHeight="1" x14ac:dyDescent="0.35">
      <c r="A14" s="49">
        <f>'New Vestas G27 60L'!O19</f>
        <v>176102406.12347847</v>
      </c>
      <c r="B14" s="48">
        <f>'New Vestas G27 60L'!T19</f>
        <v>139.58684160747444</v>
      </c>
      <c r="C14" s="50">
        <f t="shared" si="4"/>
        <v>8.2457652898628506</v>
      </c>
      <c r="D14" s="50">
        <f t="shared" si="5"/>
        <v>139.58684160747444</v>
      </c>
      <c r="E14" s="51">
        <f t="shared" si="6"/>
        <v>67.992645215506982</v>
      </c>
      <c r="F14" s="51">
        <f t="shared" si="6"/>
        <v>19484.486349950159</v>
      </c>
      <c r="G14" s="52">
        <f t="shared" si="7"/>
        <v>1151.0003334484963</v>
      </c>
      <c r="H14" s="59" t="s">
        <v>69</v>
      </c>
      <c r="I14" s="60">
        <f>+I12-I13*I11</f>
        <v>437.00653230213845</v>
      </c>
      <c r="J14" s="51">
        <f t="shared" si="0"/>
        <v>9.4955086840694154</v>
      </c>
      <c r="K14" s="51">
        <f t="shared" si="1"/>
        <v>93.687571296753902</v>
      </c>
      <c r="L14" s="55">
        <f t="shared" si="2"/>
        <v>3.7570664547164414</v>
      </c>
      <c r="M14" s="51">
        <f t="shared" si="3"/>
        <v>89.930504842037465</v>
      </c>
      <c r="N14" s="94">
        <f t="shared" si="8"/>
        <v>3129743052.6816144</v>
      </c>
      <c r="O14" s="56">
        <f t="shared" si="9"/>
        <v>93.687571296753902</v>
      </c>
      <c r="P14" s="57">
        <f t="shared" si="10"/>
        <v>89.930504842037465</v>
      </c>
      <c r="R14" s="47"/>
      <c r="S14" s="47"/>
      <c r="T14" s="47"/>
    </row>
    <row r="15" spans="1:20" ht="12.75" customHeight="1" thickBot="1" x14ac:dyDescent="0.4">
      <c r="A15" s="49">
        <f>'New Vestas G27 60L'!O20</f>
        <v>211322887.34817418</v>
      </c>
      <c r="B15" s="48">
        <f>'New Vestas G27 60L'!T20</f>
        <v>138.62154323923824</v>
      </c>
      <c r="C15" s="50">
        <f t="shared" si="4"/>
        <v>8.3249465359104757</v>
      </c>
      <c r="D15" s="50">
        <f t="shared" si="5"/>
        <v>138.62154323923824</v>
      </c>
      <c r="E15" s="51">
        <f t="shared" si="6"/>
        <v>69.304734825767824</v>
      </c>
      <c r="F15" s="51">
        <f t="shared" si="6"/>
        <v>19215.932250027996</v>
      </c>
      <c r="G15" s="52">
        <f t="shared" si="7"/>
        <v>1154.0169361920605</v>
      </c>
      <c r="H15" s="61" t="s">
        <v>70</v>
      </c>
      <c r="I15" s="62">
        <f>+I10^2/(I8*I9)</f>
        <v>0.9266541051315591</v>
      </c>
      <c r="J15" s="51">
        <f t="shared" si="0"/>
        <v>9.4907137601766181</v>
      </c>
      <c r="K15" s="51">
        <f t="shared" si="1"/>
        <v>93.860936236300233</v>
      </c>
      <c r="L15" s="55">
        <f t="shared" si="2"/>
        <v>3.738871870343687</v>
      </c>
      <c r="M15" s="51">
        <f t="shared" si="3"/>
        <v>90.122064365956547</v>
      </c>
      <c r="N15" s="94">
        <f t="shared" si="8"/>
        <v>3095378488.9428968</v>
      </c>
      <c r="O15" s="56">
        <f t="shared" si="9"/>
        <v>93.860936236300233</v>
      </c>
      <c r="P15" s="57">
        <f t="shared" si="10"/>
        <v>90.122064365956547</v>
      </c>
      <c r="R15" s="47"/>
      <c r="S15" s="47"/>
      <c r="T15" s="47"/>
    </row>
    <row r="16" spans="1:20" ht="12.75" customHeight="1" x14ac:dyDescent="0.35">
      <c r="A16" s="49">
        <f>'New Vestas G27 60L'!O21</f>
        <v>246543368.57286987</v>
      </c>
      <c r="B16" s="48">
        <f>'New Vestas G27 60L'!T21</f>
        <v>138.1242683093964</v>
      </c>
      <c r="C16" s="50">
        <f t="shared" si="4"/>
        <v>8.3918933255410888</v>
      </c>
      <c r="D16" s="50">
        <f t="shared" si="5"/>
        <v>138.1242683093964</v>
      </c>
      <c r="E16" s="51">
        <f t="shared" si="6"/>
        <v>70.42387358726107</v>
      </c>
      <c r="F16" s="51">
        <f t="shared" si="6"/>
        <v>19078.313496006125</v>
      </c>
      <c r="G16" s="52">
        <f t="shared" si="7"/>
        <v>1159.1241253208702</v>
      </c>
      <c r="H16" s="63" t="s">
        <v>71</v>
      </c>
      <c r="I16" s="64"/>
      <c r="J16" s="51">
        <f t="shared" si="0"/>
        <v>9.4858653052999067</v>
      </c>
      <c r="K16" s="51">
        <f t="shared" si="1"/>
        <v>94.036236638431035</v>
      </c>
      <c r="L16" s="55">
        <f t="shared" si="2"/>
        <v>3.7204859888768387</v>
      </c>
      <c r="M16" s="51">
        <f t="shared" si="3"/>
        <v>90.31575064955419</v>
      </c>
      <c r="N16" s="94">
        <f t="shared" si="8"/>
        <v>3061013925.2041717</v>
      </c>
      <c r="O16" s="56">
        <f t="shared" si="9"/>
        <v>94.036236638431035</v>
      </c>
      <c r="P16" s="57">
        <f t="shared" si="10"/>
        <v>90.31575064955419</v>
      </c>
      <c r="R16" s="47"/>
      <c r="S16" s="47"/>
      <c r="T16" s="47"/>
    </row>
    <row r="17" spans="1:20" ht="12.75" customHeight="1" x14ac:dyDescent="0.35">
      <c r="A17" s="49">
        <f>'New Vestas G27 60L'!O22</f>
        <v>281763849.79756558</v>
      </c>
      <c r="B17" s="48">
        <f>'New Vestas G27 60L'!T22</f>
        <v>135.05286440592008</v>
      </c>
      <c r="C17" s="50">
        <f t="shared" si="4"/>
        <v>8.4498852725187756</v>
      </c>
      <c r="D17" s="50">
        <f t="shared" si="5"/>
        <v>135.05286440592008</v>
      </c>
      <c r="E17" s="51">
        <f t="shared" si="6"/>
        <v>71.400561118729698</v>
      </c>
      <c r="F17" s="51">
        <f t="shared" si="6"/>
        <v>18239.276184243834</v>
      </c>
      <c r="G17" s="52">
        <f t="shared" si="7"/>
        <v>1141.1812099550591</v>
      </c>
      <c r="H17" s="53" t="s">
        <v>72</v>
      </c>
      <c r="I17" s="65">
        <f>(+I9-(+I10^2/I8))/($I$2-2)</f>
        <v>10.825894634658209</v>
      </c>
      <c r="J17" s="51">
        <f t="shared" si="0"/>
        <v>9.4809621106819666</v>
      </c>
      <c r="K17" s="51">
        <f t="shared" si="1"/>
        <v>94.213516206892962</v>
      </c>
      <c r="L17" s="55">
        <f t="shared" si="2"/>
        <v>3.7019048052891752</v>
      </c>
      <c r="M17" s="51">
        <f t="shared" si="3"/>
        <v>90.511611401603787</v>
      </c>
      <c r="N17" s="94">
        <f t="shared" si="8"/>
        <v>3026649361.4654408</v>
      </c>
      <c r="O17" s="56">
        <f t="shared" si="9"/>
        <v>94.213516206892962</v>
      </c>
      <c r="P17" s="57">
        <f t="shared" si="10"/>
        <v>90.511611401603787</v>
      </c>
      <c r="R17" s="47"/>
      <c r="S17" s="47"/>
      <c r="T17" s="47"/>
    </row>
    <row r="18" spans="1:20" ht="12.75" customHeight="1" x14ac:dyDescent="0.35">
      <c r="A18" s="49">
        <f>'New Vestas G27 60L'!O23</f>
        <v>316984331.02226126</v>
      </c>
      <c r="B18" s="48">
        <f>'New Vestas G27 60L'!T23</f>
        <v>134.17532043706771</v>
      </c>
      <c r="C18" s="50">
        <f t="shared" si="4"/>
        <v>8.5010377949661571</v>
      </c>
      <c r="D18" s="50">
        <f t="shared" si="5"/>
        <v>134.17532043706771</v>
      </c>
      <c r="E18" s="51">
        <f t="shared" si="6"/>
        <v>72.267643591443061</v>
      </c>
      <c r="F18" s="51">
        <f t="shared" si="6"/>
        <v>18003.016614389799</v>
      </c>
      <c r="G18" s="52">
        <f t="shared" si="7"/>
        <v>1140.6294701872077</v>
      </c>
      <c r="H18" s="66" t="s">
        <v>53</v>
      </c>
      <c r="I18" s="67">
        <v>0.95</v>
      </c>
      <c r="J18" s="51">
        <f t="shared" si="0"/>
        <v>9.4760029261559691</v>
      </c>
      <c r="K18" s="51">
        <f t="shared" si="1"/>
        <v>94.392820142632161</v>
      </c>
      <c r="L18" s="55">
        <f t="shared" si="2"/>
        <v>3.6831241902751111</v>
      </c>
      <c r="M18" s="51">
        <f t="shared" si="3"/>
        <v>90.709695952357052</v>
      </c>
      <c r="N18" s="94">
        <f t="shared" si="8"/>
        <v>2992284797.7267156</v>
      </c>
      <c r="O18" s="56">
        <f t="shared" si="9"/>
        <v>94.392820142632161</v>
      </c>
      <c r="P18" s="57">
        <f t="shared" si="10"/>
        <v>90.709695952357052</v>
      </c>
      <c r="R18" s="47"/>
      <c r="S18" s="47"/>
      <c r="T18" s="47"/>
    </row>
    <row r="19" spans="1:20" ht="12.75" customHeight="1" x14ac:dyDescent="0.35">
      <c r="A19" s="49">
        <f>'New Vestas G27 60L'!O24</f>
        <v>387425293.47165269</v>
      </c>
      <c r="B19" s="48">
        <f>'New Vestas G27 60L'!T24</f>
        <v>126.80395105123425</v>
      </c>
      <c r="C19" s="50">
        <f t="shared" si="4"/>
        <v>8.5881879706850572</v>
      </c>
      <c r="D19" s="50">
        <f t="shared" si="5"/>
        <v>126.80395105123425</v>
      </c>
      <c r="E19" s="51">
        <f t="shared" si="6"/>
        <v>73.756972619819521</v>
      </c>
      <c r="F19" s="51">
        <f t="shared" si="6"/>
        <v>16079.242002203811</v>
      </c>
      <c r="G19" s="52">
        <f t="shared" si="7"/>
        <v>1089.0161670535467</v>
      </c>
      <c r="H19" s="53" t="s">
        <v>73</v>
      </c>
      <c r="I19" s="68">
        <f>_xlfn.T.INV(1-(1-I18)/2,I2-2)</f>
        <v>2.0195409704413745</v>
      </c>
      <c r="J19" s="51">
        <f t="shared" si="0"/>
        <v>9.4709864582322236</v>
      </c>
      <c r="K19" s="51">
        <f t="shared" si="1"/>
        <v>94.574195212973223</v>
      </c>
      <c r="L19" s="55">
        <f t="shared" si="2"/>
        <v>3.6641398852233569</v>
      </c>
      <c r="M19" s="51">
        <f t="shared" si="3"/>
        <v>90.910055327749859</v>
      </c>
      <c r="N19" s="94">
        <f t="shared" si="8"/>
        <v>2957920233.9880018</v>
      </c>
      <c r="O19" s="56">
        <f t="shared" si="9"/>
        <v>94.574195212973223</v>
      </c>
      <c r="P19" s="57">
        <f t="shared" si="10"/>
        <v>90.910055327749859</v>
      </c>
      <c r="R19" s="47"/>
      <c r="S19" s="47"/>
      <c r="T19" s="47"/>
    </row>
    <row r="20" spans="1:20" ht="12.75" customHeight="1" x14ac:dyDescent="0.35">
      <c r="A20" s="49">
        <f>'New Vestas G27 60L'!O25</f>
        <v>422645774.69634837</v>
      </c>
      <c r="B20" s="48">
        <f>'New Vestas G27 60L'!T25</f>
        <v>124.2298220526136</v>
      </c>
      <c r="C20" s="50">
        <f t="shared" si="4"/>
        <v>8.625976531574457</v>
      </c>
      <c r="D20" s="50">
        <f t="shared" si="5"/>
        <v>124.2298220526136</v>
      </c>
      <c r="E20" s="51">
        <f t="shared" si="6"/>
        <v>74.407471123273297</v>
      </c>
      <c r="F20" s="51">
        <f t="shared" si="6"/>
        <v>15433.04868722404</v>
      </c>
      <c r="G20" s="52">
        <f t="shared" si="7"/>
        <v>1071.6035295475158</v>
      </c>
      <c r="H20" s="53" t="s">
        <v>74</v>
      </c>
      <c r="I20" s="68">
        <f>_xlfn.F.INV(I18,2,I2-2)</f>
        <v>3.2256838422954499</v>
      </c>
      <c r="J20" s="51">
        <f t="shared" si="0"/>
        <v>9.4659113680730371</v>
      </c>
      <c r="K20" s="51">
        <f t="shared" si="1"/>
        <v>94.757689824839929</v>
      </c>
      <c r="L20" s="55">
        <f t="shared" si="2"/>
        <v>3.6449474969462221</v>
      </c>
      <c r="M20" s="51">
        <f t="shared" si="3"/>
        <v>91.112742327893713</v>
      </c>
      <c r="N20" s="94">
        <f t="shared" si="8"/>
        <v>2923555670.2492785</v>
      </c>
      <c r="O20" s="56">
        <f t="shared" si="9"/>
        <v>94.757689824839929</v>
      </c>
      <c r="P20" s="57">
        <f t="shared" si="10"/>
        <v>91.112742327893713</v>
      </c>
      <c r="R20" s="47"/>
      <c r="S20" s="47"/>
      <c r="T20" s="47"/>
    </row>
    <row r="21" spans="1:20" ht="12.75" customHeight="1" x14ac:dyDescent="0.35">
      <c r="A21" s="49">
        <f>'New Vestas G27 60L'!O26</f>
        <v>176102406.12347847</v>
      </c>
      <c r="B21" s="48">
        <f>'New Vestas G27 60L'!T26</f>
        <v>144.49728289345654</v>
      </c>
      <c r="C21" s="50">
        <f t="shared" si="4"/>
        <v>8.2457652898628506</v>
      </c>
      <c r="D21" s="50">
        <f t="shared" si="5"/>
        <v>144.49728289345654</v>
      </c>
      <c r="E21" s="51">
        <f t="shared" si="6"/>
        <v>67.992645215506982</v>
      </c>
      <c r="F21" s="51">
        <f t="shared" si="6"/>
        <v>20879.464763591608</v>
      </c>
      <c r="G21" s="52">
        <f t="shared" si="7"/>
        <v>1191.4906797623571</v>
      </c>
      <c r="H21" s="53" t="s">
        <v>75</v>
      </c>
      <c r="I21" s="68">
        <f>I19*SQRT(I17)*(($I$8)^(-1/2))</f>
        <v>3.2082586421838313</v>
      </c>
      <c r="J21" s="51">
        <f t="shared" si="0"/>
        <v>9.4607762693478357</v>
      </c>
      <c r="K21" s="51">
        <f t="shared" si="1"/>
        <v>94.943354102305591</v>
      </c>
      <c r="L21" s="55">
        <f t="shared" si="2"/>
        <v>3.6255424921518915</v>
      </c>
      <c r="M21" s="51">
        <f t="shared" si="3"/>
        <v>91.317811610153697</v>
      </c>
      <c r="N21" s="94">
        <f t="shared" si="8"/>
        <v>2889191106.5105586</v>
      </c>
      <c r="O21" s="56">
        <f t="shared" si="9"/>
        <v>94.943354102305591</v>
      </c>
      <c r="P21" s="57">
        <f t="shared" si="10"/>
        <v>91.317811610153697</v>
      </c>
      <c r="R21" s="47"/>
      <c r="S21" s="47"/>
      <c r="T21" s="47"/>
    </row>
    <row r="22" spans="1:20" ht="12.75" customHeight="1" thickBot="1" x14ac:dyDescent="0.4">
      <c r="A22" s="49">
        <f>'New Vestas G27 60L'!O27</f>
        <v>211322887.34817418</v>
      </c>
      <c r="B22" s="48">
        <f>'New Vestas G27 60L'!T27</f>
        <v>139.66875925554606</v>
      </c>
      <c r="C22" s="50">
        <f t="shared" si="4"/>
        <v>8.3249465359104757</v>
      </c>
      <c r="D22" s="50">
        <f t="shared" si="5"/>
        <v>139.66875925554606</v>
      </c>
      <c r="E22" s="51">
        <f t="shared" si="6"/>
        <v>69.304734825767824</v>
      </c>
      <c r="F22" s="51">
        <f t="shared" si="6"/>
        <v>19507.362311983685</v>
      </c>
      <c r="G22" s="52">
        <f t="shared" si="7"/>
        <v>1162.7349535393723</v>
      </c>
      <c r="H22" s="61" t="s">
        <v>76</v>
      </c>
      <c r="I22" s="69">
        <f>I19*SQRT(I17)*(1/I2+I11^2/I8)^(1/2)</f>
        <v>27.672448134849276</v>
      </c>
      <c r="J22" s="51">
        <f t="shared" si="0"/>
        <v>9.4555797259599625</v>
      </c>
      <c r="K22" s="51">
        <f t="shared" si="1"/>
        <v>95.131239968782324</v>
      </c>
      <c r="L22" s="55">
        <f t="shared" si="2"/>
        <v>3.605920191645918</v>
      </c>
      <c r="M22" s="51">
        <f t="shared" si="3"/>
        <v>91.525319777136403</v>
      </c>
      <c r="N22" s="94">
        <f t="shared" si="8"/>
        <v>2854826542.7718415</v>
      </c>
      <c r="O22" s="56">
        <f t="shared" si="9"/>
        <v>95.131239968782324</v>
      </c>
      <c r="P22" s="57">
        <f t="shared" si="10"/>
        <v>91.525319777136403</v>
      </c>
      <c r="R22" s="47"/>
      <c r="S22" s="47"/>
      <c r="T22" s="47"/>
    </row>
    <row r="23" spans="1:20" ht="12.75" customHeight="1" x14ac:dyDescent="0.35">
      <c r="A23" s="49">
        <f>'New Vestas G27 60L'!O28</f>
        <v>246543368.57286987</v>
      </c>
      <c r="B23" s="48">
        <f>'New Vestas G27 60L'!T28</f>
        <v>134.05011356779568</v>
      </c>
      <c r="C23" s="50">
        <f t="shared" si="4"/>
        <v>8.3918933255410888</v>
      </c>
      <c r="D23" s="50">
        <f t="shared" si="5"/>
        <v>134.05011356779568</v>
      </c>
      <c r="E23" s="51">
        <f t="shared" si="6"/>
        <v>70.42387358726107</v>
      </c>
      <c r="F23" s="51">
        <f t="shared" si="6"/>
        <v>17969.432947538917</v>
      </c>
      <c r="G23" s="52">
        <f t="shared" si="7"/>
        <v>1124.9342533376096</v>
      </c>
      <c r="H23" s="63" t="s">
        <v>77</v>
      </c>
      <c r="I23" s="70"/>
      <c r="J23" s="51">
        <f t="shared" si="0"/>
        <v>9.4503202496358103</v>
      </c>
      <c r="K23" s="51">
        <f t="shared" si="1"/>
        <v>95.321401234188784</v>
      </c>
      <c r="L23" s="55">
        <f t="shared" si="2"/>
        <v>3.5860757642473584</v>
      </c>
      <c r="M23" s="51">
        <f t="shared" si="3"/>
        <v>91.735325469941429</v>
      </c>
      <c r="N23" s="94">
        <f t="shared" si="8"/>
        <v>2820461979.0331235</v>
      </c>
      <c r="O23" s="56">
        <f t="shared" si="9"/>
        <v>95.321401234188784</v>
      </c>
      <c r="P23" s="57">
        <f t="shared" si="10"/>
        <v>91.735325469941429</v>
      </c>
      <c r="R23" s="47"/>
      <c r="S23" s="47"/>
      <c r="T23" s="47"/>
    </row>
    <row r="24" spans="1:20" ht="12.75" customHeight="1" x14ac:dyDescent="0.35">
      <c r="A24" s="49">
        <f>'New Vestas G27 60L'!O29</f>
        <v>281763849.79756558</v>
      </c>
      <c r="B24" s="48">
        <f>'New Vestas G27 60L'!T29</f>
        <v>133.2599915179558</v>
      </c>
      <c r="C24" s="50">
        <f t="shared" si="4"/>
        <v>8.4498852725187756</v>
      </c>
      <c r="D24" s="50">
        <f t="shared" si="5"/>
        <v>133.2599915179558</v>
      </c>
      <c r="E24" s="51">
        <f t="shared" si="6"/>
        <v>71.400561118729698</v>
      </c>
      <c r="F24" s="51">
        <f t="shared" si="6"/>
        <v>17758.22533936565</v>
      </c>
      <c r="G24" s="52">
        <f t="shared" si="7"/>
        <v>1126.0316397435518</v>
      </c>
      <c r="H24" s="66" t="s">
        <v>78</v>
      </c>
      <c r="I24" s="71">
        <f>10^(MAX(C:C))</f>
        <v>3542117817.5462699</v>
      </c>
      <c r="J24" s="51">
        <f t="shared" si="0"/>
        <v>9.444996297366183</v>
      </c>
      <c r="K24" s="51">
        <f t="shared" si="1"/>
        <v>95.513893687459586</v>
      </c>
      <c r="L24" s="55">
        <f t="shared" si="2"/>
        <v>3.566004220404408</v>
      </c>
      <c r="M24" s="51">
        <f t="shared" si="3"/>
        <v>91.947889467055177</v>
      </c>
      <c r="N24" s="94">
        <f t="shared" si="8"/>
        <v>2786097415.2943945</v>
      </c>
      <c r="O24" s="56">
        <f t="shared" si="9"/>
        <v>95.513893687459586</v>
      </c>
      <c r="P24" s="57">
        <f t="shared" si="10"/>
        <v>91.947889467055177</v>
      </c>
      <c r="R24" s="47"/>
      <c r="S24" s="47"/>
      <c r="T24" s="47"/>
    </row>
    <row r="25" spans="1:20" ht="12.75" customHeight="1" thickBot="1" x14ac:dyDescent="0.4">
      <c r="A25" s="49">
        <f>'New Vestas G27 60L'!O30</f>
        <v>316984331.02226126</v>
      </c>
      <c r="B25" s="48">
        <f>'New Vestas G27 60L'!T30</f>
        <v>131.35784584241532</v>
      </c>
      <c r="C25" s="50">
        <f t="shared" si="4"/>
        <v>8.5010377949661571</v>
      </c>
      <c r="D25" s="50">
        <f t="shared" si="5"/>
        <v>131.35784584241532</v>
      </c>
      <c r="E25" s="51">
        <f t="shared" si="6"/>
        <v>72.267643591443061</v>
      </c>
      <c r="F25" s="51">
        <f t="shared" si="6"/>
        <v>17254.883664359746</v>
      </c>
      <c r="G25" s="52">
        <f t="shared" si="7"/>
        <v>1116.6780121717106</v>
      </c>
      <c r="H25" s="72" t="s">
        <v>79</v>
      </c>
      <c r="I25" s="73">
        <f>10^(MIN(C:C))</f>
        <v>105661443.67408726</v>
      </c>
      <c r="J25" s="51">
        <f t="shared" si="0"/>
        <v>9.4396062686888662</v>
      </c>
      <c r="K25" s="51">
        <f t="shared" si="1"/>
        <v>95.708775194796829</v>
      </c>
      <c r="L25" s="55">
        <f t="shared" si="2"/>
        <v>3.5457004054935171</v>
      </c>
      <c r="M25" s="51">
        <f t="shared" si="3"/>
        <v>92.163074789303309</v>
      </c>
      <c r="N25" s="94">
        <f t="shared" si="8"/>
        <v>2751732851.5556779</v>
      </c>
      <c r="O25" s="56">
        <f t="shared" si="9"/>
        <v>95.708775194796829</v>
      </c>
      <c r="P25" s="57">
        <f t="shared" si="10"/>
        <v>92.163074789303309</v>
      </c>
      <c r="R25" s="47"/>
      <c r="S25" s="47"/>
      <c r="T25" s="47"/>
    </row>
    <row r="26" spans="1:20" ht="12.75" customHeight="1" x14ac:dyDescent="0.35">
      <c r="A26" s="49">
        <f>'New Vestas G27 60L'!O31</f>
        <v>352204812.24695694</v>
      </c>
      <c r="B26" s="48">
        <f>'New Vestas G27 60L'!T31</f>
        <v>127.55355449133431</v>
      </c>
      <c r="C26" s="50">
        <f t="shared" si="4"/>
        <v>8.5467952855268319</v>
      </c>
      <c r="D26" s="50">
        <f t="shared" si="5"/>
        <v>127.55355449133431</v>
      </c>
      <c r="E26" s="51">
        <f t="shared" si="6"/>
        <v>73.047709652703674</v>
      </c>
      <c r="F26" s="51">
        <f t="shared" si="6"/>
        <v>16269.909263373791</v>
      </c>
      <c r="G26" s="52">
        <f t="shared" si="7"/>
        <v>1090.1741181787258</v>
      </c>
      <c r="H26" s="63" t="s">
        <v>80</v>
      </c>
      <c r="I26" s="70"/>
      <c r="J26" s="51">
        <f t="shared" si="0"/>
        <v>9.4341485028004382</v>
      </c>
      <c r="K26" s="51">
        <f t="shared" si="1"/>
        <v>95.906105804095262</v>
      </c>
      <c r="L26" s="55">
        <f t="shared" si="2"/>
        <v>3.5251589927853142</v>
      </c>
      <c r="M26" s="51">
        <f t="shared" si="3"/>
        <v>92.380946811309954</v>
      </c>
      <c r="N26" s="94">
        <f t="shared" si="8"/>
        <v>2717368287.8169565</v>
      </c>
      <c r="O26" s="56">
        <f t="shared" si="9"/>
        <v>95.906105804095262</v>
      </c>
      <c r="P26" s="57">
        <f t="shared" si="10"/>
        <v>92.380946811309954</v>
      </c>
      <c r="R26" s="47" t="s">
        <v>81</v>
      </c>
      <c r="S26" s="47"/>
      <c r="T26" s="47"/>
    </row>
    <row r="27" spans="1:20" ht="12.75" customHeight="1" x14ac:dyDescent="0.35">
      <c r="A27" s="49">
        <f>'New Vestas G27 60L'!O32</f>
        <v>573388253.43339479</v>
      </c>
      <c r="B27" s="48">
        <f>'New Vestas G27 60L'!T32</f>
        <v>121.45685861059646</v>
      </c>
      <c r="C27" s="50">
        <f t="shared" si="4"/>
        <v>8.7584487916427083</v>
      </c>
      <c r="D27" s="50">
        <f t="shared" si="5"/>
        <v>121.45685861059646</v>
      </c>
      <c r="E27" s="51">
        <f t="shared" si="6"/>
        <v>76.710425235827614</v>
      </c>
      <c r="F27" s="51">
        <f t="shared" si="6"/>
        <v>14751.768503554418</v>
      </c>
      <c r="G27" s="52">
        <f t="shared" si="7"/>
        <v>1063.7736765346979</v>
      </c>
      <c r="H27" s="53" t="str">
        <f>"m lower " &amp; TEXT(I18,"##%") &amp; " conf"</f>
        <v>m lower 95% conf</v>
      </c>
      <c r="I27" s="74">
        <f>-I13-I21</f>
        <v>32.94767280163336</v>
      </c>
      <c r="J27" s="51">
        <f t="shared" si="0"/>
        <v>9.4286212754842769</v>
      </c>
      <c r="K27" s="51">
        <f t="shared" si="1"/>
        <v>96.10594785601279</v>
      </c>
      <c r="L27" s="55">
        <f t="shared" si="2"/>
        <v>3.5043744760599003</v>
      </c>
      <c r="M27" s="51">
        <f t="shared" si="3"/>
        <v>92.601573379952896</v>
      </c>
      <c r="N27" s="94">
        <f t="shared" si="8"/>
        <v>2683003724.0782328</v>
      </c>
      <c r="O27" s="56">
        <f t="shared" si="9"/>
        <v>96.10594785601279</v>
      </c>
      <c r="P27" s="57">
        <f t="shared" si="10"/>
        <v>92.601573379952896</v>
      </c>
      <c r="R27" s="47"/>
      <c r="S27" s="47"/>
      <c r="T27" s="47"/>
    </row>
    <row r="28" spans="1:20" ht="12.75" customHeight="1" x14ac:dyDescent="0.35">
      <c r="A28" s="49">
        <f>'New Vestas G27 60L'!O33</f>
        <v>661601830.88468611</v>
      </c>
      <c r="B28" s="48">
        <f>'New Vestas G27 60L'!T33</f>
        <v>118.50686190062923</v>
      </c>
      <c r="C28" s="50">
        <f t="shared" si="4"/>
        <v>8.8205966983915527</v>
      </c>
      <c r="D28" s="50">
        <f t="shared" si="5"/>
        <v>118.50686190062923</v>
      </c>
      <c r="E28" s="51">
        <f t="shared" si="6"/>
        <v>77.802926115675959</v>
      </c>
      <c r="F28" s="51">
        <f t="shared" si="6"/>
        <v>14043.876317534809</v>
      </c>
      <c r="G28" s="52">
        <f t="shared" si="7"/>
        <v>1045.3012348174339</v>
      </c>
      <c r="H28" s="75" t="s">
        <v>82</v>
      </c>
      <c r="I28" s="76">
        <f>-I13</f>
        <v>36.155931443817188</v>
      </c>
      <c r="J28" s="51">
        <f t="shared" si="0"/>
        <v>9.4230227958405575</v>
      </c>
      <c r="K28" s="51">
        <f t="shared" si="1"/>
        <v>96.308366102200694</v>
      </c>
      <c r="L28" s="55">
        <f t="shared" si="2"/>
        <v>3.483341161853418</v>
      </c>
      <c r="M28" s="51">
        <f t="shared" si="3"/>
        <v>92.825024940347276</v>
      </c>
      <c r="N28" s="94">
        <f t="shared" si="8"/>
        <v>2648639160.3395114</v>
      </c>
      <c r="O28" s="56">
        <f t="shared" si="9"/>
        <v>96.308366102200694</v>
      </c>
      <c r="P28" s="57">
        <f t="shared" si="10"/>
        <v>92.825024940347276</v>
      </c>
      <c r="R28" s="47"/>
      <c r="S28" s="47">
        <v>1.61353070890733E+23</v>
      </c>
      <c r="T28" s="47"/>
    </row>
    <row r="29" spans="1:20" ht="12.75" customHeight="1" x14ac:dyDescent="0.35">
      <c r="A29" s="49">
        <f>'New Vestas G27 60L'!O34</f>
        <v>705708619.61033213</v>
      </c>
      <c r="B29" s="48">
        <f>'New Vestas G27 60L'!T34</f>
        <v>114.45975897621136</v>
      </c>
      <c r="C29" s="50">
        <f t="shared" si="4"/>
        <v>8.8486254219917964</v>
      </c>
      <c r="D29" s="50">
        <f t="shared" si="5"/>
        <v>114.45975897621136</v>
      </c>
      <c r="E29" s="51">
        <f t="shared" si="6"/>
        <v>78.298171858719499</v>
      </c>
      <c r="F29" s="51">
        <f t="shared" si="6"/>
        <v>13101.036424892398</v>
      </c>
      <c r="G29" s="52">
        <f t="shared" si="7"/>
        <v>1012.8115330719576</v>
      </c>
      <c r="H29" s="77" t="str">
        <f>"m upper " &amp; TEXT(I18,"##%") &amp; " conf"</f>
        <v>m upper 95% conf</v>
      </c>
      <c r="I29" s="74">
        <f>-I13+I21</f>
        <v>39.364190086001017</v>
      </c>
      <c r="J29" s="51">
        <f t="shared" si="0"/>
        <v>9.417351202802708</v>
      </c>
      <c r="K29" s="51">
        <f t="shared" si="1"/>
        <v>96.513427831254432</v>
      </c>
      <c r="L29" s="55">
        <f t="shared" si="2"/>
        <v>3.4620531613170207</v>
      </c>
      <c r="M29" s="51">
        <f t="shared" si="3"/>
        <v>93.051374669937417</v>
      </c>
      <c r="N29" s="94">
        <f t="shared" si="8"/>
        <v>2614274596.6007829</v>
      </c>
      <c r="O29" s="56">
        <f t="shared" si="9"/>
        <v>96.513427831254432</v>
      </c>
      <c r="P29" s="57">
        <f t="shared" si="10"/>
        <v>93.051374669937417</v>
      </c>
      <c r="R29" s="47"/>
      <c r="S29" s="47"/>
      <c r="T29" s="47"/>
    </row>
    <row r="30" spans="1:20" ht="12.75" customHeight="1" x14ac:dyDescent="0.35">
      <c r="A30" s="49">
        <f>'New Vestas G27 60L'!O35</f>
        <v>1014456140.6898522</v>
      </c>
      <c r="B30" s="48">
        <f>'New Vestas G27 60L'!T35</f>
        <v>112.43620751400243</v>
      </c>
      <c r="C30" s="50">
        <f t="shared" si="4"/>
        <v>9.0062332753534644</v>
      </c>
      <c r="D30" s="50">
        <f t="shared" si="5"/>
        <v>112.43620751400243</v>
      </c>
      <c r="E30" s="51">
        <f t="shared" si="6"/>
        <v>81.112237810083997</v>
      </c>
      <c r="F30" s="51">
        <f t="shared" si="6"/>
        <v>12641.900760131817</v>
      </c>
      <c r="G30" s="52">
        <f t="shared" si="7"/>
        <v>1012.6267134671559</v>
      </c>
      <c r="H30" s="77" t="str">
        <f>"C lower " &amp; TEXT(I18,"##%") &amp; " conf"</f>
        <v>C lower 95% conf</v>
      </c>
      <c r="I30" s="78">
        <f>(I14-I22)</f>
        <v>409.33408416728918</v>
      </c>
      <c r="J30" s="51">
        <f t="shared" si="0"/>
        <v>9.4116045614233776</v>
      </c>
      <c r="K30" s="51">
        <f t="shared" si="1"/>
        <v>96.721203002997697</v>
      </c>
      <c r="L30" s="55">
        <f t="shared" si="2"/>
        <v>3.4405043816688208</v>
      </c>
      <c r="M30" s="51">
        <f t="shared" si="3"/>
        <v>93.280698621328881</v>
      </c>
      <c r="N30" s="94">
        <f t="shared" si="8"/>
        <v>2579910032.8620672</v>
      </c>
      <c r="O30" s="56">
        <f t="shared" si="9"/>
        <v>96.721203002997697</v>
      </c>
      <c r="P30" s="57">
        <f t="shared" si="10"/>
        <v>93.280698621328881</v>
      </c>
      <c r="R30" s="47"/>
      <c r="S30" s="47"/>
      <c r="T30" s="47"/>
    </row>
    <row r="31" spans="1:20" ht="12.75" customHeight="1" x14ac:dyDescent="0.35">
      <c r="A31" s="49">
        <f>'New Vestas G27 60L'!O36</f>
        <v>485174675.98210317</v>
      </c>
      <c r="B31" s="48">
        <f>'New Vestas G27 60L'!T36</f>
        <v>122.86867301238763</v>
      </c>
      <c r="C31" s="50">
        <f t="shared" si="4"/>
        <v>8.6858981244940949</v>
      </c>
      <c r="D31" s="50">
        <f t="shared" si="5"/>
        <v>122.86867301238763</v>
      </c>
      <c r="E31" s="51">
        <f t="shared" si="6"/>
        <v>75.44482622909004</v>
      </c>
      <c r="F31" s="51">
        <f t="shared" si="6"/>
        <v>15096.710807825033</v>
      </c>
      <c r="G31" s="52">
        <f t="shared" si="7"/>
        <v>1067.2247764773761</v>
      </c>
      <c r="H31" s="75" t="s">
        <v>83</v>
      </c>
      <c r="I31" s="79">
        <f>I14</f>
        <v>437.00653230213845</v>
      </c>
      <c r="J31" s="51">
        <f t="shared" si="0"/>
        <v>9.4057808589113652</v>
      </c>
      <c r="K31" s="51">
        <f t="shared" si="1"/>
        <v>96.931764391771196</v>
      </c>
      <c r="L31" s="55">
        <f t="shared" si="2"/>
        <v>3.4186885172187895</v>
      </c>
      <c r="M31" s="51">
        <f t="shared" si="3"/>
        <v>93.513075874552413</v>
      </c>
      <c r="N31" s="94">
        <f t="shared" si="8"/>
        <v>2545545469.1233487</v>
      </c>
      <c r="O31" s="56">
        <f t="shared" si="9"/>
        <v>96.931764391771196</v>
      </c>
      <c r="P31" s="57">
        <f t="shared" si="10"/>
        <v>93.513075874552413</v>
      </c>
      <c r="R31" s="47"/>
      <c r="S31" s="47"/>
      <c r="T31" s="47"/>
    </row>
    <row r="32" spans="1:20" ht="12.75" customHeight="1" thickBot="1" x14ac:dyDescent="0.4">
      <c r="A32" s="49">
        <f>'New Vestas G27 60L'!O37</f>
        <v>529281464.70774895</v>
      </c>
      <c r="B32" s="48">
        <f>'New Vestas G27 60L'!T37</f>
        <v>120.50280576371755</v>
      </c>
      <c r="C32" s="50">
        <f t="shared" si="4"/>
        <v>8.7236866853834947</v>
      </c>
      <c r="D32" s="50">
        <f t="shared" si="5"/>
        <v>120.50280576371755</v>
      </c>
      <c r="E32" s="51">
        <f t="shared" si="6"/>
        <v>76.102709384737267</v>
      </c>
      <c r="F32" s="51">
        <f t="shared" si="6"/>
        <v>14520.926196928238</v>
      </c>
      <c r="G32" s="52">
        <f t="shared" si="7"/>
        <v>1051.2287221922961</v>
      </c>
      <c r="H32" s="61" t="str">
        <f>"C upper " &amp; TEXT(I18,"##%") &amp; " conf"</f>
        <v>C upper 95% conf</v>
      </c>
      <c r="I32" s="80">
        <f>(I14+I22)</f>
        <v>464.67898043698773</v>
      </c>
      <c r="J32" s="51">
        <f t="shared" si="0"/>
        <v>9.3998780003992088</v>
      </c>
      <c r="K32" s="51">
        <f t="shared" si="1"/>
        <v>97.145187739459288</v>
      </c>
      <c r="L32" s="55">
        <f t="shared" si="2"/>
        <v>3.3965990399461647</v>
      </c>
      <c r="M32" s="51">
        <f t="shared" si="3"/>
        <v>93.748588699513121</v>
      </c>
      <c r="N32" s="94">
        <f t="shared" si="8"/>
        <v>2511180905.3846216</v>
      </c>
      <c r="O32" s="56">
        <f t="shared" si="9"/>
        <v>97.145187739459288</v>
      </c>
      <c r="P32" s="57">
        <f t="shared" si="10"/>
        <v>93.748588699513121</v>
      </c>
      <c r="R32" s="47"/>
      <c r="S32" s="47"/>
      <c r="T32" s="47"/>
    </row>
    <row r="33" spans="1:20" ht="12.75" customHeight="1" x14ac:dyDescent="0.35">
      <c r="A33" s="49">
        <f>'New Vestas G27 60L'!O38</f>
        <v>573388253.43339479</v>
      </c>
      <c r="B33" s="48">
        <f>'New Vestas G27 60L'!T38</f>
        <v>119.69792309148957</v>
      </c>
      <c r="C33" s="50">
        <f t="shared" si="4"/>
        <v>8.7584487916427083</v>
      </c>
      <c r="D33" s="50">
        <f t="shared" si="5"/>
        <v>119.69792309148957</v>
      </c>
      <c r="E33" s="51">
        <f t="shared" si="6"/>
        <v>76.710425235827614</v>
      </c>
      <c r="F33" s="51">
        <f t="shared" si="6"/>
        <v>14327.592792416151</v>
      </c>
      <c r="G33" s="52">
        <f t="shared" si="7"/>
        <v>1048.3681298627987</v>
      </c>
      <c r="H33" s="63" t="s">
        <v>84</v>
      </c>
      <c r="I33" s="81"/>
      <c r="J33" s="51">
        <f t="shared" si="0"/>
        <v>9.393893804419152</v>
      </c>
      <c r="K33" s="51">
        <f t="shared" si="1"/>
        <v>97.36155191906056</v>
      </c>
      <c r="L33" s="55">
        <f t="shared" si="2"/>
        <v>3.3742291896085392</v>
      </c>
      <c r="M33" s="51">
        <f t="shared" si="3"/>
        <v>93.987322729452018</v>
      </c>
      <c r="N33" s="94">
        <f t="shared" si="8"/>
        <v>2476816341.6458983</v>
      </c>
      <c r="O33" s="56">
        <f t="shared" si="9"/>
        <v>97.36155191906056</v>
      </c>
      <c r="P33" s="57">
        <f t="shared" si="10"/>
        <v>93.987322729452018</v>
      </c>
      <c r="R33" s="47"/>
      <c r="S33" s="47"/>
      <c r="T33" s="47"/>
    </row>
    <row r="34" spans="1:20" ht="12.75" customHeight="1" thickBot="1" x14ac:dyDescent="0.4">
      <c r="A34" s="49">
        <f>'New Vestas G27 60L'!O39</f>
        <v>617495042.15904045</v>
      </c>
      <c r="B34" s="48">
        <f>'New Vestas G27 60L'!T39</f>
        <v>116.28326933052243</v>
      </c>
      <c r="C34" s="50">
        <f t="shared" si="4"/>
        <v>8.7906334750141095</v>
      </c>
      <c r="D34" s="50">
        <f t="shared" si="5"/>
        <v>116.28326933052243</v>
      </c>
      <c r="E34" s="51">
        <f t="shared" si="6"/>
        <v>77.275236892038635</v>
      </c>
      <c r="F34" s="51">
        <f t="shared" si="6"/>
        <v>13521.798726194818</v>
      </c>
      <c r="G34" s="52">
        <f t="shared" si="7"/>
        <v>1022.203599960972</v>
      </c>
      <c r="H34" s="82" t="str">
        <f>"G27 Fit: S = " &amp; TEXT(I31,"0,00 E+00 ") &amp; " * N ^ -" &amp; TEXT(I28,"0,00")</f>
        <v>G27 Fit: S = 437 E+00  * N ^ -036</v>
      </c>
      <c r="I34" s="62"/>
      <c r="J34" s="51">
        <f t="shared" si="0"/>
        <v>9.3878259980630485</v>
      </c>
      <c r="K34" s="51">
        <f t="shared" si="1"/>
        <v>97.580939109686199</v>
      </c>
      <c r="L34" s="55">
        <f t="shared" si="2"/>
        <v>3.3515719633617413</v>
      </c>
      <c r="M34" s="51">
        <f t="shared" si="3"/>
        <v>94.229367146324464</v>
      </c>
      <c r="N34" s="94">
        <f t="shared" si="8"/>
        <v>2442451777.9071727</v>
      </c>
      <c r="O34" s="56">
        <f t="shared" si="9"/>
        <v>97.580939109686199</v>
      </c>
      <c r="P34" s="57">
        <f t="shared" si="10"/>
        <v>94.229367146324464</v>
      </c>
      <c r="R34" s="47"/>
      <c r="S34" s="47"/>
      <c r="T34" s="47"/>
    </row>
    <row r="35" spans="1:20" ht="12.75" customHeight="1" thickBot="1" x14ac:dyDescent="0.4">
      <c r="A35" s="49">
        <f>'New Vestas G27 60L'!O40</f>
        <v>661601830.88468611</v>
      </c>
      <c r="B35" s="48">
        <f>'New Vestas G27 60L'!T40</f>
        <v>112.50275980945165</v>
      </c>
      <c r="C35" s="50">
        <f t="shared" si="4"/>
        <v>8.8205966983915527</v>
      </c>
      <c r="D35" s="50">
        <f t="shared" si="5"/>
        <v>112.50275980945165</v>
      </c>
      <c r="E35" s="51">
        <f t="shared" si="6"/>
        <v>77.802926115675959</v>
      </c>
      <c r="F35" s="51">
        <f t="shared" si="6"/>
        <v>12656.870964743168</v>
      </c>
      <c r="G35" s="52">
        <f t="shared" si="7"/>
        <v>992.34147173518704</v>
      </c>
      <c r="H35" s="82" t="str">
        <f>"G27 Fit: N = " &amp; TEXT((1/I31)^(-1/I28),"0,00 E+00 ") &amp; " * S ^ -" &amp; TEXT(1/I28,"0,00")</f>
        <v>G27 Fit: N = 001 E+00  * S ^ -000</v>
      </c>
      <c r="I35" s="84"/>
      <c r="J35" s="51">
        <f t="shared" si="0"/>
        <v>9.3816722117993248</v>
      </c>
      <c r="K35" s="51">
        <f t="shared" si="1"/>
        <v>97.803434983957288</v>
      </c>
      <c r="L35" s="55">
        <f t="shared" si="2"/>
        <v>3.32862010486964</v>
      </c>
      <c r="M35" s="51">
        <f t="shared" si="3"/>
        <v>94.474814879087646</v>
      </c>
      <c r="N35" s="94">
        <f t="shared" si="8"/>
        <v>2408087214.1684556</v>
      </c>
      <c r="O35" s="56">
        <f t="shared" si="9"/>
        <v>97.803434983957288</v>
      </c>
      <c r="P35" s="57">
        <f t="shared" si="10"/>
        <v>94.474814879087646</v>
      </c>
      <c r="R35" s="47"/>
      <c r="S35" s="47"/>
      <c r="T35" s="47"/>
    </row>
    <row r="36" spans="1:20" ht="12.75" customHeight="1" x14ac:dyDescent="0.35">
      <c r="A36" s="49">
        <f>'New Vestas G27 60L'!O41</f>
        <v>882135774.51291502</v>
      </c>
      <c r="B36" s="48">
        <f>'New Vestas G27 60L'!T41</f>
        <v>110.77104254496116</v>
      </c>
      <c r="C36" s="50">
        <f t="shared" si="4"/>
        <v>8.9455354349998526</v>
      </c>
      <c r="D36" s="50">
        <f t="shared" si="5"/>
        <v>110.77104254496116</v>
      </c>
      <c r="E36" s="51">
        <f t="shared" si="6"/>
        <v>80.022604218837998</v>
      </c>
      <c r="F36" s="51">
        <f t="shared" si="6"/>
        <v>12270.223866497596</v>
      </c>
      <c r="G36" s="52">
        <f t="shared" si="7"/>
        <v>990.90628625782631</v>
      </c>
      <c r="H36" s="83"/>
      <c r="I36" s="83"/>
      <c r="J36" s="51">
        <f t="shared" si="0"/>
        <v>9.3754299739174272</v>
      </c>
      <c r="K36" s="51">
        <f t="shared" si="1"/>
        <v>98.029128908871201</v>
      </c>
      <c r="L36" s="55">
        <f t="shared" si="2"/>
        <v>3.3053660928835069</v>
      </c>
      <c r="M36" s="51">
        <f t="shared" si="3"/>
        <v>94.723762815987698</v>
      </c>
      <c r="N36" s="94">
        <f t="shared" si="8"/>
        <v>2373722650.4297352</v>
      </c>
      <c r="O36" s="56">
        <f t="shared" si="9"/>
        <v>98.029128908871201</v>
      </c>
      <c r="P36" s="57">
        <f t="shared" si="10"/>
        <v>94.723762815987698</v>
      </c>
      <c r="R36" s="47"/>
      <c r="S36" s="47"/>
      <c r="T36" s="47"/>
    </row>
    <row r="37" spans="1:20" ht="12.75" customHeight="1" x14ac:dyDescent="0.35">
      <c r="A37" s="49">
        <f>'New Vestas G27 60L'!O42</f>
        <v>1014456140.6898522</v>
      </c>
      <c r="B37" s="48">
        <f>'New Vestas G27 60L'!T42</f>
        <v>107.81980608012526</v>
      </c>
      <c r="C37" s="50">
        <f t="shared" si="4"/>
        <v>9.0062332753534644</v>
      </c>
      <c r="D37" s="50">
        <f t="shared" si="5"/>
        <v>107.81980608012526</v>
      </c>
      <c r="E37" s="51">
        <f t="shared" si="6"/>
        <v>81.112237810083997</v>
      </c>
      <c r="F37" s="51">
        <f t="shared" si="6"/>
        <v>11625.110583155816</v>
      </c>
      <c r="G37" s="52">
        <f t="shared" si="7"/>
        <v>971.05032526098194</v>
      </c>
      <c r="H37" s="95">
        <f>1/I28</f>
        <v>2.7657979204709551E-2</v>
      </c>
      <c r="I37" s="85">
        <f>I31-I30</f>
        <v>27.672448134849276</v>
      </c>
      <c r="J37" s="51">
        <f t="shared" si="0"/>
        <v>9.3690967045671503</v>
      </c>
      <c r="K37" s="51">
        <f t="shared" si="1"/>
        <v>98.258114161315007</v>
      </c>
      <c r="L37" s="55">
        <f t="shared" si="2"/>
        <v>3.281802129271294</v>
      </c>
      <c r="M37" s="51">
        <f t="shared" si="3"/>
        <v>94.976312032043708</v>
      </c>
      <c r="N37" s="94">
        <f t="shared" si="8"/>
        <v>2339358086.6910086</v>
      </c>
      <c r="O37" s="56">
        <f t="shared" si="9"/>
        <v>98.258114161315007</v>
      </c>
      <c r="P37" s="57">
        <f t="shared" si="10"/>
        <v>94.976312032043708</v>
      </c>
      <c r="R37" s="47"/>
      <c r="S37" s="47"/>
      <c r="T37" s="47"/>
    </row>
    <row r="38" spans="1:20" ht="12.75" customHeight="1" x14ac:dyDescent="0.35">
      <c r="A38" s="49">
        <f>'New Vestas G27 60L'!O43</f>
        <v>441067887.25645751</v>
      </c>
      <c r="B38" s="48">
        <f>'New Vestas G27 60L'!T43</f>
        <v>123.47843261256035</v>
      </c>
      <c r="C38" s="50">
        <f t="shared" si="4"/>
        <v>8.6445054393358713</v>
      </c>
      <c r="D38" s="50">
        <f t="shared" si="5"/>
        <v>123.47843261256035</v>
      </c>
      <c r="E38" s="51">
        <f t="shared" si="6"/>
        <v>74.727474290707463</v>
      </c>
      <c r="F38" s="51">
        <f t="shared" si="6"/>
        <v>15246.923320454609</v>
      </c>
      <c r="G38" s="52">
        <f t="shared" si="7"/>
        <v>1067.4099823599458</v>
      </c>
      <c r="H38" s="95">
        <f>((1/I27)-(1/I29))/2</f>
        <v>2.4736788057317695E-3</v>
      </c>
      <c r="I38" s="85">
        <f>I32-I31</f>
        <v>27.672448134849276</v>
      </c>
      <c r="J38" s="51">
        <f t="shared" si="0"/>
        <v>9.3626697093568882</v>
      </c>
      <c r="K38" s="51">
        <f t="shared" si="1"/>
        <v>98.49048815952699</v>
      </c>
      <c r="L38" s="55">
        <f t="shared" si="2"/>
        <v>3.2579201264786075</v>
      </c>
      <c r="M38" s="51">
        <f t="shared" si="3"/>
        <v>95.232568033048381</v>
      </c>
      <c r="N38" s="94">
        <f t="shared" si="8"/>
        <v>2304993522.952291</v>
      </c>
      <c r="O38" s="56">
        <f t="shared" si="9"/>
        <v>98.49048815952699</v>
      </c>
      <c r="P38" s="57">
        <f t="shared" si="10"/>
        <v>95.232568033048381</v>
      </c>
      <c r="R38" s="47"/>
      <c r="S38" s="47"/>
      <c r="T38" s="47"/>
    </row>
    <row r="39" spans="1:20" ht="12.75" customHeight="1" x14ac:dyDescent="0.35">
      <c r="A39" s="49">
        <f>'New Vestas G27 60L'!O44</f>
        <v>485174675.98210317</v>
      </c>
      <c r="B39" s="48">
        <f>'New Vestas G27 60L'!T44</f>
        <v>121.5759826600215</v>
      </c>
      <c r="C39" s="50">
        <f t="shared" si="4"/>
        <v>8.6858981244940949</v>
      </c>
      <c r="D39" s="50">
        <f t="shared" si="5"/>
        <v>121.5759826600215</v>
      </c>
      <c r="E39" s="51">
        <f t="shared" si="6"/>
        <v>75.44482622909004</v>
      </c>
      <c r="F39" s="51">
        <f t="shared" si="6"/>
        <v>14780.719559749847</v>
      </c>
      <c r="G39" s="52">
        <f t="shared" si="7"/>
        <v>1055.9965997702072</v>
      </c>
      <c r="H39" s="86"/>
      <c r="I39" s="86"/>
      <c r="J39" s="51">
        <f t="shared" si="0"/>
        <v>9.3561461724710249</v>
      </c>
      <c r="K39" s="51">
        <f t="shared" si="1"/>
        <v>98.726352711943491</v>
      </c>
      <c r="L39" s="55">
        <f t="shared" si="2"/>
        <v>3.2337116944049442</v>
      </c>
      <c r="M39" s="51">
        <f t="shared" si="3"/>
        <v>95.492641017538546</v>
      </c>
      <c r="N39" s="94">
        <f t="shared" si="8"/>
        <v>2270628959.2135673</v>
      </c>
      <c r="O39" s="56">
        <f t="shared" si="9"/>
        <v>98.726352711943491</v>
      </c>
      <c r="P39" s="57">
        <f t="shared" si="10"/>
        <v>95.492641017538546</v>
      </c>
      <c r="R39" s="47"/>
      <c r="S39" s="47"/>
      <c r="T39" s="47"/>
    </row>
    <row r="40" spans="1:20" ht="12.75" customHeight="1" x14ac:dyDescent="0.35">
      <c r="A40" s="49">
        <f>'New Vestas G27 60L'!O45</f>
        <v>529281464.70774895</v>
      </c>
      <c r="B40" s="48">
        <f>'New Vestas G27 60L'!T45</f>
        <v>120.45402499570373</v>
      </c>
      <c r="C40" s="50">
        <f t="shared" si="4"/>
        <v>8.7236866853834947</v>
      </c>
      <c r="D40" s="50">
        <f t="shared" si="5"/>
        <v>120.45402499570373</v>
      </c>
      <c r="E40" s="51">
        <f t="shared" si="6"/>
        <v>76.102709384737267</v>
      </c>
      <c r="F40" s="51">
        <f t="shared" si="6"/>
        <v>14509.172137665621</v>
      </c>
      <c r="G40" s="52">
        <f t="shared" si="7"/>
        <v>1050.8031740558713</v>
      </c>
      <c r="H40" s="86" t="b">
        <f>H37=H38</f>
        <v>0</v>
      </c>
      <c r="I40" s="86"/>
      <c r="J40" s="51">
        <f t="shared" si="0"/>
        <v>9.3495231492624793</v>
      </c>
      <c r="K40" s="51">
        <f t="shared" si="1"/>
        <v>98.965814285022475</v>
      </c>
      <c r="L40" s="55">
        <f t="shared" si="2"/>
        <v>3.209168126681671</v>
      </c>
      <c r="M40" s="51">
        <f t="shared" si="3"/>
        <v>95.7566461583408</v>
      </c>
      <c r="N40" s="94">
        <f t="shared" si="8"/>
        <v>2236264395.4748464</v>
      </c>
      <c r="O40" s="56">
        <f t="shared" si="9"/>
        <v>98.965814285022475</v>
      </c>
      <c r="P40" s="57">
        <f t="shared" si="10"/>
        <v>95.7566461583408</v>
      </c>
      <c r="R40" s="47"/>
      <c r="S40" s="47"/>
      <c r="T40" s="47"/>
    </row>
    <row r="41" spans="1:20" ht="12.75" customHeight="1" x14ac:dyDescent="0.35">
      <c r="A41" s="49">
        <f>'New Vestas G27 60L'!O46</f>
        <v>573388253.43339479</v>
      </c>
      <c r="B41" s="48">
        <f>'New Vestas G27 60L'!T46</f>
        <v>119.21011541135141</v>
      </c>
      <c r="C41" s="50">
        <f t="shared" si="4"/>
        <v>8.7584487916427083</v>
      </c>
      <c r="D41" s="50">
        <f t="shared" si="5"/>
        <v>119.21011541135141</v>
      </c>
      <c r="E41" s="51">
        <f t="shared" si="6"/>
        <v>76.710425235827614</v>
      </c>
      <c r="F41" s="51">
        <f t="shared" si="6"/>
        <v>14211.051616387724</v>
      </c>
      <c r="G41" s="52">
        <f t="shared" si="7"/>
        <v>1044.0956912761385</v>
      </c>
      <c r="H41" s="86"/>
      <c r="I41" s="86"/>
      <c r="J41" s="51">
        <f t="shared" si="0"/>
        <v>9.3427975582716307</v>
      </c>
      <c r="K41" s="51">
        <f t="shared" si="1"/>
        <v>99.208984291806757</v>
      </c>
      <c r="L41" s="55">
        <f t="shared" si="2"/>
        <v>3.1842803863419147</v>
      </c>
      <c r="M41" s="51">
        <f t="shared" si="3"/>
        <v>96.024703905464847</v>
      </c>
      <c r="N41" s="94">
        <f t="shared" si="8"/>
        <v>2201899831.7361245</v>
      </c>
      <c r="O41" s="56">
        <f t="shared" si="9"/>
        <v>99.208984291806757</v>
      </c>
      <c r="P41" s="57">
        <f t="shared" si="10"/>
        <v>96.024703905464847</v>
      </c>
      <c r="R41" s="47"/>
      <c r="S41" s="47"/>
      <c r="T41" s="47"/>
    </row>
    <row r="42" spans="1:20" ht="12.75" customHeight="1" x14ac:dyDescent="0.35">
      <c r="A42" s="49">
        <f>'New Vestas G27 60L'!O47</f>
        <v>617495042.15904045</v>
      </c>
      <c r="B42" s="48">
        <f>'New Vestas G27 60L'!T47</f>
        <v>118.81986926724086</v>
      </c>
      <c r="C42" s="50">
        <f t="shared" si="4"/>
        <v>8.7906334750141095</v>
      </c>
      <c r="D42" s="50">
        <f t="shared" si="5"/>
        <v>118.81986926724086</v>
      </c>
      <c r="E42" s="51">
        <f t="shared" si="6"/>
        <v>77.275236892038635</v>
      </c>
      <c r="F42" s="51">
        <f t="shared" si="6"/>
        <v>14118.161332684209</v>
      </c>
      <c r="G42" s="52">
        <f t="shared" si="7"/>
        <v>1044.5019202774076</v>
      </c>
      <c r="H42" s="86"/>
      <c r="I42" s="86"/>
      <c r="J42" s="51">
        <f t="shared" si="0"/>
        <v>9.3359661726174732</v>
      </c>
      <c r="K42" s="51">
        <f t="shared" si="1"/>
        <v>99.455979403184756</v>
      </c>
      <c r="L42" s="55">
        <f t="shared" si="2"/>
        <v>3.1590390908775352</v>
      </c>
      <c r="M42" s="51">
        <f t="shared" si="3"/>
        <v>96.296940312307214</v>
      </c>
      <c r="N42" s="94">
        <f t="shared" si="8"/>
        <v>2167535267.9974012</v>
      </c>
      <c r="O42" s="56">
        <f t="shared" si="9"/>
        <v>99.455979403184756</v>
      </c>
      <c r="P42" s="57">
        <f t="shared" si="10"/>
        <v>96.296940312307214</v>
      </c>
      <c r="R42" s="47"/>
      <c r="S42" s="47"/>
      <c r="T42" s="47"/>
    </row>
    <row r="43" spans="1:20" ht="12.75" customHeight="1" thickBot="1" x14ac:dyDescent="0.4">
      <c r="A43" s="49">
        <f>'New Vestas G27 60L'!O48</f>
        <v>749815408.33597767</v>
      </c>
      <c r="B43" s="48">
        <f>'New Vestas G27 60L'!T48</f>
        <v>116.35644048254314</v>
      </c>
      <c r="C43" s="50">
        <f t="shared" si="4"/>
        <v>8.8749543607141455</v>
      </c>
      <c r="D43" s="50">
        <f t="shared" si="5"/>
        <v>116.35644048254314</v>
      </c>
      <c r="E43" s="51">
        <f t="shared" si="6"/>
        <v>78.764814904759021</v>
      </c>
      <c r="F43" s="51">
        <f t="shared" si="6"/>
        <v>13538.821241767602</v>
      </c>
      <c r="G43" s="52">
        <f t="shared" si="7"/>
        <v>1032.6580988577221</v>
      </c>
      <c r="H43" s="86"/>
      <c r="I43" s="82" t="str">
        <f>"G27 Fit: N = " &amp; TEXT((1/J39)^(-1/J36),"0,00 E+00 ") &amp; " * S ^ -" &amp; TEXT(1/J36,"0,00")</f>
        <v>G27 Fit: N = 001 E+00  * S ^ -000</v>
      </c>
      <c r="J43" s="51">
        <f t="shared" si="0"/>
        <v>9.3290256107008052</v>
      </c>
      <c r="K43" s="51">
        <f t="shared" si="1"/>
        <v>99.706921884025348</v>
      </c>
      <c r="L43" s="55">
        <f t="shared" si="2"/>
        <v>3.1334344966849983</v>
      </c>
      <c r="M43" s="51">
        <f t="shared" si="3"/>
        <v>96.57348738734035</v>
      </c>
      <c r="N43" s="94">
        <f t="shared" si="8"/>
        <v>2133170704.2586782</v>
      </c>
      <c r="O43" s="56">
        <f t="shared" si="9"/>
        <v>99.706921884025348</v>
      </c>
      <c r="P43" s="57">
        <f t="shared" si="10"/>
        <v>96.57348738734035</v>
      </c>
      <c r="R43" s="47"/>
      <c r="S43" s="47"/>
      <c r="T43" s="47"/>
    </row>
    <row r="44" spans="1:20" ht="12.75" customHeight="1" x14ac:dyDescent="0.35">
      <c r="A44" s="49">
        <f>'New Vestas G27 60L'!O49</f>
        <v>1014456140.6898522</v>
      </c>
      <c r="B44" s="48">
        <f>'New Vestas G27 60L'!T49</f>
        <v>114.21008668993522</v>
      </c>
      <c r="C44" s="50">
        <f t="shared" si="4"/>
        <v>9.0062332753534644</v>
      </c>
      <c r="D44" s="50">
        <f t="shared" si="5"/>
        <v>114.21008668993522</v>
      </c>
      <c r="E44" s="51">
        <f t="shared" si="6"/>
        <v>81.112237810083997</v>
      </c>
      <c r="F44" s="51">
        <f t="shared" si="6"/>
        <v>13043.94390172252</v>
      </c>
      <c r="G44" s="52">
        <f t="shared" si="7"/>
        <v>1028.6026831278984</v>
      </c>
      <c r="H44" s="86" t="s">
        <v>83</v>
      </c>
      <c r="I44" s="86">
        <f>(1/$I$31)^(-1/$I$28)</f>
        <v>1.1831248063515161</v>
      </c>
      <c r="J44" s="51">
        <f t="shared" si="0"/>
        <v>9.3219723261523875</v>
      </c>
      <c r="K44" s="51">
        <f t="shared" si="1"/>
        <v>99.961939956611673</v>
      </c>
      <c r="L44" s="55">
        <f t="shared" si="2"/>
        <v>3.1074564829104272</v>
      </c>
      <c r="M44" s="51">
        <f t="shared" si="3"/>
        <v>96.854483473701251</v>
      </c>
      <c r="N44" s="94">
        <f t="shared" si="8"/>
        <v>2098806140.5199583</v>
      </c>
      <c r="O44" s="56">
        <f t="shared" si="9"/>
        <v>99.961939956611673</v>
      </c>
      <c r="P44" s="57">
        <f t="shared" si="10"/>
        <v>96.854483473701251</v>
      </c>
      <c r="R44" s="47"/>
      <c r="S44" s="47"/>
      <c r="T44" s="47"/>
    </row>
    <row r="45" spans="1:20" ht="12.75" customHeight="1" x14ac:dyDescent="0.35">
      <c r="A45" s="49"/>
      <c r="B45" s="48"/>
      <c r="C45" s="50"/>
      <c r="D45" s="50"/>
      <c r="E45" s="51"/>
      <c r="F45" s="51"/>
      <c r="G45" s="52"/>
      <c r="H45" s="86" t="s">
        <v>82</v>
      </c>
      <c r="I45" s="86">
        <f>1/$I$28</f>
        <v>2.7657979204709551E-2</v>
      </c>
      <c r="J45" s="51">
        <f t="shared" si="0"/>
        <v>9.3148025969513135</v>
      </c>
      <c r="K45" s="51">
        <f t="shared" si="1"/>
        <v>100.22116819407643</v>
      </c>
      <c r="L45" s="55">
        <f t="shared" si="2"/>
        <v>3.0810945347153713</v>
      </c>
      <c r="M45" s="51">
        <f t="shared" si="3"/>
        <v>97.14007365936105</v>
      </c>
      <c r="N45" s="94">
        <f t="shared" si="8"/>
        <v>2064441576.7812359</v>
      </c>
      <c r="O45" s="56">
        <f t="shared" si="9"/>
        <v>100.22116819407643</v>
      </c>
      <c r="P45" s="57">
        <f t="shared" si="10"/>
        <v>97.14007365936105</v>
      </c>
      <c r="R45" s="47"/>
      <c r="S45" s="47"/>
      <c r="T45" s="47"/>
    </row>
    <row r="46" spans="1:20" ht="12.75" customHeight="1" x14ac:dyDescent="0.35">
      <c r="A46" s="49"/>
      <c r="B46" s="48"/>
      <c r="C46" s="50"/>
      <c r="D46" s="50"/>
      <c r="E46" s="51"/>
      <c r="F46" s="51"/>
      <c r="G46" s="52"/>
      <c r="H46" s="86"/>
      <c r="I46" s="86"/>
      <c r="J46" s="51">
        <f t="shared" si="0"/>
        <v>9.3075125136299501</v>
      </c>
      <c r="K46" s="51">
        <f t="shared" si="1"/>
        <v>100.48474794686337</v>
      </c>
      <c r="L46" s="55">
        <f t="shared" si="2"/>
        <v>3.0543377259985456</v>
      </c>
      <c r="M46" s="51">
        <f t="shared" si="3"/>
        <v>97.430410220864815</v>
      </c>
      <c r="N46" s="94">
        <f t="shared" si="8"/>
        <v>2030077013.0425115</v>
      </c>
      <c r="O46" s="56">
        <f t="shared" si="9"/>
        <v>100.48474794686337</v>
      </c>
      <c r="P46" s="57">
        <f t="shared" si="10"/>
        <v>97.430410220864815</v>
      </c>
      <c r="R46" s="47"/>
      <c r="S46" s="47"/>
      <c r="T46" s="47"/>
    </row>
    <row r="47" spans="1:20" ht="12.75" customHeight="1" x14ac:dyDescent="0.35">
      <c r="A47" s="49"/>
      <c r="B47" s="48"/>
      <c r="C47" s="50"/>
      <c r="D47" s="50"/>
      <c r="E47" s="51"/>
      <c r="F47" s="51"/>
      <c r="G47" s="52"/>
      <c r="H47" s="86"/>
      <c r="I47" s="86"/>
      <c r="J47" s="51">
        <f t="shared" si="0"/>
        <v>9.3000979664719221</v>
      </c>
      <c r="K47" s="51">
        <f t="shared" si="1"/>
        <v>100.75282780559598</v>
      </c>
      <c r="L47" s="55">
        <f t="shared" si="2"/>
        <v>3.0271747016271124</v>
      </c>
      <c r="M47" s="51">
        <f t="shared" si="3"/>
        <v>97.725653103968867</v>
      </c>
      <c r="N47" s="94">
        <f t="shared" si="8"/>
        <v>1995712449.3037841</v>
      </c>
      <c r="O47" s="56">
        <f t="shared" si="9"/>
        <v>100.75282780559598</v>
      </c>
      <c r="P47" s="57">
        <f t="shared" si="10"/>
        <v>97.725653103968867</v>
      </c>
      <c r="R47" s="47"/>
      <c r="S47" s="47"/>
      <c r="T47" s="47"/>
    </row>
    <row r="48" spans="1:20" ht="12.75" customHeight="1" x14ac:dyDescent="0.35">
      <c r="A48" s="49"/>
      <c r="B48" s="48"/>
      <c r="C48" s="50"/>
      <c r="D48" s="50"/>
      <c r="E48" s="51"/>
      <c r="F48" s="51"/>
      <c r="G48" s="52"/>
      <c r="H48" s="86"/>
      <c r="I48" s="86"/>
      <c r="J48" s="51">
        <f t="shared" si="0"/>
        <v>9.2925546315981489</v>
      </c>
      <c r="K48" s="51">
        <f t="shared" si="1"/>
        <v>101.02556410414991</v>
      </c>
      <c r="L48" s="55">
        <f t="shared" si="2"/>
        <v>2.9995936592534584</v>
      </c>
      <c r="M48" s="51">
        <f t="shared" si="3"/>
        <v>98.025970444896444</v>
      </c>
      <c r="N48" s="94">
        <f t="shared" si="8"/>
        <v>1961347885.5650704</v>
      </c>
      <c r="O48" s="56">
        <f t="shared" si="9"/>
        <v>101.02556410414991</v>
      </c>
      <c r="P48" s="57">
        <f t="shared" si="10"/>
        <v>98.025970444896444</v>
      </c>
      <c r="R48" s="47"/>
      <c r="S48" s="47"/>
      <c r="T48" s="47"/>
    </row>
    <row r="49" spans="1:20" ht="12.75" customHeight="1" x14ac:dyDescent="0.35">
      <c r="A49" s="49"/>
      <c r="B49" s="48"/>
      <c r="C49" s="50"/>
      <c r="D49" s="50"/>
      <c r="E49" s="51"/>
      <c r="F49" s="51"/>
      <c r="G49" s="52"/>
      <c r="H49" s="86"/>
      <c r="I49" s="86"/>
      <c r="J49" s="51">
        <f t="shared" si="0"/>
        <v>9.2848779558230028</v>
      </c>
      <c r="K49" s="51">
        <f t="shared" si="1"/>
        <v>101.30312146719251</v>
      </c>
      <c r="L49" s="55">
        <f t="shared" si="2"/>
        <v>2.9715823308222591</v>
      </c>
      <c r="M49" s="51">
        <f t="shared" si="3"/>
        <v>98.331539136370253</v>
      </c>
      <c r="N49" s="94">
        <f t="shared" si="8"/>
        <v>1926983321.8263533</v>
      </c>
      <c r="O49" s="56">
        <f t="shared" si="9"/>
        <v>101.30312146719251</v>
      </c>
      <c r="P49" s="57">
        <f t="shared" si="10"/>
        <v>98.331539136370253</v>
      </c>
      <c r="R49" s="47"/>
      <c r="S49" s="47"/>
      <c r="T49" s="47"/>
    </row>
    <row r="50" spans="1:20" ht="12.75" customHeight="1" x14ac:dyDescent="0.35">
      <c r="A50" s="49"/>
      <c r="B50" s="48"/>
      <c r="C50" s="50"/>
      <c r="D50" s="50"/>
      <c r="E50" s="51"/>
      <c r="F50" s="51"/>
      <c r="G50" s="52"/>
      <c r="H50" s="86"/>
      <c r="I50" s="86"/>
      <c r="J50" s="51">
        <f t="shared" si="0"/>
        <v>9.2770631401477814</v>
      </c>
      <c r="K50" s="51">
        <f t="shared" si="1"/>
        <v>101.58567340699187</v>
      </c>
      <c r="L50" s="55">
        <f t="shared" si="2"/>
        <v>2.9431279639087085</v>
      </c>
      <c r="M50" s="51">
        <f t="shared" si="3"/>
        <v>98.642545443083165</v>
      </c>
      <c r="N50" s="94">
        <f t="shared" si="8"/>
        <v>1892618758.0876288</v>
      </c>
      <c r="O50" s="56">
        <f t="shared" si="9"/>
        <v>101.58567340699187</v>
      </c>
      <c r="P50" s="57">
        <f t="shared" si="10"/>
        <v>98.642545443083165</v>
      </c>
      <c r="R50" s="47"/>
      <c r="S50" s="47"/>
      <c r="T50" s="47"/>
    </row>
    <row r="51" spans="1:20" ht="12.75" customHeight="1" x14ac:dyDescent="0.35">
      <c r="A51" s="49"/>
      <c r="B51" s="48"/>
      <c r="C51" s="50"/>
      <c r="D51" s="50"/>
      <c r="E51" s="51"/>
      <c r="F51" s="51"/>
      <c r="G51" s="52"/>
      <c r="H51" s="86"/>
      <c r="I51" s="86"/>
      <c r="J51" s="51">
        <f t="shared" si="0"/>
        <v>9.2691051217416494</v>
      </c>
      <c r="K51" s="51">
        <f t="shared" si="1"/>
        <v>101.87340297491261</v>
      </c>
      <c r="L51" s="55">
        <f t="shared" si="2"/>
        <v>2.9142173030742682</v>
      </c>
      <c r="M51" s="51">
        <f t="shared" si="3"/>
        <v>98.959185671838341</v>
      </c>
      <c r="N51" s="94">
        <f t="shared" si="8"/>
        <v>1858254194.3488975</v>
      </c>
      <c r="O51" s="56">
        <f t="shared" si="9"/>
        <v>101.87340297491261</v>
      </c>
      <c r="P51" s="57">
        <f t="shared" si="10"/>
        <v>98.959185671838341</v>
      </c>
      <c r="R51" s="47"/>
      <c r="S51" s="47"/>
      <c r="T51" s="47"/>
    </row>
    <row r="52" spans="1:20" ht="12.75" customHeight="1" x14ac:dyDescent="0.35">
      <c r="A52" s="49"/>
      <c r="B52" s="48"/>
      <c r="C52" s="50"/>
      <c r="D52" s="50"/>
      <c r="E52" s="51"/>
      <c r="F52" s="51"/>
      <c r="G52" s="52"/>
      <c r="H52" s="86"/>
      <c r="I52" s="86"/>
      <c r="J52" s="51">
        <f t="shared" si="0"/>
        <v>9.2609985542406292</v>
      </c>
      <c r="K52" s="51">
        <f t="shared" si="1"/>
        <v>102.16650347372416</v>
      </c>
      <c r="L52" s="55">
        <f t="shared" si="2"/>
        <v>2.8848365714835751</v>
      </c>
      <c r="M52" s="51">
        <f t="shared" si="3"/>
        <v>99.281666902240588</v>
      </c>
      <c r="N52" s="94">
        <f t="shared" si="8"/>
        <v>1823889630.6101799</v>
      </c>
      <c r="O52" s="56">
        <f t="shared" si="9"/>
        <v>102.16650347372416</v>
      </c>
      <c r="P52" s="57">
        <f t="shared" si="10"/>
        <v>99.281666902240588</v>
      </c>
      <c r="R52" s="47"/>
      <c r="S52" s="47"/>
      <c r="T52" s="47"/>
    </row>
    <row r="53" spans="1:20" ht="12.75" customHeight="1" x14ac:dyDescent="0.35">
      <c r="A53" s="49"/>
      <c r="B53" s="48"/>
      <c r="C53" s="50"/>
      <c r="D53" s="50"/>
      <c r="E53" s="51"/>
      <c r="F53" s="51"/>
      <c r="G53" s="52"/>
      <c r="H53" s="86"/>
      <c r="I53" s="86"/>
      <c r="J53" s="51">
        <f t="shared" si="0"/>
        <v>9.2527377861726308</v>
      </c>
      <c r="K53" s="51">
        <f t="shared" si="1"/>
        <v>102.46517923766402</v>
      </c>
      <c r="L53" s="55">
        <f t="shared" si="2"/>
        <v>2.8549714530980155</v>
      </c>
      <c r="M53" s="51">
        <f t="shared" si="3"/>
        <v>99.610207784566001</v>
      </c>
      <c r="N53" s="94">
        <f t="shared" si="8"/>
        <v>1789525066.8714585</v>
      </c>
      <c r="O53" s="56">
        <f t="shared" si="9"/>
        <v>102.46517923766402</v>
      </c>
      <c r="P53" s="57">
        <f t="shared" si="10"/>
        <v>99.610207784566001</v>
      </c>
      <c r="R53" s="47"/>
      <c r="S53" s="47"/>
      <c r="T53" s="47"/>
    </row>
    <row r="54" spans="1:20" ht="12.75" customHeight="1" x14ac:dyDescent="0.35">
      <c r="A54" s="49"/>
      <c r="B54" s="48"/>
      <c r="C54" s="50"/>
      <c r="D54" s="50"/>
      <c r="E54" s="51"/>
      <c r="F54" s="51"/>
      <c r="G54" s="52"/>
      <c r="H54" s="86"/>
      <c r="I54" s="86"/>
      <c r="J54" s="51">
        <f t="shared" si="0"/>
        <v>9.244316837290512</v>
      </c>
      <c r="K54" s="51">
        <f t="shared" si="1"/>
        <v>102.76964648813777</v>
      </c>
      <c r="L54" s="55">
        <f t="shared" si="2"/>
        <v>2.8246070758523301</v>
      </c>
      <c r="M54" s="51">
        <f t="shared" si="3"/>
        <v>99.945039412285439</v>
      </c>
      <c r="N54" s="94">
        <f t="shared" si="8"/>
        <v>1755160503.132741</v>
      </c>
      <c r="O54" s="56">
        <f t="shared" si="9"/>
        <v>102.76964648813777</v>
      </c>
      <c r="P54" s="57">
        <f t="shared" si="10"/>
        <v>99.945039412285439</v>
      </c>
      <c r="R54" s="47"/>
      <c r="S54" s="47"/>
      <c r="T54" s="47"/>
    </row>
    <row r="55" spans="1:20" ht="12.75" customHeight="1" x14ac:dyDescent="0.35">
      <c r="A55" s="49"/>
      <c r="B55" s="48"/>
      <c r="C55" s="50"/>
      <c r="D55" s="50"/>
      <c r="E55" s="51"/>
      <c r="F55" s="51"/>
      <c r="G55" s="52"/>
      <c r="H55" s="86"/>
      <c r="I55" s="86"/>
      <c r="J55" s="51">
        <f t="shared" si="0"/>
        <v>9.2357293725648706</v>
      </c>
      <c r="K55" s="51">
        <f t="shared" si="1"/>
        <v>103.08013427403426</v>
      </c>
      <c r="L55" s="55">
        <f t="shared" si="2"/>
        <v>2.7937279963342552</v>
      </c>
      <c r="M55" s="51">
        <f t="shared" si="3"/>
        <v>100.28640627770001</v>
      </c>
      <c r="N55" s="94">
        <f t="shared" si="8"/>
        <v>1720795939.3940203</v>
      </c>
      <c r="O55" s="56">
        <f t="shared" si="9"/>
        <v>103.08013427403426</v>
      </c>
      <c r="P55" s="57">
        <f t="shared" si="10"/>
        <v>100.28640627770001</v>
      </c>
      <c r="R55" s="47"/>
      <c r="S55" s="47"/>
      <c r="T55" s="47"/>
    </row>
    <row r="56" spans="1:20" ht="12.75" customHeight="1" x14ac:dyDescent="0.35">
      <c r="A56" s="49"/>
      <c r="B56" s="48"/>
      <c r="C56" s="50"/>
      <c r="D56" s="50"/>
      <c r="E56" s="51"/>
      <c r="F56" s="51"/>
      <c r="G56" s="52"/>
      <c r="H56" s="86"/>
      <c r="I56" s="86"/>
      <c r="J56" s="51">
        <f t="shared" si="0"/>
        <v>9.2269686735533263</v>
      </c>
      <c r="K56" s="51">
        <f t="shared" si="1"/>
        <v>103.39688550689556</v>
      </c>
      <c r="L56" s="55">
        <f t="shared" si="2"/>
        <v>2.7623181866313979</v>
      </c>
      <c r="M56" s="51">
        <f t="shared" si="3"/>
        <v>100.63456732026415</v>
      </c>
      <c r="N56" s="94">
        <f t="shared" si="8"/>
        <v>1686431375.6552958</v>
      </c>
      <c r="O56" s="56">
        <f t="shared" si="9"/>
        <v>103.39688550689556</v>
      </c>
      <c r="P56" s="57">
        <f t="shared" si="10"/>
        <v>100.63456732026415</v>
      </c>
      <c r="R56" s="47"/>
      <c r="S56" s="47"/>
      <c r="T56" s="47"/>
    </row>
    <row r="57" spans="1:20" ht="12.75" customHeight="1" x14ac:dyDescent="0.35">
      <c r="A57" s="49"/>
      <c r="B57" s="48"/>
      <c r="C57" s="50"/>
      <c r="D57" s="50"/>
      <c r="E57" s="51"/>
      <c r="F57" s="51"/>
      <c r="G57" s="52"/>
      <c r="H57" s="86"/>
      <c r="I57" s="86"/>
      <c r="J57" s="51">
        <f t="shared" si="0"/>
        <v>9.2180276068221101</v>
      </c>
      <c r="K57" s="51">
        <f t="shared" si="1"/>
        <v>103.72015810266402</v>
      </c>
      <c r="L57" s="55">
        <f t="shared" si="2"/>
        <v>2.7303610241905858</v>
      </c>
      <c r="M57" s="51">
        <f t="shared" si="3"/>
        <v>100.98979707847343</v>
      </c>
      <c r="N57" s="94">
        <f t="shared" si="8"/>
        <v>1652066811.9165699</v>
      </c>
      <c r="O57" s="56">
        <f t="shared" si="9"/>
        <v>103.72015810266402</v>
      </c>
      <c r="P57" s="57">
        <f t="shared" si="10"/>
        <v>100.98979707847343</v>
      </c>
      <c r="R57" s="47"/>
      <c r="S57" s="47"/>
      <c r="T57" s="47"/>
    </row>
    <row r="58" spans="1:20" ht="12.75" customHeight="1" x14ac:dyDescent="0.35">
      <c r="A58" s="49"/>
      <c r="B58" s="48"/>
      <c r="C58" s="50"/>
      <c r="D58" s="50"/>
      <c r="E58" s="51"/>
      <c r="F58" s="51"/>
      <c r="G58" s="52"/>
      <c r="H58" s="86"/>
      <c r="I58" s="86"/>
      <c r="J58" s="51">
        <f t="shared" si="0"/>
        <v>9.2088985890481379</v>
      </c>
      <c r="K58" s="51">
        <f t="shared" si="1"/>
        <v>104.05022624344917</v>
      </c>
      <c r="L58" s="55">
        <f t="shared" si="2"/>
        <v>2.6978392857645241</v>
      </c>
      <c r="M58" s="51">
        <f t="shared" si="3"/>
        <v>101.35238695768464</v>
      </c>
      <c r="N58" s="94">
        <f t="shared" si="8"/>
        <v>1617702248.177851</v>
      </c>
      <c r="O58" s="56">
        <f t="shared" si="9"/>
        <v>104.05022624344917</v>
      </c>
      <c r="P58" s="57">
        <f t="shared" si="10"/>
        <v>101.35238695768464</v>
      </c>
      <c r="R58" s="47"/>
      <c r="S58" s="47"/>
      <c r="T58" s="47"/>
    </row>
    <row r="59" spans="1:20" ht="12.75" customHeight="1" x14ac:dyDescent="0.35">
      <c r="A59" s="49"/>
      <c r="B59" s="48"/>
      <c r="C59" s="50"/>
      <c r="D59" s="50"/>
      <c r="E59" s="51"/>
      <c r="F59" s="51"/>
      <c r="G59" s="52"/>
      <c r="H59" s="86"/>
      <c r="I59" s="86"/>
      <c r="J59" s="51">
        <f t="shared" si="0"/>
        <v>9.1995735483738184</v>
      </c>
      <c r="K59" s="51">
        <f t="shared" si="1"/>
        <v>104.38738177478064</v>
      </c>
      <c r="L59" s="55">
        <f t="shared" si="2"/>
        <v>2.6647351468110609</v>
      </c>
      <c r="M59" s="51">
        <f t="shared" si="3"/>
        <v>101.72264662796958</v>
      </c>
      <c r="N59" s="94">
        <f t="shared" si="8"/>
        <v>1583337684.4391291</v>
      </c>
      <c r="O59" s="56">
        <f t="shared" si="9"/>
        <v>104.38738177478064</v>
      </c>
      <c r="P59" s="57">
        <f t="shared" si="10"/>
        <v>101.72264662796958</v>
      </c>
      <c r="R59" s="47"/>
      <c r="S59" s="47"/>
      <c r="T59" s="47"/>
    </row>
    <row r="60" spans="1:20" ht="12.75" customHeight="1" x14ac:dyDescent="0.35">
      <c r="A60" s="49"/>
      <c r="B60" s="48"/>
      <c r="C60" s="50"/>
      <c r="D60" s="50"/>
      <c r="E60" s="51"/>
      <c r="F60" s="51"/>
      <c r="G60" s="52"/>
      <c r="H60" s="86"/>
      <c r="I60" s="86"/>
      <c r="J60" s="51">
        <f t="shared" si="0"/>
        <v>9.1900438815211327</v>
      </c>
      <c r="K60" s="51">
        <f t="shared" si="1"/>
        <v>104.73193575618876</v>
      </c>
      <c r="L60" s="55">
        <f t="shared" si="2"/>
        <v>2.6310301880792766</v>
      </c>
      <c r="M60" s="51">
        <f t="shared" si="3"/>
        <v>102.10090556810948</v>
      </c>
      <c r="N60" s="94">
        <f t="shared" si="8"/>
        <v>1548973120.7004077</v>
      </c>
      <c r="O60" s="56">
        <f t="shared" si="9"/>
        <v>104.73193575618876</v>
      </c>
      <c r="P60" s="57">
        <f t="shared" si="10"/>
        <v>102.10090556810948</v>
      </c>
      <c r="R60" s="47"/>
      <c r="S60" s="47"/>
      <c r="T60" s="47"/>
    </row>
    <row r="61" spans="1:20" ht="12.75" customHeight="1" x14ac:dyDescent="0.35">
      <c r="A61" s="49"/>
      <c r="B61" s="48"/>
      <c r="C61" s="50"/>
      <c r="D61" s="50"/>
      <c r="E61" s="51"/>
      <c r="F61" s="51"/>
      <c r="G61" s="52"/>
      <c r="H61" s="86"/>
      <c r="I61" s="86"/>
      <c r="J61" s="51">
        <f t="shared" si="0"/>
        <v>9.1803004060939966</v>
      </c>
      <c r="K61" s="51">
        <f t="shared" si="1"/>
        <v>105.08422018575681</v>
      </c>
      <c r="L61" s="55">
        <f t="shared" si="2"/>
        <v>2.5967054115861394</v>
      </c>
      <c r="M61" s="51">
        <f t="shared" si="3"/>
        <v>102.48751477417066</v>
      </c>
      <c r="N61" s="94">
        <f t="shared" si="8"/>
        <v>1514608556.9616828</v>
      </c>
      <c r="O61" s="56">
        <f t="shared" si="9"/>
        <v>105.08422018575681</v>
      </c>
      <c r="P61" s="57">
        <f t="shared" si="10"/>
        <v>102.48751477417066</v>
      </c>
      <c r="R61" s="47"/>
      <c r="S61" s="47"/>
      <c r="T61" s="47"/>
    </row>
    <row r="62" spans="1:20" ht="12.75" customHeight="1" x14ac:dyDescent="0.35">
      <c r="A62" s="49"/>
      <c r="B62" s="48"/>
      <c r="C62" s="50"/>
      <c r="D62" s="50"/>
      <c r="E62" s="51"/>
      <c r="F62" s="51"/>
      <c r="G62" s="52"/>
      <c r="H62" s="86"/>
      <c r="I62" s="86"/>
      <c r="J62" s="51">
        <f t="shared" si="0"/>
        <v>9.1703333074061799</v>
      </c>
      <c r="K62" s="51">
        <f t="shared" si="1"/>
        <v>105.44458992260729</v>
      </c>
      <c r="L62" s="55">
        <f t="shared" si="2"/>
        <v>2.5617412687868426</v>
      </c>
      <c r="M62" s="51">
        <f t="shared" si="3"/>
        <v>102.88284865382045</v>
      </c>
      <c r="N62" s="94">
        <f t="shared" si="8"/>
        <v>1480243993.2229588</v>
      </c>
      <c r="O62" s="56">
        <f t="shared" si="9"/>
        <v>105.44458992260729</v>
      </c>
      <c r="P62" s="57">
        <f t="shared" si="10"/>
        <v>102.88284865382045</v>
      </c>
      <c r="R62" s="47"/>
      <c r="S62" s="47"/>
      <c r="T62" s="47"/>
    </row>
    <row r="63" spans="1:20" ht="12.75" customHeight="1" x14ac:dyDescent="0.35">
      <c r="A63" s="49"/>
      <c r="B63" s="48"/>
      <c r="C63" s="50"/>
      <c r="D63" s="50"/>
      <c r="E63" s="51"/>
      <c r="F63" s="51"/>
      <c r="G63" s="52"/>
      <c r="H63" s="86"/>
      <c r="I63" s="86"/>
      <c r="J63" s="51">
        <f t="shared" si="0"/>
        <v>9.1601320790630272</v>
      </c>
      <c r="K63" s="51">
        <f t="shared" si="1"/>
        <v>105.81342483522502</v>
      </c>
      <c r="L63" s="55">
        <f t="shared" si="2"/>
        <v>2.5261177045091436</v>
      </c>
      <c r="M63" s="51">
        <f t="shared" si="3"/>
        <v>103.28730713071587</v>
      </c>
      <c r="N63" s="94">
        <f t="shared" si="8"/>
        <v>1445879429.4842374</v>
      </c>
      <c r="O63" s="56">
        <f t="shared" si="9"/>
        <v>105.81342483522502</v>
      </c>
      <c r="P63" s="57">
        <f t="shared" si="10"/>
        <v>103.28730713071587</v>
      </c>
      <c r="R63" s="47"/>
      <c r="S63" s="47"/>
      <c r="T63" s="47"/>
    </row>
    <row r="64" spans="1:20" ht="12.75" customHeight="1" x14ac:dyDescent="0.35">
      <c r="A64" s="49"/>
      <c r="B64" s="48"/>
      <c r="C64" s="50"/>
      <c r="D64" s="50"/>
      <c r="E64" s="51"/>
      <c r="F64" s="51"/>
      <c r="G64" s="52"/>
      <c r="H64" s="86"/>
      <c r="I64" s="86"/>
      <c r="J64" s="51">
        <f t="shared" si="0"/>
        <v>9.1496854563952645</v>
      </c>
      <c r="K64" s="51">
        <f t="shared" si="1"/>
        <v>106.1911322082201</v>
      </c>
      <c r="L64" s="55">
        <f t="shared" si="2"/>
        <v>2.4898142212075833</v>
      </c>
      <c r="M64" s="51">
        <f t="shared" si="3"/>
        <v>103.70131798701252</v>
      </c>
      <c r="N64" s="94">
        <f t="shared" si="8"/>
        <v>1411514865.7455156</v>
      </c>
      <c r="O64" s="56">
        <f t="shared" si="9"/>
        <v>106.1911322082201</v>
      </c>
      <c r="P64" s="57">
        <f t="shared" si="10"/>
        <v>103.70131798701252</v>
      </c>
      <c r="R64" s="47"/>
      <c r="S64" s="47"/>
      <c r="T64" s="47"/>
    </row>
    <row r="65" spans="1:20" ht="12.75" customHeight="1" x14ac:dyDescent="0.35">
      <c r="A65" s="49"/>
      <c r="B65" s="48"/>
      <c r="C65" s="50"/>
      <c r="D65" s="50"/>
      <c r="E65" s="51"/>
      <c r="F65" s="51"/>
      <c r="G65" s="52"/>
      <c r="H65" s="86"/>
      <c r="I65" s="86"/>
      <c r="J65" s="51">
        <f t="shared" si="0"/>
        <v>9.1389813416875487</v>
      </c>
      <c r="K65" s="51">
        <f t="shared" si="1"/>
        <v>106.57814944575904</v>
      </c>
      <c r="L65" s="55">
        <f t="shared" si="2"/>
        <v>2.4528099693636367</v>
      </c>
      <c r="M65" s="51">
        <f t="shared" si="3"/>
        <v>104.1253394763954</v>
      </c>
      <c r="N65" s="94">
        <f t="shared" si="8"/>
        <v>1377150302.0068021</v>
      </c>
      <c r="O65" s="56">
        <f t="shared" si="9"/>
        <v>106.57814944575904</v>
      </c>
      <c r="P65" s="57">
        <f t="shared" si="10"/>
        <v>104.1253394763954</v>
      </c>
      <c r="R65" s="47"/>
      <c r="S65" s="47"/>
      <c r="T65" s="47"/>
    </row>
    <row r="66" spans="1:20" ht="12.75" customHeight="1" x14ac:dyDescent="0.35">
      <c r="A66" s="49"/>
      <c r="B66" s="48"/>
      <c r="C66" s="50"/>
      <c r="D66" s="50"/>
      <c r="E66" s="51"/>
      <c r="F66" s="51"/>
      <c r="G66" s="52"/>
      <c r="H66" s="86"/>
      <c r="I66" s="86"/>
      <c r="J66" s="51">
        <f t="shared" ref="J66:J102" si="11">LOG($I$24+($I$25-$I$24)*(ROW()-2)/100)</f>
        <v>9.1280067199572894</v>
      </c>
      <c r="K66" s="51">
        <f t="shared" ref="K66:K129" si="12">+$I$14+$I$13*J66</f>
        <v>106.97494711666008</v>
      </c>
      <c r="L66" s="55">
        <f t="shared" ref="L66:L129" si="13">SQRT(2*$I$20*$I$17)*SQRT((1/$I$2)+((J66-$I$11)^2/$I$8))</f>
        <v>2.4150838715007654</v>
      </c>
      <c r="M66" s="51">
        <f t="shared" ref="M66:M102" si="14">+$I$14+$I$13*J66-L66</f>
        <v>104.55986324515931</v>
      </c>
      <c r="N66" s="94">
        <f t="shared" si="8"/>
        <v>1342785738.2680745</v>
      </c>
      <c r="O66" s="56">
        <f t="shared" si="9"/>
        <v>106.97494711666008</v>
      </c>
      <c r="P66" s="57">
        <f t="shared" si="10"/>
        <v>104.55986324515931</v>
      </c>
      <c r="R66" s="47"/>
      <c r="S66" s="47"/>
      <c r="T66" s="47"/>
    </row>
    <row r="67" spans="1:20" ht="12.75" customHeight="1" x14ac:dyDescent="0.35">
      <c r="A67" s="49"/>
      <c r="B67" s="48"/>
      <c r="C67" s="50"/>
      <c r="D67" s="50"/>
      <c r="E67" s="51"/>
      <c r="F67" s="51"/>
      <c r="G67" s="52"/>
      <c r="H67" s="86"/>
      <c r="I67" s="86"/>
      <c r="J67" s="51">
        <f t="shared" si="11"/>
        <v>9.1167475638134174</v>
      </c>
      <c r="K67" s="51">
        <f t="shared" si="12"/>
        <v>107.38203239431317</v>
      </c>
      <c r="L67" s="55">
        <f t="shared" si="13"/>
        <v>2.3766147894172338</v>
      </c>
      <c r="M67" s="51">
        <f t="shared" si="14"/>
        <v>105.00541760489594</v>
      </c>
      <c r="N67" s="94">
        <f t="shared" ref="N67:N101" si="15">10^$J67</f>
        <v>1308421174.5293522</v>
      </c>
      <c r="O67" s="56">
        <f t="shared" ref="O67:O102" si="16">K67</f>
        <v>107.38203239431317</v>
      </c>
      <c r="P67" s="57">
        <f t="shared" ref="P67:P102" si="17">M67</f>
        <v>105.00541760489594</v>
      </c>
      <c r="R67" s="47"/>
      <c r="S67" s="47"/>
      <c r="T67" s="47"/>
    </row>
    <row r="68" spans="1:20" ht="12.75" customHeight="1" x14ac:dyDescent="0.35">
      <c r="A68" s="49"/>
      <c r="B68" s="48"/>
      <c r="C68" s="50"/>
      <c r="D68" s="50"/>
      <c r="E68" s="51"/>
      <c r="F68" s="51"/>
      <c r="G68" s="52"/>
      <c r="H68" s="86"/>
      <c r="I68" s="86"/>
      <c r="J68" s="51">
        <f t="shared" si="11"/>
        <v>9.1051887256506365</v>
      </c>
      <c r="K68" s="51">
        <f t="shared" si="12"/>
        <v>107.79995295449686</v>
      </c>
      <c r="L68" s="55">
        <f t="shared" si="13"/>
        <v>2.3373817470211575</v>
      </c>
      <c r="M68" s="51">
        <f t="shared" si="14"/>
        <v>105.4625712074757</v>
      </c>
      <c r="N68" s="94">
        <f t="shared" si="15"/>
        <v>1274056610.7906289</v>
      </c>
      <c r="O68" s="56">
        <f t="shared" si="16"/>
        <v>107.79995295449686</v>
      </c>
      <c r="P68" s="57">
        <f t="shared" si="17"/>
        <v>105.4625712074757</v>
      </c>
      <c r="R68" s="47"/>
      <c r="S68" s="47"/>
      <c r="T68" s="47"/>
    </row>
    <row r="69" spans="1:20" ht="12.75" customHeight="1" x14ac:dyDescent="0.35">
      <c r="A69" s="49"/>
      <c r="B69" s="48"/>
      <c r="C69" s="50"/>
      <c r="D69" s="50"/>
      <c r="E69" s="51"/>
      <c r="F69" s="51"/>
      <c r="G69" s="52"/>
      <c r="H69" s="86"/>
      <c r="I69" s="86"/>
      <c r="J69" s="51">
        <f t="shared" si="11"/>
        <v>9.0933138151007977</v>
      </c>
      <c r="K69" s="51">
        <f t="shared" si="12"/>
        <v>108.22930140623828</v>
      </c>
      <c r="L69" s="55">
        <f t="shared" si="13"/>
        <v>2.2973642247951265</v>
      </c>
      <c r="M69" s="51">
        <f t="shared" si="14"/>
        <v>105.93193718144315</v>
      </c>
      <c r="N69" s="94">
        <f t="shared" si="15"/>
        <v>1239692047.0519085</v>
      </c>
      <c r="O69" s="56">
        <f t="shared" si="16"/>
        <v>108.22930140623828</v>
      </c>
      <c r="P69" s="57">
        <f t="shared" si="17"/>
        <v>105.93193718144315</v>
      </c>
      <c r="R69" s="47"/>
      <c r="S69" s="47"/>
      <c r="T69" s="47"/>
    </row>
    <row r="70" spans="1:20" ht="12.75" customHeight="1" x14ac:dyDescent="0.35">
      <c r="A70" s="49"/>
      <c r="B70" s="48"/>
      <c r="C70" s="50"/>
      <c r="D70" s="50"/>
      <c r="E70" s="51"/>
      <c r="F70" s="51"/>
      <c r="G70" s="52"/>
      <c r="H70" s="86"/>
      <c r="I70" s="86"/>
      <c r="J70" s="51">
        <f t="shared" si="11"/>
        <v>9.0811050592537672</v>
      </c>
      <c r="K70" s="51">
        <f t="shared" si="12"/>
        <v>108.6707203456578</v>
      </c>
      <c r="L70" s="55">
        <f t="shared" si="13"/>
        <v>2.2565425467072404</v>
      </c>
      <c r="M70" s="51">
        <f t="shared" si="14"/>
        <v>106.41417779895056</v>
      </c>
      <c r="N70" s="94">
        <f t="shared" si="15"/>
        <v>1205327483.3131876</v>
      </c>
      <c r="O70" s="56">
        <f t="shared" si="16"/>
        <v>108.6707203456578</v>
      </c>
      <c r="P70" s="57">
        <f t="shared" si="17"/>
        <v>106.41417779895056</v>
      </c>
      <c r="R70" s="47"/>
      <c r="S70" s="47"/>
      <c r="T70" s="47"/>
    </row>
    <row r="71" spans="1:20" ht="12.75" customHeight="1" x14ac:dyDescent="0.35">
      <c r="A71" s="49"/>
      <c r="B71" s="48"/>
      <c r="C71" s="50"/>
      <c r="D71" s="50"/>
      <c r="E71" s="51"/>
      <c r="F71" s="51"/>
      <c r="G71" s="52"/>
      <c r="H71" s="86"/>
      <c r="I71" s="86"/>
      <c r="J71" s="51">
        <f t="shared" si="11"/>
        <v>9.068543142656333</v>
      </c>
      <c r="K71" s="51">
        <f t="shared" si="12"/>
        <v>109.12490814095759</v>
      </c>
      <c r="L71" s="55">
        <f t="shared" si="13"/>
        <v>2.2148983867120968</v>
      </c>
      <c r="M71" s="51">
        <f t="shared" si="14"/>
        <v>106.91000975424549</v>
      </c>
      <c r="N71" s="94">
        <f t="shared" si="15"/>
        <v>1170962919.5744667</v>
      </c>
      <c r="O71" s="56">
        <f t="shared" si="16"/>
        <v>109.12490814095759</v>
      </c>
      <c r="P71" s="57">
        <f t="shared" si="17"/>
        <v>106.91000975424549</v>
      </c>
      <c r="R71" s="47"/>
      <c r="S71" s="47"/>
      <c r="T71" s="47"/>
    </row>
    <row r="72" spans="1:20" ht="12.75" customHeight="1" x14ac:dyDescent="0.35">
      <c r="A72" s="49"/>
      <c r="B72" s="48"/>
      <c r="C72" s="50"/>
      <c r="D72" s="50"/>
      <c r="E72" s="51"/>
      <c r="F72" s="51"/>
      <c r="G72" s="52"/>
      <c r="H72" s="86"/>
      <c r="I72" s="86"/>
      <c r="J72" s="51">
        <f t="shared" si="11"/>
        <v>9.055607023473641</v>
      </c>
      <c r="K72" s="51">
        <f t="shared" si="12"/>
        <v>109.59262557927605</v>
      </c>
      <c r="L72" s="55">
        <f t="shared" si="13"/>
        <v>2.1724154303786083</v>
      </c>
      <c r="M72" s="51">
        <f t="shared" si="14"/>
        <v>107.42021014889744</v>
      </c>
      <c r="N72" s="94">
        <f t="shared" si="15"/>
        <v>1136598355.8357441</v>
      </c>
      <c r="O72" s="56">
        <f t="shared" si="16"/>
        <v>109.59262557927605</v>
      </c>
      <c r="P72" s="57">
        <f t="shared" si="17"/>
        <v>107.42021014889744</v>
      </c>
      <c r="R72" s="47"/>
      <c r="S72" s="47"/>
      <c r="T72" s="47"/>
    </row>
    <row r="73" spans="1:20" ht="12.75" customHeight="1" x14ac:dyDescent="0.35">
      <c r="A73" s="49"/>
      <c r="B73" s="48"/>
      <c r="C73" s="50"/>
      <c r="D73" s="50"/>
      <c r="E73" s="51"/>
      <c r="F73" s="51"/>
      <c r="G73" s="52"/>
      <c r="H73" s="86"/>
      <c r="I73" s="86"/>
      <c r="J73" s="51">
        <f t="shared" si="11"/>
        <v>9.0422737214202655</v>
      </c>
      <c r="K73" s="51">
        <f t="shared" si="12"/>
        <v>110.07470353423759</v>
      </c>
      <c r="L73" s="55">
        <f t="shared" si="13"/>
        <v>2.1290802383665492</v>
      </c>
      <c r="M73" s="51">
        <f t="shared" si="14"/>
        <v>107.94562329587103</v>
      </c>
      <c r="N73" s="94">
        <f t="shared" si="15"/>
        <v>1102233792.0970244</v>
      </c>
      <c r="O73" s="56">
        <f t="shared" si="16"/>
        <v>110.07470353423759</v>
      </c>
      <c r="P73" s="57">
        <f t="shared" si="17"/>
        <v>107.94562329587103</v>
      </c>
      <c r="R73" s="47"/>
      <c r="S73" s="47"/>
      <c r="T73" s="47"/>
    </row>
    <row r="74" spans="1:20" ht="12.75" customHeight="1" x14ac:dyDescent="0.35">
      <c r="A74" s="49"/>
      <c r="B74" s="48"/>
      <c r="C74" s="50"/>
      <c r="D74" s="50"/>
      <c r="E74" s="51"/>
      <c r="F74" s="51"/>
      <c r="G74" s="52"/>
      <c r="H74" s="86"/>
      <c r="I74" s="86"/>
      <c r="J74" s="51">
        <f t="shared" si="11"/>
        <v>9.0285180720935596</v>
      </c>
      <c r="K74" s="51">
        <f t="shared" si="12"/>
        <v>110.57205184825921</v>
      </c>
      <c r="L74" s="55">
        <f t="shared" si="13"/>
        <v>2.0848833734434353</v>
      </c>
      <c r="M74" s="51">
        <f t="shared" si="14"/>
        <v>108.48716847481577</v>
      </c>
      <c r="N74" s="94">
        <f t="shared" si="15"/>
        <v>1067869228.3582994</v>
      </c>
      <c r="O74" s="56">
        <f t="shared" si="16"/>
        <v>110.57205184825921</v>
      </c>
      <c r="P74" s="57">
        <f t="shared" si="17"/>
        <v>108.48716847481577</v>
      </c>
      <c r="R74" s="47"/>
      <c r="S74" s="47"/>
      <c r="T74" s="47"/>
    </row>
    <row r="75" spans="1:20" ht="12.75" customHeight="1" x14ac:dyDescent="0.35">
      <c r="A75" s="49"/>
      <c r="B75" s="48"/>
      <c r="C75" s="50"/>
      <c r="D75" s="50"/>
      <c r="E75" s="51"/>
      <c r="F75" s="51"/>
      <c r="G75" s="52"/>
      <c r="H75" s="86"/>
      <c r="I75" s="86"/>
      <c r="J75" s="51">
        <f t="shared" si="11"/>
        <v>9.0143124411122866</v>
      </c>
      <c r="K75" s="51">
        <f t="shared" si="12"/>
        <v>111.08566966813424</v>
      </c>
      <c r="L75" s="55">
        <f t="shared" si="13"/>
        <v>2.0398208728498135</v>
      </c>
      <c r="M75" s="51">
        <f t="shared" si="14"/>
        <v>109.04584879528443</v>
      </c>
      <c r="N75" s="94">
        <f t="shared" si="15"/>
        <v>1033504664.6195766</v>
      </c>
      <c r="O75" s="56">
        <f t="shared" si="16"/>
        <v>111.08566966813424</v>
      </c>
      <c r="P75" s="57">
        <f t="shared" si="17"/>
        <v>109.04584879528443</v>
      </c>
      <c r="R75" s="47"/>
      <c r="S75" s="47"/>
      <c r="T75" s="47"/>
    </row>
    <row r="76" spans="1:20" ht="12.75" customHeight="1" x14ac:dyDescent="0.35">
      <c r="A76" s="49"/>
      <c r="B76" s="48"/>
      <c r="C76" s="50"/>
      <c r="D76" s="50"/>
      <c r="E76" s="51"/>
      <c r="F76" s="51"/>
      <c r="G76" s="52"/>
      <c r="H76" s="86"/>
      <c r="I76" s="86"/>
      <c r="J76" s="51">
        <f t="shared" si="11"/>
        <v>8.9996263899010334</v>
      </c>
      <c r="K76" s="51">
        <f t="shared" si="12"/>
        <v>111.61665752890872</v>
      </c>
      <c r="L76" s="55">
        <f t="shared" si="13"/>
        <v>1.9938961749530655</v>
      </c>
      <c r="M76" s="51">
        <f t="shared" si="14"/>
        <v>109.62276135395565</v>
      </c>
      <c r="N76" s="94">
        <f t="shared" si="15"/>
        <v>999140100.88085806</v>
      </c>
      <c r="O76" s="56">
        <f t="shared" si="16"/>
        <v>111.61665752890872</v>
      </c>
      <c r="P76" s="57">
        <f t="shared" si="17"/>
        <v>109.62276135395565</v>
      </c>
      <c r="R76" s="47"/>
      <c r="S76" s="47"/>
      <c r="T76" s="47"/>
    </row>
    <row r="77" spans="1:20" ht="12.75" customHeight="1" x14ac:dyDescent="0.35">
      <c r="A77" s="49"/>
      <c r="B77" s="48"/>
      <c r="C77" s="50"/>
      <c r="D77" s="50"/>
      <c r="E77" s="51"/>
      <c r="F77" s="51"/>
      <c r="G77" s="52"/>
      <c r="H77" s="86"/>
      <c r="I77" s="86"/>
      <c r="J77" s="51">
        <f t="shared" si="11"/>
        <v>8.9844262829605928</v>
      </c>
      <c r="K77" s="51">
        <f t="shared" si="12"/>
        <v>112.16623155338596</v>
      </c>
      <c r="L77" s="55">
        <f t="shared" si="13"/>
        <v>1.9471226458339461</v>
      </c>
      <c r="M77" s="51">
        <f t="shared" si="14"/>
        <v>110.21910890755201</v>
      </c>
      <c r="N77" s="94">
        <f t="shared" si="15"/>
        <v>964775537.14213336</v>
      </c>
      <c r="O77" s="56">
        <f t="shared" si="16"/>
        <v>112.16623155338596</v>
      </c>
      <c r="P77" s="57">
        <f t="shared" si="17"/>
        <v>110.21910890755201</v>
      </c>
      <c r="R77" s="47"/>
      <c r="S77" s="47"/>
      <c r="T77" s="47"/>
    </row>
    <row r="78" spans="1:20" ht="12.75" customHeight="1" x14ac:dyDescent="0.35">
      <c r="A78" s="49"/>
      <c r="B78" s="48"/>
      <c r="C78" s="50"/>
      <c r="D78" s="50"/>
      <c r="E78" s="51"/>
      <c r="F78" s="51"/>
      <c r="G78" s="52"/>
      <c r="H78" s="83"/>
      <c r="I78" s="83"/>
      <c r="J78" s="51">
        <f t="shared" si="11"/>
        <v>8.9686748238833811</v>
      </c>
      <c r="K78" s="51">
        <f t="shared" si="12"/>
        <v>112.73574022792172</v>
      </c>
      <c r="L78" s="55">
        <f t="shared" si="13"/>
        <v>1.8995269012027276</v>
      </c>
      <c r="M78" s="51">
        <f t="shared" si="14"/>
        <v>110.83621332671899</v>
      </c>
      <c r="N78" s="94">
        <f t="shared" si="15"/>
        <v>930410973.40341306</v>
      </c>
      <c r="O78" s="56">
        <f t="shared" si="16"/>
        <v>112.73574022792172</v>
      </c>
      <c r="P78" s="57">
        <f t="shared" si="17"/>
        <v>110.83621332671899</v>
      </c>
      <c r="R78" s="47"/>
      <c r="S78" s="47"/>
      <c r="T78" s="47"/>
    </row>
    <row r="79" spans="1:20" ht="12.75" customHeight="1" x14ac:dyDescent="0.35">
      <c r="A79" s="49"/>
      <c r="B79" s="48"/>
      <c r="C79" s="50"/>
      <c r="D79" s="50"/>
      <c r="E79" s="51"/>
      <c r="F79" s="51"/>
      <c r="G79" s="52"/>
      <c r="H79" s="83"/>
      <c r="I79" s="83"/>
      <c r="J79" s="51">
        <f t="shared" si="11"/>
        <v>8.9523305040140322</v>
      </c>
      <c r="K79" s="51">
        <f t="shared" si="12"/>
        <v>113.32668433661371</v>
      </c>
      <c r="L79" s="55">
        <f t="shared" si="13"/>
        <v>1.8511531865153181</v>
      </c>
      <c r="M79" s="51">
        <f t="shared" si="14"/>
        <v>111.47553115009839</v>
      </c>
      <c r="N79" s="94">
        <f t="shared" si="15"/>
        <v>896046409.66469169</v>
      </c>
      <c r="O79" s="56">
        <f t="shared" si="16"/>
        <v>113.32668433661371</v>
      </c>
      <c r="P79" s="57">
        <f t="shared" si="17"/>
        <v>111.47553115009839</v>
      </c>
      <c r="R79" s="47"/>
      <c r="S79" s="47"/>
      <c r="T79" s="47"/>
    </row>
    <row r="80" spans="1:20" ht="12.75" customHeight="1" x14ac:dyDescent="0.35">
      <c r="A80" s="49"/>
      <c r="B80" s="48"/>
      <c r="C80" s="50"/>
      <c r="D80" s="50"/>
      <c r="E80" s="51"/>
      <c r="F80" s="51"/>
      <c r="G80" s="52"/>
      <c r="H80" s="83"/>
      <c r="I80" s="83"/>
      <c r="J80" s="51">
        <f t="shared" si="11"/>
        <v>8.9353469432447152</v>
      </c>
      <c r="K80" s="51">
        <f t="shared" si="12"/>
        <v>113.94074079546107</v>
      </c>
      <c r="L80" s="55">
        <f t="shared" si="13"/>
        <v>1.8020691695079689</v>
      </c>
      <c r="M80" s="51">
        <f t="shared" si="14"/>
        <v>112.13867162595309</v>
      </c>
      <c r="N80" s="94">
        <f t="shared" si="15"/>
        <v>861681845.92596829</v>
      </c>
      <c r="O80" s="56">
        <f t="shared" si="16"/>
        <v>113.94074079546107</v>
      </c>
      <c r="P80" s="57">
        <f t="shared" si="17"/>
        <v>112.13867162595309</v>
      </c>
      <c r="R80" s="47"/>
      <c r="S80" s="47"/>
      <c r="T80" s="47"/>
    </row>
    <row r="81" spans="1:20" ht="12.75" customHeight="1" x14ac:dyDescent="0.35">
      <c r="A81" s="49"/>
      <c r="B81" s="48"/>
      <c r="C81" s="50"/>
      <c r="D81" s="50"/>
      <c r="E81" s="51"/>
      <c r="F81" s="51"/>
      <c r="G81" s="52"/>
      <c r="H81" s="83"/>
      <c r="I81" s="83"/>
      <c r="J81" s="51">
        <f t="shared" si="11"/>
        <v>8.9176720965867275</v>
      </c>
      <c r="K81" s="51">
        <f t="shared" si="12"/>
        <v>114.57979133950727</v>
      </c>
      <c r="L81" s="55">
        <f t="shared" si="13"/>
        <v>1.7523736224109803</v>
      </c>
      <c r="M81" s="51">
        <f t="shared" si="14"/>
        <v>112.82741771709628</v>
      </c>
      <c r="N81" s="94">
        <f t="shared" si="15"/>
        <v>827317282.18724895</v>
      </c>
      <c r="O81" s="56">
        <f t="shared" si="16"/>
        <v>114.57979133950727</v>
      </c>
      <c r="P81" s="57">
        <f t="shared" si="17"/>
        <v>112.82741771709628</v>
      </c>
      <c r="R81" s="47"/>
      <c r="S81" s="47"/>
      <c r="T81" s="47"/>
    </row>
    <row r="82" spans="1:20" ht="12.75" customHeight="1" x14ac:dyDescent="0.35">
      <c r="A82" s="49"/>
      <c r="B82" s="48"/>
      <c r="C82" s="50"/>
      <c r="D82" s="50"/>
      <c r="E82" s="51"/>
      <c r="F82" s="51"/>
      <c r="G82" s="52"/>
      <c r="H82" s="83"/>
      <c r="I82" s="83"/>
      <c r="J82" s="51">
        <f t="shared" si="11"/>
        <v>8.899247292325061</v>
      </c>
      <c r="K82" s="51">
        <f t="shared" si="12"/>
        <v>115.24595729925778</v>
      </c>
      <c r="L82" s="55">
        <f t="shared" si="13"/>
        <v>1.702206635142665</v>
      </c>
      <c r="M82" s="51">
        <f t="shared" si="14"/>
        <v>113.54375066411512</v>
      </c>
      <c r="N82" s="94">
        <f t="shared" si="15"/>
        <v>792952718.4485234</v>
      </c>
      <c r="O82" s="56">
        <f t="shared" si="16"/>
        <v>115.24595729925778</v>
      </c>
      <c r="P82" s="57">
        <f t="shared" si="17"/>
        <v>113.54375066411512</v>
      </c>
      <c r="R82" s="47"/>
      <c r="S82" s="47"/>
      <c r="T82" s="47"/>
    </row>
    <row r="83" spans="1:20" ht="12.75" customHeight="1" x14ac:dyDescent="0.35">
      <c r="A83" s="49"/>
      <c r="B83" s="48"/>
      <c r="C83" s="50"/>
      <c r="D83" s="50"/>
      <c r="E83" s="51"/>
      <c r="F83" s="51"/>
      <c r="G83" s="52"/>
      <c r="H83" s="83"/>
      <c r="I83" s="83"/>
      <c r="J83" s="51">
        <f t="shared" si="11"/>
        <v>8.8800060569479307</v>
      </c>
      <c r="K83" s="51">
        <f t="shared" si="12"/>
        <v>115.9416420864477</v>
      </c>
      <c r="L83" s="55">
        <f t="shared" si="13"/>
        <v>1.6517632154858748</v>
      </c>
      <c r="M83" s="51">
        <f t="shared" si="14"/>
        <v>114.28987887096183</v>
      </c>
      <c r="N83" s="94">
        <f t="shared" si="15"/>
        <v>758588154.70980608</v>
      </c>
      <c r="O83" s="56">
        <f t="shared" si="16"/>
        <v>115.9416420864477</v>
      </c>
      <c r="P83" s="57">
        <f t="shared" si="17"/>
        <v>114.28987887096183</v>
      </c>
      <c r="R83" s="47"/>
      <c r="S83" s="47"/>
      <c r="T83" s="47"/>
    </row>
    <row r="84" spans="1:20" ht="12.75" customHeight="1" x14ac:dyDescent="0.35">
      <c r="A84" s="49"/>
      <c r="B84" s="48"/>
      <c r="C84" s="50"/>
      <c r="D84" s="50"/>
      <c r="E84" s="51"/>
      <c r="F84" s="51"/>
      <c r="G84" s="52"/>
      <c r="H84" s="83"/>
      <c r="I84" s="83"/>
      <c r="J84" s="51">
        <f t="shared" si="11"/>
        <v>8.8598726674869202</v>
      </c>
      <c r="K84" s="51">
        <f t="shared" si="12"/>
        <v>116.66958353553167</v>
      </c>
      <c r="L84" s="55">
        <f t="shared" si="13"/>
        <v>1.6013114043226075</v>
      </c>
      <c r="M84" s="51">
        <f t="shared" si="14"/>
        <v>115.06827213120907</v>
      </c>
      <c r="N84" s="94">
        <f t="shared" si="15"/>
        <v>724223590.97108138</v>
      </c>
      <c r="O84" s="56">
        <f t="shared" si="16"/>
        <v>116.66958353553167</v>
      </c>
      <c r="P84" s="57">
        <f t="shared" si="17"/>
        <v>115.06827213120907</v>
      </c>
      <c r="R84" s="47"/>
      <c r="S84" s="47"/>
      <c r="T84" s="47"/>
    </row>
    <row r="85" spans="1:20" ht="12.75" customHeight="1" x14ac:dyDescent="0.35">
      <c r="A85" s="49"/>
      <c r="B85" s="48"/>
      <c r="C85" s="50"/>
      <c r="D85" s="50"/>
      <c r="E85" s="51"/>
      <c r="F85" s="51"/>
      <c r="G85" s="52"/>
      <c r="H85" s="83"/>
      <c r="I85" s="83"/>
      <c r="J85" s="51">
        <f t="shared" si="11"/>
        <v>8.838760351679003</v>
      </c>
      <c r="K85" s="51">
        <f t="shared" si="12"/>
        <v>117.43291897850293</v>
      </c>
      <c r="L85" s="55">
        <f t="shared" si="13"/>
        <v>1.5512163593662731</v>
      </c>
      <c r="M85" s="51">
        <f t="shared" si="14"/>
        <v>115.88170261913665</v>
      </c>
      <c r="N85" s="94">
        <f t="shared" si="15"/>
        <v>689859027.23235881</v>
      </c>
      <c r="O85" s="56">
        <f t="shared" si="16"/>
        <v>117.43291897850293</v>
      </c>
      <c r="P85" s="57">
        <f t="shared" si="17"/>
        <v>115.88170261913665</v>
      </c>
      <c r="R85" s="47"/>
      <c r="S85" s="47"/>
      <c r="T85" s="47"/>
    </row>
    <row r="86" spans="1:20" ht="12.75" customHeight="1" x14ac:dyDescent="0.35">
      <c r="A86" s="49"/>
      <c r="B86" s="48"/>
      <c r="C86" s="50"/>
      <c r="D86" s="50"/>
      <c r="E86" s="51"/>
      <c r="F86" s="51"/>
      <c r="G86" s="52"/>
      <c r="H86" s="83"/>
      <c r="I86" s="83"/>
      <c r="J86" s="51">
        <f t="shared" si="11"/>
        <v>8.8165690278578079</v>
      </c>
      <c r="K86" s="51">
        <f t="shared" si="12"/>
        <v>118.23526696122957</v>
      </c>
      <c r="L86" s="55">
        <f t="shared" si="13"/>
        <v>1.5019722079561975</v>
      </c>
      <c r="M86" s="51">
        <f t="shared" si="14"/>
        <v>116.73329475327337</v>
      </c>
      <c r="N86" s="94">
        <f t="shared" si="15"/>
        <v>655494463.4936378</v>
      </c>
      <c r="O86" s="56">
        <f t="shared" si="16"/>
        <v>118.23526696122957</v>
      </c>
      <c r="P86" s="57">
        <f t="shared" si="17"/>
        <v>116.73329475327337</v>
      </c>
      <c r="R86" s="47"/>
      <c r="S86" s="47"/>
      <c r="T86" s="47"/>
    </row>
    <row r="87" spans="1:20" ht="12.75" customHeight="1" x14ac:dyDescent="0.35">
      <c r="A87" s="49"/>
      <c r="B87" s="48"/>
      <c r="C87" s="50"/>
      <c r="D87" s="50"/>
      <c r="E87" s="51"/>
      <c r="F87" s="51"/>
      <c r="G87" s="52"/>
      <c r="H87" s="83"/>
      <c r="I87" s="83"/>
      <c r="J87" s="51">
        <f t="shared" si="11"/>
        <v>8.7931824356793342</v>
      </c>
      <c r="K87" s="51">
        <f t="shared" si="12"/>
        <v>119.08083098473901</v>
      </c>
      <c r="L87" s="55">
        <f t="shared" si="13"/>
        <v>1.4542437472766625</v>
      </c>
      <c r="M87" s="51">
        <f t="shared" si="14"/>
        <v>117.62658723746235</v>
      </c>
      <c r="N87" s="94">
        <f t="shared" si="15"/>
        <v>621129899.75491393</v>
      </c>
      <c r="O87" s="56">
        <f t="shared" si="16"/>
        <v>119.08083098473901</v>
      </c>
      <c r="P87" s="57">
        <f t="shared" si="17"/>
        <v>117.62658723746235</v>
      </c>
      <c r="R87" s="47"/>
      <c r="S87" s="47"/>
      <c r="T87" s="47"/>
    </row>
    <row r="88" spans="1:20" ht="12.75" customHeight="1" x14ac:dyDescent="0.35">
      <c r="A88" s="49"/>
      <c r="B88" s="48"/>
      <c r="C88" s="50"/>
      <c r="D88" s="50"/>
      <c r="E88" s="51"/>
      <c r="F88" s="51"/>
      <c r="G88" s="52"/>
      <c r="H88" s="83"/>
      <c r="I88" s="83"/>
      <c r="J88" s="51">
        <f t="shared" si="11"/>
        <v>8.7684644493744504</v>
      </c>
      <c r="K88" s="51">
        <f t="shared" si="12"/>
        <v>119.97453280300761</v>
      </c>
      <c r="L88" s="55">
        <f t="shared" si="13"/>
        <v>1.4089200729663955</v>
      </c>
      <c r="M88" s="51">
        <f t="shared" si="14"/>
        <v>118.56561273004121</v>
      </c>
      <c r="N88" s="94">
        <f t="shared" si="15"/>
        <v>586765336.01619339</v>
      </c>
      <c r="O88" s="56">
        <f t="shared" si="16"/>
        <v>119.97453280300761</v>
      </c>
      <c r="P88" s="57">
        <f t="shared" si="17"/>
        <v>118.56561273004121</v>
      </c>
      <c r="R88" s="47"/>
      <c r="S88" s="47"/>
      <c r="T88" s="47"/>
    </row>
    <row r="89" spans="1:20" ht="12.75" customHeight="1" x14ac:dyDescent="0.35">
      <c r="A89" s="49"/>
      <c r="B89" s="48"/>
      <c r="C89" s="50"/>
      <c r="D89" s="50"/>
      <c r="E89" s="51"/>
      <c r="F89" s="51"/>
      <c r="G89" s="52"/>
      <c r="H89" s="83"/>
      <c r="I89" s="83"/>
      <c r="J89" s="51">
        <f t="shared" si="11"/>
        <v>8.7422542770673637</v>
      </c>
      <c r="K89" s="51">
        <f t="shared" si="12"/>
        <v>120.92218599607327</v>
      </c>
      <c r="L89" s="55">
        <f t="shared" si="13"/>
        <v>1.3671815457194954</v>
      </c>
      <c r="M89" s="51">
        <f t="shared" si="14"/>
        <v>119.55500445035378</v>
      </c>
      <c r="N89" s="94">
        <f t="shared" si="15"/>
        <v>552400772.2774713</v>
      </c>
      <c r="O89" s="56">
        <f t="shared" si="16"/>
        <v>120.92218599607327</v>
      </c>
      <c r="P89" s="57">
        <f t="shared" si="17"/>
        <v>119.55500445035378</v>
      </c>
      <c r="R89" s="47"/>
      <c r="S89" s="47"/>
      <c r="T89" s="47"/>
    </row>
    <row r="90" spans="1:20" ht="12.75" customHeight="1" x14ac:dyDescent="0.35">
      <c r="A90" s="49"/>
      <c r="B90" s="48"/>
      <c r="C90" s="50"/>
      <c r="D90" s="50"/>
      <c r="E90" s="51"/>
      <c r="F90" s="51"/>
      <c r="G90" s="52"/>
      <c r="H90" s="83"/>
      <c r="I90" s="83"/>
      <c r="J90" s="51">
        <f t="shared" si="11"/>
        <v>8.714360116152573</v>
      </c>
      <c r="K90" s="51">
        <f t="shared" si="12"/>
        <v>121.93072536579126</v>
      </c>
      <c r="L90" s="55">
        <f t="shared" si="13"/>
        <v>1.3305795039180666</v>
      </c>
      <c r="M90" s="51">
        <f t="shared" si="14"/>
        <v>120.60014586187319</v>
      </c>
      <c r="N90" s="94">
        <f t="shared" si="15"/>
        <v>518036208.53875023</v>
      </c>
      <c r="O90" s="56">
        <f t="shared" si="16"/>
        <v>121.93072536579126</v>
      </c>
      <c r="P90" s="57">
        <f t="shared" si="17"/>
        <v>120.60014586187319</v>
      </c>
      <c r="R90" s="47"/>
      <c r="S90" s="47"/>
      <c r="T90" s="47"/>
    </row>
    <row r="91" spans="1:20" ht="12.75" customHeight="1" x14ac:dyDescent="0.35">
      <c r="A91" s="49"/>
      <c r="B91" s="48"/>
      <c r="C91" s="50"/>
      <c r="D91" s="50"/>
      <c r="E91" s="51"/>
      <c r="F91" s="51"/>
      <c r="G91" s="52"/>
      <c r="H91" s="83"/>
      <c r="I91" s="83"/>
      <c r="J91" s="51">
        <f t="shared" si="11"/>
        <v>8.6845506276658124</v>
      </c>
      <c r="K91" s="51">
        <f t="shared" si="12"/>
        <v>123.00851518789381</v>
      </c>
      <c r="L91" s="55">
        <f t="shared" si="13"/>
        <v>1.3011239735137843</v>
      </c>
      <c r="M91" s="51">
        <f t="shared" si="14"/>
        <v>121.70739121438002</v>
      </c>
      <c r="N91" s="94">
        <f t="shared" si="15"/>
        <v>483671644.80002958</v>
      </c>
      <c r="O91" s="56">
        <f t="shared" si="16"/>
        <v>123.00851518789381</v>
      </c>
      <c r="P91" s="57">
        <f t="shared" si="17"/>
        <v>121.70739121438002</v>
      </c>
      <c r="R91" s="47"/>
      <c r="S91" s="47"/>
      <c r="T91" s="47"/>
    </row>
    <row r="92" spans="1:20" ht="12.75" customHeight="1" x14ac:dyDescent="0.35">
      <c r="A92" s="49"/>
      <c r="B92" s="48"/>
      <c r="C92" s="50"/>
      <c r="D92" s="50"/>
      <c r="E92" s="51"/>
      <c r="F92" s="51"/>
      <c r="G92" s="52"/>
      <c r="H92" s="83"/>
      <c r="I92" s="83"/>
      <c r="J92" s="51">
        <f t="shared" si="11"/>
        <v>8.6525432631103136</v>
      </c>
      <c r="K92" s="51">
        <f t="shared" si="12"/>
        <v>124.16577126645967</v>
      </c>
      <c r="L92" s="55">
        <f t="shared" si="13"/>
        <v>1.2813679017919746</v>
      </c>
      <c r="M92" s="51">
        <f t="shared" si="14"/>
        <v>122.88440336466769</v>
      </c>
      <c r="N92" s="94">
        <f t="shared" si="15"/>
        <v>449307081.06130582</v>
      </c>
      <c r="O92" s="56">
        <f t="shared" si="16"/>
        <v>124.16577126645967</v>
      </c>
      <c r="P92" s="57">
        <f t="shared" si="17"/>
        <v>122.88440336466769</v>
      </c>
      <c r="R92" s="47"/>
      <c r="S92" s="47"/>
      <c r="T92" s="47"/>
    </row>
    <row r="93" spans="1:20" ht="12.75" customHeight="1" x14ac:dyDescent="0.35">
      <c r="A93" s="49"/>
      <c r="B93" s="48"/>
      <c r="C93" s="50"/>
      <c r="D93" s="50"/>
      <c r="E93" s="51"/>
      <c r="F93" s="51"/>
      <c r="G93" s="52"/>
      <c r="H93" s="83"/>
      <c r="I93" s="83"/>
      <c r="J93" s="51">
        <f t="shared" si="11"/>
        <v>8.617987937341713</v>
      </c>
      <c r="K93" s="51">
        <f t="shared" si="12"/>
        <v>125.415151255968</v>
      </c>
      <c r="L93" s="55">
        <f t="shared" si="13"/>
        <v>1.2744687333825884</v>
      </c>
      <c r="M93" s="51">
        <f t="shared" si="14"/>
        <v>124.14068252258541</v>
      </c>
      <c r="N93" s="94">
        <f t="shared" si="15"/>
        <v>414942517.32258517</v>
      </c>
      <c r="O93" s="56">
        <f t="shared" si="16"/>
        <v>125.415151255968</v>
      </c>
      <c r="P93" s="57">
        <f t="shared" si="17"/>
        <v>124.14068252258541</v>
      </c>
      <c r="R93" s="47"/>
      <c r="S93" s="47"/>
      <c r="T93" s="47"/>
    </row>
    <row r="94" spans="1:20" ht="12.75" customHeight="1" x14ac:dyDescent="0.35">
      <c r="A94" s="49"/>
      <c r="B94" s="48"/>
      <c r="C94" s="50"/>
      <c r="D94" s="50"/>
      <c r="E94" s="51"/>
      <c r="F94" s="51"/>
      <c r="G94" s="52"/>
      <c r="H94" s="83"/>
      <c r="I94" s="83"/>
      <c r="J94" s="51">
        <f t="shared" si="11"/>
        <v>8.5804436265306308</v>
      </c>
      <c r="K94" s="51">
        <f t="shared" si="12"/>
        <v>126.77260078375883</v>
      </c>
      <c r="L94" s="55">
        <f t="shared" si="13"/>
        <v>1.2842056411435543</v>
      </c>
      <c r="M94" s="51">
        <f t="shared" si="14"/>
        <v>125.48839514261527</v>
      </c>
      <c r="N94" s="94">
        <f t="shared" si="15"/>
        <v>380577953.58386189</v>
      </c>
      <c r="O94" s="56">
        <f t="shared" si="16"/>
        <v>126.77260078375883</v>
      </c>
      <c r="P94" s="57">
        <f t="shared" si="17"/>
        <v>125.48839514261527</v>
      </c>
      <c r="R94" s="47"/>
      <c r="S94" s="47"/>
      <c r="T94" s="47"/>
    </row>
    <row r="95" spans="1:20" ht="12.75" customHeight="1" x14ac:dyDescent="0.35">
      <c r="A95" s="49"/>
      <c r="B95" s="48"/>
      <c r="C95" s="50"/>
      <c r="D95" s="50"/>
      <c r="E95" s="51"/>
      <c r="F95" s="51"/>
      <c r="G95" s="52"/>
      <c r="H95" s="83"/>
      <c r="I95" s="83"/>
      <c r="J95" s="51">
        <f t="shared" si="11"/>
        <v>8.5393438602563183</v>
      </c>
      <c r="K95" s="51">
        <f t="shared" si="12"/>
        <v>128.25860111552976</v>
      </c>
      <c r="L95" s="55">
        <f t="shared" si="13"/>
        <v>1.3149455658730076</v>
      </c>
      <c r="M95" s="51">
        <f t="shared" si="14"/>
        <v>126.94365554965675</v>
      </c>
      <c r="N95" s="94">
        <f t="shared" si="15"/>
        <v>346213389.84514058</v>
      </c>
      <c r="O95" s="56">
        <f t="shared" si="16"/>
        <v>128.25860111552976</v>
      </c>
      <c r="P95" s="57">
        <f t="shared" si="17"/>
        <v>126.94365554965675</v>
      </c>
      <c r="R95" s="47"/>
      <c r="S95" s="47"/>
      <c r="T95" s="47"/>
    </row>
    <row r="96" spans="1:20" ht="12.75" customHeight="1" x14ac:dyDescent="0.35">
      <c r="A96" s="49"/>
      <c r="B96" s="48"/>
      <c r="C96" s="50"/>
      <c r="D96" s="50"/>
      <c r="E96" s="51"/>
      <c r="F96" s="51"/>
      <c r="G96" s="52"/>
      <c r="H96" s="83"/>
      <c r="I96" s="83"/>
      <c r="J96" s="51">
        <f t="shared" si="11"/>
        <v>8.4939441135740523</v>
      </c>
      <c r="K96" s="51">
        <f t="shared" si="12"/>
        <v>129.90007124414046</v>
      </c>
      <c r="L96" s="55">
        <f t="shared" si="13"/>
        <v>1.3715960400919525</v>
      </c>
      <c r="M96" s="51">
        <f t="shared" si="14"/>
        <v>128.5284752040485</v>
      </c>
      <c r="N96" s="94">
        <f t="shared" si="15"/>
        <v>311848826.10641807</v>
      </c>
      <c r="O96" s="56">
        <f t="shared" si="16"/>
        <v>129.90007124414046</v>
      </c>
      <c r="P96" s="57">
        <f t="shared" si="17"/>
        <v>128.5284752040485</v>
      </c>
      <c r="R96" s="47"/>
      <c r="S96" s="47"/>
      <c r="T96" s="47"/>
    </row>
    <row r="97" spans="1:20" ht="12.75" customHeight="1" x14ac:dyDescent="0.35">
      <c r="A97" s="49"/>
      <c r="B97" s="48"/>
      <c r="C97" s="50"/>
      <c r="D97" s="50"/>
      <c r="E97" s="51"/>
      <c r="F97" s="51"/>
      <c r="G97" s="52"/>
      <c r="H97" s="83"/>
      <c r="I97" s="83"/>
      <c r="J97" s="51">
        <f t="shared" si="11"/>
        <v>8.4432383569697489</v>
      </c>
      <c r="K97" s="51">
        <f t="shared" si="12"/>
        <v>131.73338510373253</v>
      </c>
      <c r="L97" s="55">
        <f t="shared" si="13"/>
        <v>1.4596563484180876</v>
      </c>
      <c r="M97" s="51">
        <f t="shared" si="14"/>
        <v>130.27372875531444</v>
      </c>
      <c r="N97" s="94">
        <f t="shared" si="15"/>
        <v>277484262.36769646</v>
      </c>
      <c r="O97" s="56">
        <f t="shared" si="16"/>
        <v>131.73338510373253</v>
      </c>
      <c r="P97" s="57">
        <f t="shared" si="17"/>
        <v>130.27372875531444</v>
      </c>
      <c r="R97" s="47"/>
      <c r="S97" s="47"/>
      <c r="T97" s="47"/>
    </row>
    <row r="98" spans="1:20" ht="12.75" customHeight="1" x14ac:dyDescent="0.35">
      <c r="A98" s="49"/>
      <c r="B98" s="48"/>
      <c r="C98" s="50"/>
      <c r="D98" s="50"/>
      <c r="E98" s="51"/>
      <c r="F98" s="51"/>
      <c r="G98" s="52"/>
      <c r="H98" s="83"/>
      <c r="I98" s="83"/>
      <c r="J98" s="51">
        <f t="shared" si="11"/>
        <v>8.385820148721054</v>
      </c>
      <c r="K98" s="51">
        <f t="shared" si="12"/>
        <v>133.80939390479915</v>
      </c>
      <c r="L98" s="55">
        <f t="shared" si="13"/>
        <v>1.5855601142847291</v>
      </c>
      <c r="M98" s="51">
        <f t="shared" si="14"/>
        <v>132.22383379051442</v>
      </c>
      <c r="N98" s="94">
        <f t="shared" si="15"/>
        <v>243119698.62897554</v>
      </c>
      <c r="O98" s="56">
        <f t="shared" si="16"/>
        <v>133.80939390479915</v>
      </c>
      <c r="P98" s="57">
        <f t="shared" si="17"/>
        <v>132.22383379051442</v>
      </c>
      <c r="R98" s="47"/>
      <c r="S98" s="47"/>
      <c r="T98" s="47"/>
    </row>
    <row r="99" spans="1:20" ht="12.75" customHeight="1" x14ac:dyDescent="0.35">
      <c r="A99" s="49"/>
      <c r="B99" s="48"/>
      <c r="C99" s="50"/>
      <c r="D99" s="50"/>
      <c r="E99" s="51"/>
      <c r="F99" s="51"/>
      <c r="G99" s="52"/>
      <c r="H99" s="83"/>
      <c r="I99" s="83"/>
      <c r="J99" s="51">
        <f t="shared" si="11"/>
        <v>8.319637166920069</v>
      </c>
      <c r="K99" s="51">
        <f t="shared" si="12"/>
        <v>136.20230125754296</v>
      </c>
      <c r="L99" s="55">
        <f t="shared" si="13"/>
        <v>1.7575880149795824</v>
      </c>
      <c r="M99" s="51">
        <f t="shared" si="14"/>
        <v>134.44471324256338</v>
      </c>
      <c r="N99" s="94">
        <f t="shared" si="15"/>
        <v>208755134.89025301</v>
      </c>
      <c r="O99" s="56">
        <f t="shared" si="16"/>
        <v>136.20230125754296</v>
      </c>
      <c r="P99" s="57">
        <f t="shared" si="17"/>
        <v>134.44471324256338</v>
      </c>
      <c r="R99" s="47"/>
      <c r="S99" s="47"/>
      <c r="T99" s="47"/>
    </row>
    <row r="100" spans="1:20" ht="12.75" customHeight="1" x14ac:dyDescent="0.35">
      <c r="A100" s="49"/>
      <c r="B100" s="48"/>
      <c r="C100" s="50"/>
      <c r="D100" s="50"/>
      <c r="E100" s="51"/>
      <c r="F100" s="51"/>
      <c r="G100" s="52"/>
      <c r="H100" s="83"/>
      <c r="I100" s="83"/>
      <c r="J100" s="51">
        <f t="shared" si="11"/>
        <v>8.2415230000486179</v>
      </c>
      <c r="K100" s="51">
        <f t="shared" si="12"/>
        <v>139.02659171973806</v>
      </c>
      <c r="L100" s="55">
        <f t="shared" si="13"/>
        <v>1.9878191863165242</v>
      </c>
      <c r="M100" s="51">
        <f t="shared" si="14"/>
        <v>137.03877253342154</v>
      </c>
      <c r="N100" s="94">
        <f t="shared" si="15"/>
        <v>174390571.15153131</v>
      </c>
      <c r="O100" s="56">
        <f t="shared" si="16"/>
        <v>139.02659171973806</v>
      </c>
      <c r="P100" s="57">
        <f t="shared" si="17"/>
        <v>137.03877253342154</v>
      </c>
      <c r="R100" s="47"/>
      <c r="S100" s="47"/>
      <c r="T100" s="47"/>
    </row>
    <row r="101" spans="1:20" ht="12.75" customHeight="1" x14ac:dyDescent="0.35">
      <c r="A101" s="49"/>
      <c r="B101" s="48"/>
      <c r="C101" s="50"/>
      <c r="D101" s="50"/>
      <c r="E101" s="51"/>
      <c r="F101" s="51"/>
      <c r="G101" s="52"/>
      <c r="H101" s="83"/>
      <c r="I101" s="83"/>
      <c r="J101" s="51">
        <f t="shared" si="11"/>
        <v>8.1462087058703254</v>
      </c>
      <c r="K101" s="51">
        <f t="shared" si="12"/>
        <v>142.4727688056642</v>
      </c>
      <c r="L101" s="55">
        <f t="shared" si="13"/>
        <v>2.2962446132676226</v>
      </c>
      <c r="M101" s="51">
        <f t="shared" si="14"/>
        <v>140.17652419239658</v>
      </c>
      <c r="N101" s="94">
        <f t="shared" si="15"/>
        <v>140026007.41280854</v>
      </c>
      <c r="O101" s="56">
        <f t="shared" si="16"/>
        <v>142.4727688056642</v>
      </c>
      <c r="P101" s="57">
        <f t="shared" si="17"/>
        <v>140.17652419239658</v>
      </c>
      <c r="R101" s="47"/>
      <c r="S101" s="47"/>
      <c r="T101" s="47"/>
    </row>
    <row r="102" spans="1:20" ht="12.75" customHeight="1" x14ac:dyDescent="0.35">
      <c r="A102" s="49"/>
      <c r="B102" s="48"/>
      <c r="C102" s="50"/>
      <c r="D102" s="50"/>
      <c r="E102" s="51"/>
      <c r="F102" s="51"/>
      <c r="G102" s="52"/>
      <c r="H102" s="83"/>
      <c r="I102" s="83"/>
      <c r="J102" s="51">
        <f t="shared" si="11"/>
        <v>8.0239165402464945</v>
      </c>
      <c r="K102" s="51">
        <f t="shared" si="12"/>
        <v>146.89435596207539</v>
      </c>
      <c r="L102" s="55">
        <f t="shared" si="13"/>
        <v>2.7205343022413064</v>
      </c>
      <c r="M102" s="51">
        <f t="shared" si="14"/>
        <v>144.17382165983409</v>
      </c>
      <c r="N102" s="94">
        <f>10^$J102</f>
        <v>105661443.67408726</v>
      </c>
      <c r="O102" s="56">
        <f t="shared" si="16"/>
        <v>146.89435596207539</v>
      </c>
      <c r="P102" s="57">
        <f t="shared" si="17"/>
        <v>144.17382165983409</v>
      </c>
      <c r="R102" s="47"/>
      <c r="S102" s="47"/>
      <c r="T102" s="47"/>
    </row>
    <row r="103" spans="1:20" ht="12.75" customHeight="1" x14ac:dyDescent="0.35">
      <c r="A103" s="49"/>
      <c r="B103" s="48"/>
      <c r="C103" s="50"/>
      <c r="D103" s="50"/>
      <c r="E103" s="51"/>
      <c r="F103" s="51"/>
      <c r="G103" s="52"/>
      <c r="H103" s="83"/>
      <c r="I103" s="83"/>
      <c r="J103" s="87"/>
      <c r="K103" s="87"/>
      <c r="L103" s="88"/>
      <c r="M103" s="87"/>
      <c r="N103" s="96"/>
      <c r="O103" s="89"/>
      <c r="P103" s="90"/>
      <c r="R103" s="47"/>
      <c r="S103" s="47"/>
      <c r="T103" s="47"/>
    </row>
    <row r="104" spans="1:20" ht="12.75" customHeight="1" x14ac:dyDescent="0.35">
      <c r="A104" s="49"/>
      <c r="B104" s="48"/>
      <c r="C104" s="50"/>
      <c r="D104" s="50"/>
      <c r="E104" s="51"/>
      <c r="F104" s="51"/>
      <c r="G104" s="52"/>
      <c r="H104" s="83"/>
      <c r="I104" s="83"/>
      <c r="J104" s="51">
        <f>LOG($I$24+($I$25-$I$24)*(ROW()-104)/100)</f>
        <v>9.5492630025511875</v>
      </c>
      <c r="K104" s="51">
        <f t="shared" si="12"/>
        <v>91.744033842917815</v>
      </c>
      <c r="L104" s="55">
        <f t="shared" si="13"/>
        <v>3.9617877911960431</v>
      </c>
      <c r="M104" s="51">
        <f>+$I$14+$I$13*J104+L104</f>
        <v>95.70582163411386</v>
      </c>
      <c r="N104" s="94">
        <f t="shared" ref="N104:N167" si="18">10^$J104</f>
        <v>3542117817.5462699</v>
      </c>
      <c r="O104" s="56">
        <f>K104</f>
        <v>91.744033842917815</v>
      </c>
      <c r="P104" s="57">
        <f>M104</f>
        <v>95.70582163411386</v>
      </c>
      <c r="R104" s="47"/>
      <c r="S104" s="47"/>
      <c r="T104" s="47"/>
    </row>
    <row r="105" spans="1:20" ht="12.75" customHeight="1" x14ac:dyDescent="0.35">
      <c r="A105" s="49"/>
      <c r="B105" s="48"/>
      <c r="C105" s="50"/>
      <c r="D105" s="50"/>
      <c r="E105" s="51"/>
      <c r="F105" s="51"/>
      <c r="G105" s="52"/>
      <c r="H105" s="83"/>
      <c r="I105" s="83"/>
      <c r="J105" s="51">
        <f t="shared" ref="J105:J168" si="19">LOG($I$24+($I$25-$I$24)*(ROW()-104)/100)</f>
        <v>9.5450290361538883</v>
      </c>
      <c r="K105" s="51">
        <f t="shared" si="12"/>
        <v>91.897116841714023</v>
      </c>
      <c r="L105" s="55">
        <f t="shared" si="13"/>
        <v>3.9456156787896863</v>
      </c>
      <c r="M105" s="51">
        <f t="shared" ref="M105:M168" si="20">+$I$14+$I$13*J105+L105</f>
        <v>95.842732520503716</v>
      </c>
      <c r="N105" s="94">
        <f t="shared" si="18"/>
        <v>3507753253.8075647</v>
      </c>
      <c r="O105" s="56">
        <f t="shared" ref="O105:O168" si="21">K105</f>
        <v>91.897116841714023</v>
      </c>
      <c r="P105" s="57">
        <f t="shared" ref="P105:P168" si="22">M105</f>
        <v>95.842732520503716</v>
      </c>
      <c r="R105" s="47"/>
      <c r="S105" s="47"/>
      <c r="T105" s="47"/>
    </row>
    <row r="106" spans="1:20" ht="12.75" customHeight="1" x14ac:dyDescent="0.35">
      <c r="A106" s="49"/>
      <c r="B106" s="48"/>
      <c r="C106" s="50"/>
      <c r="D106" s="50"/>
      <c r="E106" s="51"/>
      <c r="F106" s="51"/>
      <c r="G106" s="52"/>
      <c r="H106" s="83"/>
      <c r="I106" s="83"/>
      <c r="J106" s="51">
        <f t="shared" si="19"/>
        <v>9.5407533858176965</v>
      </c>
      <c r="K106" s="51">
        <f t="shared" si="12"/>
        <v>92.05170696214708</v>
      </c>
      <c r="L106" s="55">
        <f t="shared" si="13"/>
        <v>3.9292921822751117</v>
      </c>
      <c r="M106" s="51">
        <f t="shared" si="20"/>
        <v>95.980999144422185</v>
      </c>
      <c r="N106" s="94">
        <f t="shared" si="18"/>
        <v>3473388690.06884</v>
      </c>
      <c r="O106" s="56">
        <f t="shared" si="21"/>
        <v>92.05170696214708</v>
      </c>
      <c r="P106" s="57">
        <f t="shared" si="22"/>
        <v>95.980999144422185</v>
      </c>
      <c r="R106" s="47"/>
      <c r="S106" s="47"/>
      <c r="T106" s="47"/>
    </row>
    <row r="107" spans="1:20" ht="12.75" customHeight="1" x14ac:dyDescent="0.35">
      <c r="A107" s="49"/>
      <c r="B107" s="48"/>
      <c r="C107" s="50"/>
      <c r="D107" s="50"/>
      <c r="E107" s="51"/>
      <c r="F107" s="51"/>
      <c r="G107" s="52"/>
      <c r="H107" s="83"/>
      <c r="I107" s="83"/>
      <c r="J107" s="51">
        <f t="shared" si="19"/>
        <v>9.5364352226074978</v>
      </c>
      <c r="K107" s="51">
        <f t="shared" si="12"/>
        <v>92.20783417513826</v>
      </c>
      <c r="L107" s="55">
        <f t="shared" si="13"/>
        <v>3.9128144694494451</v>
      </c>
      <c r="M107" s="51">
        <f t="shared" si="20"/>
        <v>96.120648644587703</v>
      </c>
      <c r="N107" s="94">
        <f t="shared" si="18"/>
        <v>3439024126.3301115</v>
      </c>
      <c r="O107" s="56">
        <f t="shared" si="21"/>
        <v>92.20783417513826</v>
      </c>
      <c r="P107" s="57">
        <f t="shared" si="22"/>
        <v>96.120648644587703</v>
      </c>
      <c r="R107" s="47"/>
      <c r="S107" s="47"/>
      <c r="T107" s="47"/>
    </row>
    <row r="108" spans="1:20" ht="12.75" customHeight="1" x14ac:dyDescent="0.35">
      <c r="A108" s="49"/>
      <c r="B108" s="48"/>
      <c r="C108" s="50"/>
      <c r="D108" s="50"/>
      <c r="E108" s="51"/>
      <c r="F108" s="51"/>
      <c r="G108" s="52"/>
      <c r="H108" s="83"/>
      <c r="I108" s="83"/>
      <c r="J108" s="51">
        <f t="shared" si="19"/>
        <v>9.532073692613082</v>
      </c>
      <c r="K108" s="51">
        <f t="shared" si="12"/>
        <v>92.365529354606508</v>
      </c>
      <c r="L108" s="55">
        <f t="shared" si="13"/>
        <v>3.8961796290739121</v>
      </c>
      <c r="M108" s="51">
        <f t="shared" si="20"/>
        <v>96.261708983680421</v>
      </c>
      <c r="N108" s="94">
        <f t="shared" si="18"/>
        <v>3404659562.5913954</v>
      </c>
      <c r="O108" s="56">
        <f t="shared" si="21"/>
        <v>92.365529354606508</v>
      </c>
      <c r="P108" s="57">
        <f t="shared" si="22"/>
        <v>96.261708983680421</v>
      </c>
      <c r="R108" s="47"/>
      <c r="S108" s="47"/>
      <c r="T108" s="47"/>
    </row>
    <row r="109" spans="1:20" ht="12.75" customHeight="1" x14ac:dyDescent="0.35">
      <c r="A109" s="49"/>
      <c r="B109" s="48"/>
      <c r="C109" s="50"/>
      <c r="D109" s="50"/>
      <c r="E109" s="51"/>
      <c r="F109" s="51"/>
      <c r="G109" s="52"/>
      <c r="H109" s="83"/>
      <c r="I109" s="83"/>
      <c r="J109" s="51">
        <f t="shared" si="19"/>
        <v>9.527667915935659</v>
      </c>
      <c r="K109" s="51">
        <f t="shared" si="12"/>
        <v>92.524824314112209</v>
      </c>
      <c r="L109" s="55">
        <f t="shared" si="13"/>
        <v>3.8793846679667312</v>
      </c>
      <c r="M109" s="51">
        <f t="shared" si="20"/>
        <v>96.404208982078941</v>
      </c>
      <c r="N109" s="94">
        <f t="shared" si="18"/>
        <v>3370294998.8526707</v>
      </c>
      <c r="O109" s="56">
        <f t="shared" si="21"/>
        <v>92.524824314112209</v>
      </c>
      <c r="P109" s="57">
        <f t="shared" si="22"/>
        <v>96.404208982078941</v>
      </c>
      <c r="R109" s="47"/>
      <c r="S109" s="47"/>
      <c r="T109" s="47"/>
    </row>
    <row r="110" spans="1:20" ht="12.75" customHeight="1" x14ac:dyDescent="0.35">
      <c r="A110" s="49"/>
      <c r="B110" s="48"/>
      <c r="C110" s="50"/>
      <c r="D110" s="50"/>
      <c r="E110" s="51"/>
      <c r="F110" s="51"/>
      <c r="G110" s="52"/>
      <c r="J110" s="51">
        <f t="shared" si="19"/>
        <v>9.5232169856224296</v>
      </c>
      <c r="K110" s="51">
        <f t="shared" si="12"/>
        <v>92.685751845378491</v>
      </c>
      <c r="L110" s="55">
        <f t="shared" si="13"/>
        <v>3.8624265079650146</v>
      </c>
      <c r="M110" s="51">
        <f t="shared" si="20"/>
        <v>96.548178353343502</v>
      </c>
      <c r="N110" s="94">
        <f t="shared" si="18"/>
        <v>3335930435.1139498</v>
      </c>
      <c r="O110" s="56">
        <f t="shared" si="21"/>
        <v>92.685751845378491</v>
      </c>
      <c r="P110" s="57">
        <f t="shared" si="22"/>
        <v>96.548178353343502</v>
      </c>
      <c r="R110" s="47"/>
      <c r="S110" s="47"/>
      <c r="T110" s="47"/>
    </row>
    <row r="111" spans="1:20" ht="12.75" customHeight="1" x14ac:dyDescent="0.35">
      <c r="A111" s="49"/>
      <c r="B111" s="48"/>
      <c r="C111" s="50"/>
      <c r="D111" s="50"/>
      <c r="E111" s="51"/>
      <c r="F111" s="51"/>
      <c r="G111" s="52"/>
      <c r="J111" s="51">
        <f t="shared" si="19"/>
        <v>9.5187199665459943</v>
      </c>
      <c r="K111" s="51">
        <f t="shared" si="12"/>
        <v>92.848345758807625</v>
      </c>
      <c r="L111" s="55">
        <f t="shared" si="13"/>
        <v>3.8453019827488815</v>
      </c>
      <c r="M111" s="51">
        <f t="shared" si="20"/>
        <v>96.693647741556504</v>
      </c>
      <c r="N111" s="94">
        <f t="shared" si="18"/>
        <v>3301565871.3752255</v>
      </c>
      <c r="O111" s="56">
        <f t="shared" si="21"/>
        <v>92.848345758807625</v>
      </c>
      <c r="P111" s="57">
        <f t="shared" si="22"/>
        <v>96.693647741556504</v>
      </c>
      <c r="R111" s="47"/>
      <c r="S111" s="47"/>
      <c r="T111" s="47"/>
    </row>
    <row r="112" spans="1:20" ht="12.75" customHeight="1" x14ac:dyDescent="0.35">
      <c r="A112" s="49"/>
      <c r="B112" s="48"/>
      <c r="C112" s="50"/>
      <c r="D112" s="50"/>
      <c r="E112" s="51"/>
      <c r="F112" s="51"/>
      <c r="G112" s="52"/>
      <c r="J112" s="51">
        <f t="shared" si="19"/>
        <v>9.5141758942251311</v>
      </c>
      <c r="K112" s="51">
        <f t="shared" si="12"/>
        <v>93.012640926116546</v>
      </c>
      <c r="L112" s="55">
        <f t="shared" si="13"/>
        <v>3.8280078345205442</v>
      </c>
      <c r="M112" s="51">
        <f t="shared" si="20"/>
        <v>96.840648760637094</v>
      </c>
      <c r="N112" s="94">
        <f t="shared" si="18"/>
        <v>3267201307.6364961</v>
      </c>
      <c r="O112" s="56">
        <f t="shared" si="21"/>
        <v>93.012640926116546</v>
      </c>
      <c r="P112" s="57">
        <f t="shared" si="22"/>
        <v>96.840648760637094</v>
      </c>
      <c r="R112" s="47"/>
      <c r="S112" s="47"/>
      <c r="T112" s="47"/>
    </row>
    <row r="113" spans="1:20" ht="12.75" customHeight="1" x14ac:dyDescent="0.35">
      <c r="A113" s="49"/>
      <c r="B113" s="48"/>
      <c r="C113" s="50"/>
      <c r="D113" s="50"/>
      <c r="E113" s="51"/>
      <c r="F113" s="51"/>
      <c r="G113" s="52"/>
      <c r="J113" s="51">
        <f t="shared" si="19"/>
        <v>9.5095837735832429</v>
      </c>
      <c r="K113" s="51">
        <f t="shared" si="12"/>
        <v>93.178673325226384</v>
      </c>
      <c r="L113" s="55">
        <f t="shared" si="13"/>
        <v>3.8105407105308098</v>
      </c>
      <c r="M113" s="51">
        <f t="shared" si="20"/>
        <v>96.9892140357572</v>
      </c>
      <c r="N113" s="94">
        <f t="shared" si="18"/>
        <v>3232836743.8977737</v>
      </c>
      <c r="O113" s="56">
        <f t="shared" si="21"/>
        <v>93.178673325226384</v>
      </c>
      <c r="P113" s="57">
        <f t="shared" si="22"/>
        <v>96.9892140357572</v>
      </c>
      <c r="R113" s="47"/>
      <c r="S113" s="47"/>
      <c r="T113" s="47"/>
    </row>
    <row r="114" spans="1:20" ht="12.75" customHeight="1" x14ac:dyDescent="0.35">
      <c r="A114" s="49"/>
      <c r="B114" s="48"/>
      <c r="C114" s="50"/>
      <c r="D114" s="50"/>
      <c r="E114" s="51"/>
      <c r="F114" s="51"/>
      <c r="G114" s="52"/>
      <c r="J114" s="51">
        <f t="shared" si="19"/>
        <v>9.504942577640433</v>
      </c>
      <c r="K114" s="51">
        <f t="shared" si="12"/>
        <v>93.346480087551924</v>
      </c>
      <c r="L114" s="55">
        <f t="shared" si="13"/>
        <v>3.792897159444764</v>
      </c>
      <c r="M114" s="51">
        <f t="shared" si="20"/>
        <v>97.139377246996688</v>
      </c>
      <c r="N114" s="94">
        <f t="shared" si="18"/>
        <v>3198472180.1590538</v>
      </c>
      <c r="O114" s="56">
        <f t="shared" si="21"/>
        <v>93.346480087551924</v>
      </c>
      <c r="P114" s="57">
        <f t="shared" si="22"/>
        <v>97.139377246996688</v>
      </c>
      <c r="R114" s="47"/>
      <c r="S114" s="47"/>
      <c r="T114" s="47"/>
    </row>
    <row r="115" spans="1:20" ht="12.75" customHeight="1" x14ac:dyDescent="0.35">
      <c r="A115" s="49"/>
      <c r="B115" s="48"/>
      <c r="C115" s="50"/>
      <c r="D115" s="50"/>
      <c r="E115" s="51"/>
      <c r="F115" s="51"/>
      <c r="G115" s="52"/>
      <c r="J115" s="51">
        <f t="shared" si="19"/>
        <v>9.5002512461349617</v>
      </c>
      <c r="K115" s="51">
        <f t="shared" si="12"/>
        <v>93.516099547843965</v>
      </c>
      <c r="L115" s="55">
        <f t="shared" si="13"/>
        <v>3.7750736275383145</v>
      </c>
      <c r="M115" s="51">
        <f t="shared" si="20"/>
        <v>97.291173175382283</v>
      </c>
      <c r="N115" s="94">
        <f t="shared" si="18"/>
        <v>3164107616.4203324</v>
      </c>
      <c r="O115" s="56">
        <f t="shared" si="21"/>
        <v>93.516099547843965</v>
      </c>
      <c r="P115" s="57">
        <f t="shared" si="22"/>
        <v>97.291173175382283</v>
      </c>
      <c r="R115" s="47"/>
      <c r="S115" s="47"/>
      <c r="T115" s="47"/>
    </row>
    <row r="116" spans="1:20" ht="12.75" customHeight="1" x14ac:dyDescent="0.35">
      <c r="A116" s="49"/>
      <c r="B116" s="48"/>
      <c r="C116" s="50"/>
      <c r="D116" s="50"/>
      <c r="E116" s="51"/>
      <c r="F116" s="51"/>
      <c r="G116" s="52"/>
      <c r="J116" s="51">
        <f t="shared" si="19"/>
        <v>9.4955086840694154</v>
      </c>
      <c r="K116" s="51">
        <f t="shared" si="12"/>
        <v>93.687571296753902</v>
      </c>
      <c r="L116" s="55">
        <f t="shared" si="13"/>
        <v>3.7570664547164414</v>
      </c>
      <c r="M116" s="51">
        <f t="shared" si="20"/>
        <v>97.444637751470339</v>
      </c>
      <c r="N116" s="94">
        <f t="shared" si="18"/>
        <v>3129743052.6816144</v>
      </c>
      <c r="O116" s="56">
        <f t="shared" si="21"/>
        <v>93.687571296753902</v>
      </c>
      <c r="P116" s="57">
        <f t="shared" si="22"/>
        <v>97.444637751470339</v>
      </c>
      <c r="R116" s="47"/>
      <c r="S116" s="47"/>
      <c r="T116" s="47"/>
    </row>
    <row r="117" spans="1:20" ht="12.75" customHeight="1" x14ac:dyDescent="0.35">
      <c r="A117" s="49"/>
      <c r="B117" s="48"/>
      <c r="C117" s="50"/>
      <c r="D117" s="50"/>
      <c r="E117" s="51"/>
      <c r="F117" s="51"/>
      <c r="G117" s="52"/>
      <c r="J117" s="51">
        <f t="shared" si="19"/>
        <v>9.4907137601766181</v>
      </c>
      <c r="K117" s="51">
        <f t="shared" si="12"/>
        <v>93.860936236300233</v>
      </c>
      <c r="L117" s="55">
        <f t="shared" si="13"/>
        <v>3.738871870343687</v>
      </c>
      <c r="M117" s="51">
        <f t="shared" si="20"/>
        <v>97.59980810664392</v>
      </c>
      <c r="N117" s="94">
        <f t="shared" si="18"/>
        <v>3095378488.9428968</v>
      </c>
      <c r="O117" s="56">
        <f t="shared" si="21"/>
        <v>93.860936236300233</v>
      </c>
      <c r="P117" s="57">
        <f t="shared" si="22"/>
        <v>97.59980810664392</v>
      </c>
      <c r="R117" s="47"/>
      <c r="S117" s="47"/>
      <c r="T117" s="47"/>
    </row>
    <row r="118" spans="1:20" ht="12.75" customHeight="1" x14ac:dyDescent="0.35">
      <c r="A118" s="49"/>
      <c r="B118" s="48"/>
      <c r="C118" s="50"/>
      <c r="D118" s="50"/>
      <c r="E118" s="51"/>
      <c r="F118" s="51"/>
      <c r="G118" s="52"/>
      <c r="J118" s="51">
        <f t="shared" si="19"/>
        <v>9.4858653052999067</v>
      </c>
      <c r="K118" s="51">
        <f t="shared" si="12"/>
        <v>94.036236638431035</v>
      </c>
      <c r="L118" s="55">
        <f t="shared" si="13"/>
        <v>3.7204859888768387</v>
      </c>
      <c r="M118" s="51">
        <f t="shared" si="20"/>
        <v>97.75672262730788</v>
      </c>
      <c r="N118" s="94">
        <f t="shared" si="18"/>
        <v>3061013925.2041717</v>
      </c>
      <c r="O118" s="56">
        <f t="shared" si="21"/>
        <v>94.036236638431035</v>
      </c>
      <c r="P118" s="57">
        <f t="shared" si="22"/>
        <v>97.75672262730788</v>
      </c>
      <c r="R118" s="47"/>
      <c r="S118" s="47"/>
      <c r="T118" s="47"/>
    </row>
    <row r="119" spans="1:20" ht="12.75" customHeight="1" x14ac:dyDescent="0.35">
      <c r="A119" s="49"/>
      <c r="B119" s="48"/>
      <c r="C119" s="50"/>
      <c r="D119" s="50"/>
      <c r="E119" s="51"/>
      <c r="F119" s="51"/>
      <c r="G119" s="52"/>
      <c r="J119" s="51">
        <f t="shared" si="19"/>
        <v>9.4809621106819666</v>
      </c>
      <c r="K119" s="51">
        <f t="shared" si="12"/>
        <v>94.213516206892962</v>
      </c>
      <c r="L119" s="55">
        <f t="shared" si="13"/>
        <v>3.7019048052891752</v>
      </c>
      <c r="M119" s="51">
        <f t="shared" si="20"/>
        <v>97.915421012182136</v>
      </c>
      <c r="N119" s="94">
        <f t="shared" si="18"/>
        <v>3026649361.4654408</v>
      </c>
      <c r="O119" s="56">
        <f t="shared" si="21"/>
        <v>94.213516206892962</v>
      </c>
      <c r="P119" s="57">
        <f t="shared" si="22"/>
        <v>97.915421012182136</v>
      </c>
      <c r="R119" s="47"/>
      <c r="S119" s="47"/>
      <c r="T119" s="47"/>
    </row>
    <row r="120" spans="1:20" ht="12.75" customHeight="1" x14ac:dyDescent="0.35">
      <c r="A120" s="49"/>
      <c r="B120" s="48"/>
      <c r="C120" s="50"/>
      <c r="D120" s="50"/>
      <c r="E120" s="51"/>
      <c r="F120" s="51"/>
      <c r="G120" s="52"/>
      <c r="J120" s="51">
        <f t="shared" si="19"/>
        <v>9.4760029261559691</v>
      </c>
      <c r="K120" s="51">
        <f t="shared" si="12"/>
        <v>94.392820142632161</v>
      </c>
      <c r="L120" s="55">
        <f t="shared" si="13"/>
        <v>3.6831241902751111</v>
      </c>
      <c r="M120" s="51">
        <f t="shared" si="20"/>
        <v>98.07594433290727</v>
      </c>
      <c r="N120" s="94">
        <f t="shared" si="18"/>
        <v>2992284797.7267156</v>
      </c>
      <c r="O120" s="56">
        <f t="shared" si="21"/>
        <v>94.392820142632161</v>
      </c>
      <c r="P120" s="57">
        <f t="shared" si="22"/>
        <v>98.07594433290727</v>
      </c>
      <c r="R120" s="47"/>
      <c r="S120" s="47"/>
      <c r="T120" s="47"/>
    </row>
    <row r="121" spans="1:20" ht="12.75" customHeight="1" x14ac:dyDescent="0.35">
      <c r="A121" s="49"/>
      <c r="B121" s="48"/>
      <c r="C121" s="50"/>
      <c r="D121" s="50"/>
      <c r="E121" s="51"/>
      <c r="F121" s="51"/>
      <c r="G121" s="52"/>
      <c r="J121" s="51">
        <f t="shared" si="19"/>
        <v>9.4709864582322236</v>
      </c>
      <c r="K121" s="51">
        <f t="shared" si="12"/>
        <v>94.574195212973223</v>
      </c>
      <c r="L121" s="55">
        <f t="shared" si="13"/>
        <v>3.6641398852233569</v>
      </c>
      <c r="M121" s="51">
        <f t="shared" si="20"/>
        <v>98.238335098196586</v>
      </c>
      <c r="N121" s="94">
        <f t="shared" si="18"/>
        <v>2957920233.9880018</v>
      </c>
      <c r="O121" s="56">
        <f t="shared" si="21"/>
        <v>94.574195212973223</v>
      </c>
      <c r="P121" s="57">
        <f t="shared" si="22"/>
        <v>98.238335098196586</v>
      </c>
      <c r="R121" s="47"/>
      <c r="S121" s="47"/>
      <c r="T121" s="47"/>
    </row>
    <row r="122" spans="1:20" ht="12.75" customHeight="1" x14ac:dyDescent="0.35">
      <c r="A122" s="49"/>
      <c r="B122" s="48"/>
      <c r="C122" s="50"/>
      <c r="D122" s="50"/>
      <c r="E122" s="51"/>
      <c r="F122" s="51"/>
      <c r="G122" s="52"/>
      <c r="J122" s="51">
        <f t="shared" si="19"/>
        <v>9.4659113680730371</v>
      </c>
      <c r="K122" s="51">
        <f t="shared" si="12"/>
        <v>94.757689824839929</v>
      </c>
      <c r="L122" s="55">
        <f t="shared" si="13"/>
        <v>3.6449474969462221</v>
      </c>
      <c r="M122" s="51">
        <f t="shared" si="20"/>
        <v>98.402637321786145</v>
      </c>
      <c r="N122" s="94">
        <f t="shared" si="18"/>
        <v>2923555670.2492785</v>
      </c>
      <c r="O122" s="56">
        <f t="shared" si="21"/>
        <v>94.757689824839929</v>
      </c>
      <c r="P122" s="57">
        <f t="shared" si="22"/>
        <v>98.402637321786145</v>
      </c>
      <c r="R122" s="47"/>
      <c r="S122" s="47"/>
      <c r="T122" s="47"/>
    </row>
    <row r="123" spans="1:20" ht="12.75" customHeight="1" x14ac:dyDescent="0.35">
      <c r="A123" s="49"/>
      <c r="B123" s="48"/>
      <c r="C123" s="50"/>
      <c r="D123" s="50"/>
      <c r="E123" s="51"/>
      <c r="F123" s="51"/>
      <c r="G123" s="52"/>
      <c r="J123" s="51">
        <f t="shared" si="19"/>
        <v>9.4607762693478357</v>
      </c>
      <c r="K123" s="51">
        <f t="shared" si="12"/>
        <v>94.943354102305591</v>
      </c>
      <c r="L123" s="55">
        <f t="shared" si="13"/>
        <v>3.6255424921518915</v>
      </c>
      <c r="M123" s="51">
        <f t="shared" si="20"/>
        <v>98.568896594457485</v>
      </c>
      <c r="N123" s="94">
        <f t="shared" si="18"/>
        <v>2889191106.5105586</v>
      </c>
      <c r="O123" s="56">
        <f t="shared" si="21"/>
        <v>94.943354102305591</v>
      </c>
      <c r="P123" s="57">
        <f t="shared" si="22"/>
        <v>98.568896594457485</v>
      </c>
      <c r="R123" s="47"/>
      <c r="S123" s="47"/>
      <c r="T123" s="47"/>
    </row>
    <row r="124" spans="1:20" ht="12.75" customHeight="1" x14ac:dyDescent="0.35">
      <c r="A124" s="49"/>
      <c r="B124" s="48"/>
      <c r="C124" s="50"/>
      <c r="D124" s="50"/>
      <c r="E124" s="51"/>
      <c r="F124" s="51"/>
      <c r="G124" s="52"/>
      <c r="J124" s="51">
        <f t="shared" si="19"/>
        <v>9.4555797259599625</v>
      </c>
      <c r="K124" s="51">
        <f t="shared" si="12"/>
        <v>95.131239968782324</v>
      </c>
      <c r="L124" s="55">
        <f t="shared" si="13"/>
        <v>3.605920191645918</v>
      </c>
      <c r="M124" s="51">
        <f t="shared" si="20"/>
        <v>98.737160160428246</v>
      </c>
      <c r="N124" s="94">
        <f t="shared" si="18"/>
        <v>2854826542.7718415</v>
      </c>
      <c r="O124" s="56">
        <f t="shared" si="21"/>
        <v>95.131239968782324</v>
      </c>
      <c r="P124" s="57">
        <f t="shared" si="22"/>
        <v>98.737160160428246</v>
      </c>
      <c r="R124" s="47"/>
      <c r="S124" s="47"/>
      <c r="T124" s="47"/>
    </row>
    <row r="125" spans="1:20" ht="12.75" customHeight="1" x14ac:dyDescent="0.35">
      <c r="A125" s="49"/>
      <c r="B125" s="48"/>
      <c r="C125" s="50"/>
      <c r="D125" s="50"/>
      <c r="E125" s="51"/>
      <c r="F125" s="51"/>
      <c r="G125" s="52"/>
      <c r="J125" s="51">
        <f t="shared" si="19"/>
        <v>9.4503202496358103</v>
      </c>
      <c r="K125" s="51">
        <f t="shared" si="12"/>
        <v>95.321401234188784</v>
      </c>
      <c r="L125" s="55">
        <f t="shared" si="13"/>
        <v>3.5860757642473584</v>
      </c>
      <c r="M125" s="51">
        <f t="shared" si="20"/>
        <v>98.907476998436138</v>
      </c>
      <c r="N125" s="94">
        <f t="shared" si="18"/>
        <v>2820461979.0331235</v>
      </c>
      <c r="O125" s="56">
        <f t="shared" si="21"/>
        <v>95.321401234188784</v>
      </c>
      <c r="P125" s="57">
        <f t="shared" si="22"/>
        <v>98.907476998436138</v>
      </c>
    </row>
    <row r="126" spans="1:20" ht="12.75" customHeight="1" x14ac:dyDescent="0.35">
      <c r="A126" s="49"/>
      <c r="B126" s="48"/>
      <c r="C126" s="50"/>
      <c r="D126" s="50"/>
      <c r="E126" s="51"/>
      <c r="F126" s="51"/>
      <c r="G126" s="52"/>
      <c r="J126" s="51">
        <f t="shared" si="19"/>
        <v>9.444996297366183</v>
      </c>
      <c r="K126" s="51">
        <f t="shared" si="12"/>
        <v>95.513893687459586</v>
      </c>
      <c r="L126" s="55">
        <f t="shared" si="13"/>
        <v>3.566004220404408</v>
      </c>
      <c r="M126" s="51">
        <f t="shared" si="20"/>
        <v>99.079897907863995</v>
      </c>
      <c r="N126" s="94">
        <f t="shared" si="18"/>
        <v>2786097415.2943945</v>
      </c>
      <c r="O126" s="56">
        <f t="shared" si="21"/>
        <v>95.513893687459586</v>
      </c>
      <c r="P126" s="57">
        <f t="shared" si="22"/>
        <v>99.079897907863995</v>
      </c>
    </row>
    <row r="127" spans="1:20" ht="12.75" customHeight="1" x14ac:dyDescent="0.35">
      <c r="A127" s="49"/>
      <c r="B127" s="48"/>
      <c r="C127" s="50"/>
      <c r="D127" s="50"/>
      <c r="E127" s="51"/>
      <c r="F127" s="51"/>
      <c r="G127" s="52"/>
      <c r="J127" s="51">
        <f t="shared" si="19"/>
        <v>9.4396062686888662</v>
      </c>
      <c r="K127" s="51">
        <f t="shared" si="12"/>
        <v>95.708775194796829</v>
      </c>
      <c r="L127" s="55">
        <f t="shared" si="13"/>
        <v>3.5457004054935171</v>
      </c>
      <c r="M127" s="51">
        <f t="shared" si="20"/>
        <v>99.254475600290348</v>
      </c>
      <c r="N127" s="94">
        <f t="shared" si="18"/>
        <v>2751732851.5556779</v>
      </c>
      <c r="O127" s="56">
        <f t="shared" si="21"/>
        <v>95.708775194796829</v>
      </c>
      <c r="P127" s="57">
        <f t="shared" si="22"/>
        <v>99.254475600290348</v>
      </c>
    </row>
    <row r="128" spans="1:20" ht="12.75" customHeight="1" x14ac:dyDescent="0.35">
      <c r="A128" s="49"/>
      <c r="B128" s="48"/>
      <c r="C128" s="50"/>
      <c r="D128" s="50"/>
      <c r="E128" s="51"/>
      <c r="F128" s="51"/>
      <c r="G128" s="52"/>
      <c r="J128" s="51">
        <f t="shared" si="19"/>
        <v>9.4341485028004382</v>
      </c>
      <c r="K128" s="51">
        <f t="shared" si="12"/>
        <v>95.906105804095262</v>
      </c>
      <c r="L128" s="55">
        <f t="shared" si="13"/>
        <v>3.5251589927853142</v>
      </c>
      <c r="M128" s="51">
        <f t="shared" si="20"/>
        <v>99.431264796880569</v>
      </c>
      <c r="N128" s="94">
        <f t="shared" si="18"/>
        <v>2717368287.8169565</v>
      </c>
      <c r="O128" s="56">
        <f t="shared" si="21"/>
        <v>95.906105804095262</v>
      </c>
      <c r="P128" s="57">
        <f t="shared" si="22"/>
        <v>99.431264796880569</v>
      </c>
    </row>
    <row r="129" spans="1:16" ht="12.75" customHeight="1" x14ac:dyDescent="0.35">
      <c r="A129" s="49"/>
      <c r="B129" s="48"/>
      <c r="C129" s="50"/>
      <c r="D129" s="50"/>
      <c r="E129" s="51"/>
      <c r="F129" s="51"/>
      <c r="G129" s="52"/>
      <c r="J129" s="51">
        <f t="shared" si="19"/>
        <v>9.4286212754842769</v>
      </c>
      <c r="K129" s="51">
        <f t="shared" si="12"/>
        <v>96.10594785601279</v>
      </c>
      <c r="L129" s="55">
        <f t="shared" si="13"/>
        <v>3.5043744760599003</v>
      </c>
      <c r="M129" s="51">
        <f t="shared" si="20"/>
        <v>99.610322332072684</v>
      </c>
      <c r="N129" s="94">
        <f t="shared" si="18"/>
        <v>2683003724.0782328</v>
      </c>
      <c r="O129" s="56">
        <f t="shared" si="21"/>
        <v>96.10594785601279</v>
      </c>
      <c r="P129" s="57">
        <f t="shared" si="22"/>
        <v>99.610322332072684</v>
      </c>
    </row>
    <row r="130" spans="1:16" ht="12.75" customHeight="1" x14ac:dyDescent="0.35">
      <c r="A130" s="49"/>
      <c r="B130" s="48"/>
      <c r="C130" s="50"/>
      <c r="D130" s="50"/>
      <c r="E130" s="51"/>
      <c r="F130" s="51"/>
      <c r="G130" s="52"/>
      <c r="J130" s="51">
        <f t="shared" si="19"/>
        <v>9.4230227958405575</v>
      </c>
      <c r="K130" s="51">
        <f t="shared" ref="K130:K193" si="23">+$I$14+$I$13*J130</f>
        <v>96.308366102200694</v>
      </c>
      <c r="L130" s="55">
        <f t="shared" ref="L130:L193" si="24">SQRT(2*$I$20*$I$17)*SQRT((1/$I$2)+((J130-$I$11)^2/$I$8))</f>
        <v>3.483341161853418</v>
      </c>
      <c r="M130" s="51">
        <f t="shared" si="20"/>
        <v>99.791707264054111</v>
      </c>
      <c r="N130" s="94">
        <f t="shared" si="18"/>
        <v>2648639160.3395114</v>
      </c>
      <c r="O130" s="56">
        <f t="shared" si="21"/>
        <v>96.308366102200694</v>
      </c>
      <c r="P130" s="57">
        <f t="shared" si="22"/>
        <v>99.791707264054111</v>
      </c>
    </row>
    <row r="131" spans="1:16" ht="12.75" customHeight="1" x14ac:dyDescent="0.35">
      <c r="A131" s="49"/>
      <c r="B131" s="48"/>
      <c r="C131" s="50"/>
      <c r="D131" s="50"/>
      <c r="E131" s="51"/>
      <c r="F131" s="51"/>
      <c r="G131" s="52"/>
      <c r="J131" s="51">
        <f t="shared" si="19"/>
        <v>9.417351202802708</v>
      </c>
      <c r="K131" s="51">
        <f t="shared" si="23"/>
        <v>96.513427831254432</v>
      </c>
      <c r="L131" s="55">
        <f t="shared" si="24"/>
        <v>3.4620531613170207</v>
      </c>
      <c r="M131" s="51">
        <f t="shared" si="20"/>
        <v>99.975480992571448</v>
      </c>
      <c r="N131" s="94">
        <f t="shared" si="18"/>
        <v>2614274596.6007829</v>
      </c>
      <c r="O131" s="56">
        <f t="shared" si="21"/>
        <v>96.513427831254432</v>
      </c>
      <c r="P131" s="57">
        <f t="shared" si="22"/>
        <v>99.975480992571448</v>
      </c>
    </row>
    <row r="132" spans="1:16" ht="12.75" customHeight="1" x14ac:dyDescent="0.35">
      <c r="A132" s="49"/>
      <c r="B132" s="48"/>
      <c r="C132" s="50"/>
      <c r="D132" s="50"/>
      <c r="E132" s="51"/>
      <c r="F132" s="51"/>
      <c r="G132" s="52"/>
      <c r="J132" s="51">
        <f t="shared" si="19"/>
        <v>9.4116045614233776</v>
      </c>
      <c r="K132" s="51">
        <f t="shared" si="23"/>
        <v>96.721203002997697</v>
      </c>
      <c r="L132" s="55">
        <f t="shared" si="24"/>
        <v>3.4405043816688208</v>
      </c>
      <c r="M132" s="51">
        <f t="shared" si="20"/>
        <v>100.16170738466651</v>
      </c>
      <c r="N132" s="94">
        <f t="shared" si="18"/>
        <v>2579910032.8620672</v>
      </c>
      <c r="O132" s="56">
        <f t="shared" si="21"/>
        <v>96.721203002997697</v>
      </c>
      <c r="P132" s="57">
        <f t="shared" si="22"/>
        <v>100.16170738466651</v>
      </c>
    </row>
    <row r="133" spans="1:16" ht="12.75" customHeight="1" x14ac:dyDescent="0.35">
      <c r="A133" s="49"/>
      <c r="B133" s="48"/>
      <c r="C133" s="50"/>
      <c r="D133" s="50"/>
      <c r="E133" s="51"/>
      <c r="F133" s="51"/>
      <c r="G133" s="52"/>
      <c r="J133" s="51">
        <f t="shared" si="19"/>
        <v>9.4057808589113652</v>
      </c>
      <c r="K133" s="51">
        <f t="shared" si="23"/>
        <v>96.931764391771196</v>
      </c>
      <c r="L133" s="55">
        <f t="shared" si="24"/>
        <v>3.4186885172187895</v>
      </c>
      <c r="M133" s="51">
        <f t="shared" si="20"/>
        <v>100.35045290898998</v>
      </c>
      <c r="N133" s="94">
        <f t="shared" si="18"/>
        <v>2545545469.1233487</v>
      </c>
      <c r="O133" s="56">
        <f t="shared" si="21"/>
        <v>96.931764391771196</v>
      </c>
      <c r="P133" s="57">
        <f t="shared" si="22"/>
        <v>100.35045290898998</v>
      </c>
    </row>
    <row r="134" spans="1:16" ht="12.75" customHeight="1" x14ac:dyDescent="0.35">
      <c r="A134" s="49"/>
      <c r="B134" s="48"/>
      <c r="C134" s="50"/>
      <c r="D134" s="50"/>
      <c r="E134" s="51"/>
      <c r="F134" s="51"/>
      <c r="G134" s="52"/>
      <c r="J134" s="51">
        <f t="shared" si="19"/>
        <v>9.3998780003992088</v>
      </c>
      <c r="K134" s="51">
        <f t="shared" si="23"/>
        <v>97.145187739459288</v>
      </c>
      <c r="L134" s="55">
        <f t="shared" si="24"/>
        <v>3.3965990399461647</v>
      </c>
      <c r="M134" s="51">
        <f t="shared" si="20"/>
        <v>100.54178677940546</v>
      </c>
      <c r="N134" s="94">
        <f t="shared" si="18"/>
        <v>2511180905.3846216</v>
      </c>
      <c r="O134" s="56">
        <f t="shared" si="21"/>
        <v>97.145187739459288</v>
      </c>
      <c r="P134" s="57">
        <f t="shared" si="22"/>
        <v>100.54178677940546</v>
      </c>
    </row>
    <row r="135" spans="1:16" ht="12.75" customHeight="1" x14ac:dyDescent="0.35">
      <c r="A135" s="49"/>
      <c r="B135" s="48"/>
      <c r="C135" s="50"/>
      <c r="D135" s="50"/>
      <c r="E135" s="51"/>
      <c r="F135" s="51"/>
      <c r="G135" s="52"/>
      <c r="J135" s="51">
        <f t="shared" si="19"/>
        <v>9.393893804419152</v>
      </c>
      <c r="K135" s="51">
        <f t="shared" si="23"/>
        <v>97.36155191906056</v>
      </c>
      <c r="L135" s="55">
        <f t="shared" si="24"/>
        <v>3.3742291896085392</v>
      </c>
      <c r="M135" s="51">
        <f t="shared" si="20"/>
        <v>100.7357811086691</v>
      </c>
      <c r="N135" s="94">
        <f t="shared" si="18"/>
        <v>2476816341.6458983</v>
      </c>
      <c r="O135" s="56">
        <f t="shared" si="21"/>
        <v>97.36155191906056</v>
      </c>
      <c r="P135" s="57">
        <f t="shared" si="22"/>
        <v>100.7357811086691</v>
      </c>
    </row>
    <row r="136" spans="1:16" ht="12.75" customHeight="1" x14ac:dyDescent="0.35">
      <c r="A136" s="49"/>
      <c r="B136" s="48"/>
      <c r="C136" s="50"/>
      <c r="D136" s="50"/>
      <c r="E136" s="51"/>
      <c r="F136" s="51"/>
      <c r="G136" s="52"/>
      <c r="J136" s="51">
        <f t="shared" si="19"/>
        <v>9.3878259980630485</v>
      </c>
      <c r="K136" s="51">
        <f t="shared" si="23"/>
        <v>97.580939109686199</v>
      </c>
      <c r="L136" s="55">
        <f t="shared" si="24"/>
        <v>3.3515719633617413</v>
      </c>
      <c r="M136" s="51">
        <f t="shared" si="20"/>
        <v>100.93251107304793</v>
      </c>
      <c r="N136" s="94">
        <f t="shared" si="18"/>
        <v>2442451777.9071727</v>
      </c>
      <c r="O136" s="56">
        <f t="shared" si="21"/>
        <v>97.580939109686199</v>
      </c>
      <c r="P136" s="57">
        <f t="shared" si="22"/>
        <v>100.93251107304793</v>
      </c>
    </row>
    <row r="137" spans="1:16" ht="12.75" customHeight="1" x14ac:dyDescent="0.35">
      <c r="A137" s="49"/>
      <c r="B137" s="48"/>
      <c r="C137" s="50"/>
      <c r="D137" s="50"/>
      <c r="E137" s="51"/>
      <c r="F137" s="51"/>
      <c r="G137" s="52"/>
      <c r="J137" s="51">
        <f t="shared" si="19"/>
        <v>9.3816722117993248</v>
      </c>
      <c r="K137" s="51">
        <f t="shared" si="23"/>
        <v>97.803434983957288</v>
      </c>
      <c r="L137" s="55">
        <f t="shared" si="24"/>
        <v>3.32862010486964</v>
      </c>
      <c r="M137" s="51">
        <f t="shared" si="20"/>
        <v>101.13205508882693</v>
      </c>
      <c r="N137" s="94">
        <f t="shared" si="18"/>
        <v>2408087214.1684556</v>
      </c>
      <c r="O137" s="56">
        <f t="shared" si="21"/>
        <v>97.803434983957288</v>
      </c>
      <c r="P137" s="57">
        <f t="shared" si="22"/>
        <v>101.13205508882693</v>
      </c>
    </row>
    <row r="138" spans="1:16" ht="12.75" customHeight="1" x14ac:dyDescent="0.35">
      <c r="A138" s="49"/>
      <c r="B138" s="48"/>
      <c r="C138" s="50"/>
      <c r="D138" s="50"/>
      <c r="E138" s="51"/>
      <c r="F138" s="51"/>
      <c r="G138" s="52"/>
      <c r="J138" s="51">
        <f t="shared" si="19"/>
        <v>9.3754299739174272</v>
      </c>
      <c r="K138" s="51">
        <f t="shared" si="23"/>
        <v>98.029128908871201</v>
      </c>
      <c r="L138" s="55">
        <f t="shared" si="24"/>
        <v>3.3053660928835069</v>
      </c>
      <c r="M138" s="51">
        <f t="shared" si="20"/>
        <v>101.3344950017547</v>
      </c>
      <c r="N138" s="94">
        <f t="shared" si="18"/>
        <v>2373722650.4297352</v>
      </c>
      <c r="O138" s="56">
        <f t="shared" si="21"/>
        <v>98.029128908871201</v>
      </c>
      <c r="P138" s="57">
        <f t="shared" si="22"/>
        <v>101.3344950017547</v>
      </c>
    </row>
    <row r="139" spans="1:16" ht="12.75" customHeight="1" x14ac:dyDescent="0.35">
      <c r="A139" s="49"/>
      <c r="B139" s="48"/>
      <c r="C139" s="50"/>
      <c r="D139" s="50"/>
      <c r="E139" s="51"/>
      <c r="F139" s="51"/>
      <c r="G139" s="52"/>
      <c r="J139" s="51">
        <f t="shared" si="19"/>
        <v>9.3690967045671503</v>
      </c>
      <c r="K139" s="51">
        <f t="shared" si="23"/>
        <v>98.258114161315007</v>
      </c>
      <c r="L139" s="55">
        <f t="shared" si="24"/>
        <v>3.281802129271294</v>
      </c>
      <c r="M139" s="51">
        <f t="shared" si="20"/>
        <v>101.53991629058631</v>
      </c>
      <c r="N139" s="94">
        <f t="shared" si="18"/>
        <v>2339358086.6910086</v>
      </c>
      <c r="O139" s="56">
        <f t="shared" si="21"/>
        <v>98.258114161315007</v>
      </c>
      <c r="P139" s="57">
        <f t="shared" si="22"/>
        <v>101.53991629058631</v>
      </c>
    </row>
    <row r="140" spans="1:16" ht="12.75" customHeight="1" x14ac:dyDescent="0.35">
      <c r="A140" s="49"/>
      <c r="B140" s="48"/>
      <c r="C140" s="50"/>
      <c r="D140" s="50"/>
      <c r="E140" s="51"/>
      <c r="F140" s="51"/>
      <c r="G140" s="52"/>
      <c r="J140" s="51">
        <f t="shared" si="19"/>
        <v>9.3626697093568882</v>
      </c>
      <c r="K140" s="51">
        <f t="shared" si="23"/>
        <v>98.49048815952699</v>
      </c>
      <c r="L140" s="55">
        <f t="shared" si="24"/>
        <v>3.2579201264786075</v>
      </c>
      <c r="M140" s="51">
        <f t="shared" si="20"/>
        <v>101.7484082860056</v>
      </c>
      <c r="N140" s="94">
        <f t="shared" si="18"/>
        <v>2304993522.952291</v>
      </c>
      <c r="O140" s="56">
        <f t="shared" si="21"/>
        <v>98.49048815952699</v>
      </c>
      <c r="P140" s="57">
        <f t="shared" si="22"/>
        <v>101.7484082860056</v>
      </c>
    </row>
    <row r="141" spans="1:16" ht="12.75" customHeight="1" x14ac:dyDescent="0.35">
      <c r="A141" s="49"/>
      <c r="B141" s="48"/>
      <c r="C141" s="50"/>
      <c r="D141" s="50"/>
      <c r="E141" s="51"/>
      <c r="F141" s="51"/>
      <c r="G141" s="52"/>
      <c r="J141" s="51">
        <f t="shared" si="19"/>
        <v>9.3561461724710249</v>
      </c>
      <c r="K141" s="51">
        <f t="shared" si="23"/>
        <v>98.726352711943491</v>
      </c>
      <c r="L141" s="55">
        <f t="shared" si="24"/>
        <v>3.2337116944049442</v>
      </c>
      <c r="M141" s="51">
        <f t="shared" si="20"/>
        <v>101.96006440634844</v>
      </c>
      <c r="N141" s="94">
        <f t="shared" si="18"/>
        <v>2270628959.2135673</v>
      </c>
      <c r="O141" s="56">
        <f t="shared" si="21"/>
        <v>98.726352711943491</v>
      </c>
      <c r="P141" s="57">
        <f t="shared" si="22"/>
        <v>101.96006440634844</v>
      </c>
    </row>
    <row r="142" spans="1:16" ht="12.75" customHeight="1" x14ac:dyDescent="0.35">
      <c r="A142" s="49"/>
      <c r="B142" s="48"/>
      <c r="C142" s="50"/>
      <c r="D142" s="50"/>
      <c r="E142" s="51"/>
      <c r="F142" s="51"/>
      <c r="G142" s="52"/>
      <c r="J142" s="51">
        <f t="shared" si="19"/>
        <v>9.3495231492624793</v>
      </c>
      <c r="K142" s="51">
        <f t="shared" si="23"/>
        <v>98.965814285022475</v>
      </c>
      <c r="L142" s="55">
        <f t="shared" si="24"/>
        <v>3.209168126681671</v>
      </c>
      <c r="M142" s="51">
        <f t="shared" si="20"/>
        <v>102.17498241170415</v>
      </c>
      <c r="N142" s="94">
        <f t="shared" si="18"/>
        <v>2236264395.4748464</v>
      </c>
      <c r="O142" s="56">
        <f t="shared" si="21"/>
        <v>98.965814285022475</v>
      </c>
      <c r="P142" s="57">
        <f t="shared" si="22"/>
        <v>102.17498241170415</v>
      </c>
    </row>
    <row r="143" spans="1:16" ht="12.75" customHeight="1" x14ac:dyDescent="0.35">
      <c r="A143" s="49"/>
      <c r="B143" s="48"/>
      <c r="C143" s="50"/>
      <c r="D143" s="50"/>
      <c r="E143" s="51"/>
      <c r="F143" s="51"/>
      <c r="G143" s="52"/>
      <c r="J143" s="51">
        <f t="shared" si="19"/>
        <v>9.3427975582716307</v>
      </c>
      <c r="K143" s="51">
        <f t="shared" si="23"/>
        <v>99.208984291806757</v>
      </c>
      <c r="L143" s="55">
        <f t="shared" si="24"/>
        <v>3.1842803863419147</v>
      </c>
      <c r="M143" s="51">
        <f t="shared" si="20"/>
        <v>102.39326467814867</v>
      </c>
      <c r="N143" s="94">
        <f t="shared" si="18"/>
        <v>2201899831.7361245</v>
      </c>
      <c r="O143" s="56">
        <f t="shared" si="21"/>
        <v>99.208984291806757</v>
      </c>
      <c r="P143" s="57">
        <f t="shared" si="22"/>
        <v>102.39326467814867</v>
      </c>
    </row>
    <row r="144" spans="1:16" ht="12.75" customHeight="1" x14ac:dyDescent="0.35">
      <c r="A144" s="49"/>
      <c r="B144" s="48"/>
      <c r="C144" s="50"/>
      <c r="D144" s="50"/>
      <c r="E144" s="51"/>
      <c r="F144" s="51"/>
      <c r="G144" s="52"/>
      <c r="J144" s="51">
        <f t="shared" si="19"/>
        <v>9.3359661726174732</v>
      </c>
      <c r="K144" s="51">
        <f t="shared" si="23"/>
        <v>99.455979403184756</v>
      </c>
      <c r="L144" s="55">
        <f t="shared" si="24"/>
        <v>3.1590390908775352</v>
      </c>
      <c r="M144" s="51">
        <f t="shared" si="20"/>
        <v>102.6150184940623</v>
      </c>
      <c r="N144" s="94">
        <f t="shared" si="18"/>
        <v>2167535267.9974012</v>
      </c>
      <c r="O144" s="56">
        <f t="shared" si="21"/>
        <v>99.455979403184756</v>
      </c>
      <c r="P144" s="57">
        <f t="shared" si="22"/>
        <v>102.6150184940623</v>
      </c>
    </row>
    <row r="145" spans="1:16" ht="12.75" customHeight="1" x14ac:dyDescent="0.35">
      <c r="A145" s="49"/>
      <c r="B145" s="48"/>
      <c r="C145" s="50"/>
      <c r="D145" s="50"/>
      <c r="E145" s="51"/>
      <c r="F145" s="51"/>
      <c r="G145" s="52"/>
      <c r="J145" s="51">
        <f t="shared" si="19"/>
        <v>9.3290256107008052</v>
      </c>
      <c r="K145" s="51">
        <f t="shared" si="23"/>
        <v>99.706921884025348</v>
      </c>
      <c r="L145" s="55">
        <f t="shared" si="24"/>
        <v>3.1334344966849983</v>
      </c>
      <c r="M145" s="51">
        <f t="shared" si="20"/>
        <v>102.84035638071035</v>
      </c>
      <c r="N145" s="94">
        <f t="shared" si="18"/>
        <v>2133170704.2586782</v>
      </c>
      <c r="O145" s="56">
        <f t="shared" si="21"/>
        <v>99.706921884025348</v>
      </c>
      <c r="P145" s="57">
        <f t="shared" si="22"/>
        <v>102.84035638071035</v>
      </c>
    </row>
    <row r="146" spans="1:16" ht="12.75" customHeight="1" x14ac:dyDescent="0.35">
      <c r="A146" s="49"/>
      <c r="B146" s="48"/>
      <c r="C146" s="50"/>
      <c r="D146" s="50"/>
      <c r="E146" s="51"/>
      <c r="F146" s="51"/>
      <c r="G146" s="52"/>
      <c r="J146" s="51">
        <f t="shared" si="19"/>
        <v>9.3219723261523875</v>
      </c>
      <c r="K146" s="51">
        <f t="shared" si="23"/>
        <v>99.961939956611673</v>
      </c>
      <c r="L146" s="55">
        <f t="shared" si="24"/>
        <v>3.1074564829104272</v>
      </c>
      <c r="M146" s="51">
        <f t="shared" si="20"/>
        <v>103.06939643952209</v>
      </c>
      <c r="N146" s="94">
        <f t="shared" si="18"/>
        <v>2098806140.5199583</v>
      </c>
      <c r="O146" s="56">
        <f t="shared" si="21"/>
        <v>99.961939956611673</v>
      </c>
      <c r="P146" s="57">
        <f t="shared" si="22"/>
        <v>103.06939643952209</v>
      </c>
    </row>
    <row r="147" spans="1:16" ht="12.75" customHeight="1" x14ac:dyDescent="0.35">
      <c r="A147" s="49"/>
      <c r="B147" s="48"/>
      <c r="C147" s="50"/>
      <c r="D147" s="50"/>
      <c r="E147" s="51"/>
      <c r="F147" s="51"/>
      <c r="G147" s="52"/>
      <c r="J147" s="51">
        <f t="shared" si="19"/>
        <v>9.3148025969513135</v>
      </c>
      <c r="K147" s="51">
        <f t="shared" si="23"/>
        <v>100.22116819407643</v>
      </c>
      <c r="L147" s="55">
        <f t="shared" si="24"/>
        <v>3.0810945347153713</v>
      </c>
      <c r="M147" s="51">
        <f t="shared" si="20"/>
        <v>103.3022627287918</v>
      </c>
      <c r="N147" s="94">
        <f t="shared" si="18"/>
        <v>2064441576.7812359</v>
      </c>
      <c r="O147" s="56">
        <f t="shared" si="21"/>
        <v>100.22116819407643</v>
      </c>
      <c r="P147" s="57">
        <f t="shared" si="22"/>
        <v>103.3022627287918</v>
      </c>
    </row>
    <row r="148" spans="1:16" ht="12.75" customHeight="1" x14ac:dyDescent="0.35">
      <c r="A148" s="49"/>
      <c r="B148" s="48"/>
      <c r="C148" s="50"/>
      <c r="D148" s="50"/>
      <c r="E148" s="51"/>
      <c r="F148" s="51"/>
      <c r="G148" s="52"/>
      <c r="J148" s="51">
        <f t="shared" si="19"/>
        <v>9.3075125136299501</v>
      </c>
      <c r="K148" s="51">
        <f t="shared" si="23"/>
        <v>100.48474794686337</v>
      </c>
      <c r="L148" s="55">
        <f t="shared" si="24"/>
        <v>3.0543377259985456</v>
      </c>
      <c r="M148" s="51">
        <f t="shared" si="20"/>
        <v>103.53908567286192</v>
      </c>
      <c r="N148" s="94">
        <f t="shared" si="18"/>
        <v>2030077013.0425115</v>
      </c>
      <c r="O148" s="56">
        <f t="shared" si="21"/>
        <v>100.48474794686337</v>
      </c>
      <c r="P148" s="57">
        <f t="shared" si="22"/>
        <v>103.53908567286192</v>
      </c>
    </row>
    <row r="149" spans="1:16" ht="12.75" customHeight="1" x14ac:dyDescent="0.35">
      <c r="A149" s="49"/>
      <c r="B149" s="48"/>
      <c r="C149" s="50"/>
      <c r="D149" s="50"/>
      <c r="E149" s="51"/>
      <c r="F149" s="51"/>
      <c r="G149" s="52"/>
      <c r="J149" s="51">
        <f t="shared" si="19"/>
        <v>9.3000979664719221</v>
      </c>
      <c r="K149" s="51">
        <f t="shared" si="23"/>
        <v>100.75282780559598</v>
      </c>
      <c r="L149" s="55">
        <f t="shared" si="24"/>
        <v>3.0271747016271124</v>
      </c>
      <c r="M149" s="51">
        <f t="shared" si="20"/>
        <v>103.7800025072231</v>
      </c>
      <c r="N149" s="94">
        <f t="shared" si="18"/>
        <v>1995712449.3037841</v>
      </c>
      <c r="O149" s="56">
        <f t="shared" si="21"/>
        <v>100.75282780559598</v>
      </c>
      <c r="P149" s="57">
        <f t="shared" si="22"/>
        <v>103.7800025072231</v>
      </c>
    </row>
    <row r="150" spans="1:16" ht="12.75" customHeight="1" x14ac:dyDescent="0.35">
      <c r="A150" s="49"/>
      <c r="B150" s="48"/>
      <c r="C150" s="50"/>
      <c r="D150" s="50"/>
      <c r="E150" s="51"/>
      <c r="F150" s="51"/>
      <c r="G150" s="52"/>
      <c r="J150" s="51">
        <f t="shared" si="19"/>
        <v>9.2925546315981489</v>
      </c>
      <c r="K150" s="51">
        <f t="shared" si="23"/>
        <v>101.02556410414991</v>
      </c>
      <c r="L150" s="55">
        <f t="shared" si="24"/>
        <v>2.9995936592534584</v>
      </c>
      <c r="M150" s="51">
        <f t="shared" si="20"/>
        <v>104.02515776340337</v>
      </c>
      <c r="N150" s="94">
        <f t="shared" si="18"/>
        <v>1961347885.5650704</v>
      </c>
      <c r="O150" s="56">
        <f t="shared" si="21"/>
        <v>101.02556410414991</v>
      </c>
      <c r="P150" s="57">
        <f t="shared" si="22"/>
        <v>104.02515776340337</v>
      </c>
    </row>
    <row r="151" spans="1:16" ht="12.75" customHeight="1" x14ac:dyDescent="0.35">
      <c r="A151" s="49"/>
      <c r="B151" s="48"/>
      <c r="C151" s="50"/>
      <c r="D151" s="50"/>
      <c r="E151" s="51"/>
      <c r="F151" s="51"/>
      <c r="G151" s="52"/>
      <c r="J151" s="51">
        <f t="shared" si="19"/>
        <v>9.2848779558230028</v>
      </c>
      <c r="K151" s="51">
        <f t="shared" si="23"/>
        <v>101.30312146719251</v>
      </c>
      <c r="L151" s="55">
        <f t="shared" si="24"/>
        <v>2.9715823308222591</v>
      </c>
      <c r="M151" s="51">
        <f t="shared" si="20"/>
        <v>104.27470379801477</v>
      </c>
      <c r="N151" s="94">
        <f t="shared" si="18"/>
        <v>1926983321.8263533</v>
      </c>
      <c r="O151" s="56">
        <f t="shared" si="21"/>
        <v>101.30312146719251</v>
      </c>
      <c r="P151" s="57">
        <f t="shared" si="22"/>
        <v>104.27470379801477</v>
      </c>
    </row>
    <row r="152" spans="1:16" ht="12.75" customHeight="1" x14ac:dyDescent="0.35">
      <c r="A152" s="49"/>
      <c r="B152" s="48"/>
      <c r="C152" s="50"/>
      <c r="D152" s="50"/>
      <c r="E152" s="51"/>
      <c r="F152" s="51"/>
      <c r="G152" s="52"/>
      <c r="J152" s="51">
        <f t="shared" si="19"/>
        <v>9.2770631401477814</v>
      </c>
      <c r="K152" s="51">
        <f t="shared" si="23"/>
        <v>101.58567340699187</v>
      </c>
      <c r="L152" s="55">
        <f t="shared" si="24"/>
        <v>2.9431279639087085</v>
      </c>
      <c r="M152" s="51">
        <f t="shared" si="20"/>
        <v>104.52880137090058</v>
      </c>
      <c r="N152" s="94">
        <f t="shared" si="18"/>
        <v>1892618758.0876288</v>
      </c>
      <c r="O152" s="56">
        <f t="shared" si="21"/>
        <v>101.58567340699187</v>
      </c>
      <c r="P152" s="57">
        <f t="shared" si="22"/>
        <v>104.52880137090058</v>
      </c>
    </row>
    <row r="153" spans="1:16" ht="14.5" x14ac:dyDescent="0.35">
      <c r="A153" s="49"/>
      <c r="B153" s="48"/>
      <c r="C153" s="50"/>
      <c r="D153" s="50"/>
      <c r="E153" s="51"/>
      <c r="F153" s="51"/>
      <c r="G153" s="52"/>
      <c r="J153" s="51">
        <f t="shared" si="19"/>
        <v>9.2691051217416494</v>
      </c>
      <c r="K153" s="51">
        <f t="shared" si="23"/>
        <v>101.87340297491261</v>
      </c>
      <c r="L153" s="55">
        <f t="shared" si="24"/>
        <v>2.9142173030742682</v>
      </c>
      <c r="M153" s="51">
        <f t="shared" si="20"/>
        <v>104.78762027798687</v>
      </c>
      <c r="N153" s="94">
        <f t="shared" si="18"/>
        <v>1858254194.3488975</v>
      </c>
      <c r="O153" s="56">
        <f t="shared" si="21"/>
        <v>101.87340297491261</v>
      </c>
      <c r="P153" s="57">
        <f t="shared" si="22"/>
        <v>104.78762027798687</v>
      </c>
    </row>
    <row r="154" spans="1:16" ht="14.5" x14ac:dyDescent="0.35">
      <c r="A154" s="49"/>
      <c r="B154" s="48"/>
      <c r="C154" s="50"/>
      <c r="D154" s="50"/>
      <c r="E154" s="51"/>
      <c r="F154" s="51"/>
      <c r="G154" s="52"/>
      <c r="J154" s="51">
        <f t="shared" si="19"/>
        <v>9.2609985542406292</v>
      </c>
      <c r="K154" s="51">
        <f t="shared" si="23"/>
        <v>102.16650347372416</v>
      </c>
      <c r="L154" s="55">
        <f t="shared" si="24"/>
        <v>2.8848365714835751</v>
      </c>
      <c r="M154" s="51">
        <f t="shared" si="20"/>
        <v>105.05134004520774</v>
      </c>
      <c r="N154" s="94">
        <f t="shared" si="18"/>
        <v>1823889630.6101799</v>
      </c>
      <c r="O154" s="56">
        <f t="shared" si="21"/>
        <v>102.16650347372416</v>
      </c>
      <c r="P154" s="57">
        <f t="shared" si="22"/>
        <v>105.05134004520774</v>
      </c>
    </row>
    <row r="155" spans="1:16" ht="14.5" x14ac:dyDescent="0.35">
      <c r="A155" s="49"/>
      <c r="B155" s="48"/>
      <c r="C155" s="50"/>
      <c r="D155" s="50"/>
      <c r="E155" s="51"/>
      <c r="F155" s="51"/>
      <c r="G155" s="52"/>
      <c r="J155" s="51">
        <f t="shared" si="19"/>
        <v>9.2527377861726308</v>
      </c>
      <c r="K155" s="51">
        <f t="shared" si="23"/>
        <v>102.46517923766402</v>
      </c>
      <c r="L155" s="55">
        <f t="shared" si="24"/>
        <v>2.8549714530980155</v>
      </c>
      <c r="M155" s="51">
        <f t="shared" si="20"/>
        <v>105.32015069076203</v>
      </c>
      <c r="N155" s="94">
        <f t="shared" si="18"/>
        <v>1789525066.8714585</v>
      </c>
      <c r="O155" s="56">
        <f t="shared" si="21"/>
        <v>102.46517923766402</v>
      </c>
      <c r="P155" s="57">
        <f t="shared" si="22"/>
        <v>105.32015069076203</v>
      </c>
    </row>
    <row r="156" spans="1:16" ht="14.5" x14ac:dyDescent="0.35">
      <c r="A156" s="49"/>
      <c r="B156" s="48"/>
      <c r="C156" s="50"/>
      <c r="D156" s="50"/>
      <c r="E156" s="51"/>
      <c r="F156" s="51"/>
      <c r="G156" s="52"/>
      <c r="J156" s="51">
        <f t="shared" si="19"/>
        <v>9.244316837290512</v>
      </c>
      <c r="K156" s="51">
        <f t="shared" si="23"/>
        <v>102.76964648813777</v>
      </c>
      <c r="L156" s="55">
        <f t="shared" si="24"/>
        <v>2.8246070758523301</v>
      </c>
      <c r="M156" s="51">
        <f t="shared" si="20"/>
        <v>105.59425356399009</v>
      </c>
      <c r="N156" s="94">
        <f t="shared" si="18"/>
        <v>1755160503.132741</v>
      </c>
      <c r="O156" s="56">
        <f t="shared" si="21"/>
        <v>102.76964648813777</v>
      </c>
      <c r="P156" s="57">
        <f t="shared" si="22"/>
        <v>105.59425356399009</v>
      </c>
    </row>
    <row r="157" spans="1:16" ht="14.5" x14ac:dyDescent="0.35">
      <c r="A157" s="49"/>
      <c r="B157" s="48"/>
      <c r="C157" s="50"/>
      <c r="D157" s="50"/>
      <c r="E157" s="51"/>
      <c r="F157" s="51"/>
      <c r="G157" s="52"/>
      <c r="J157" s="51">
        <f t="shared" si="19"/>
        <v>9.2357293725648706</v>
      </c>
      <c r="K157" s="51">
        <f t="shared" si="23"/>
        <v>103.08013427403426</v>
      </c>
      <c r="L157" s="55">
        <f t="shared" si="24"/>
        <v>2.7937279963342552</v>
      </c>
      <c r="M157" s="51">
        <f t="shared" si="20"/>
        <v>105.87386227036852</v>
      </c>
      <c r="N157" s="94">
        <f t="shared" si="18"/>
        <v>1720795939.3940203</v>
      </c>
      <c r="O157" s="56">
        <f t="shared" si="21"/>
        <v>103.08013427403426</v>
      </c>
      <c r="P157" s="57">
        <f t="shared" si="22"/>
        <v>105.87386227036852</v>
      </c>
    </row>
    <row r="158" spans="1:16" ht="14.5" x14ac:dyDescent="0.35">
      <c r="A158" s="49"/>
      <c r="B158" s="48"/>
      <c r="C158" s="50"/>
      <c r="D158" s="50"/>
      <c r="E158" s="51"/>
      <c r="F158" s="51"/>
      <c r="G158" s="52"/>
      <c r="J158" s="51">
        <f t="shared" si="19"/>
        <v>9.2269686735533263</v>
      </c>
      <c r="K158" s="51">
        <f t="shared" si="23"/>
        <v>103.39688550689556</v>
      </c>
      <c r="L158" s="55">
        <f t="shared" si="24"/>
        <v>2.7623181866313979</v>
      </c>
      <c r="M158" s="51">
        <f t="shared" si="20"/>
        <v>106.15920369352696</v>
      </c>
      <c r="N158" s="94">
        <f t="shared" si="18"/>
        <v>1686431375.6552958</v>
      </c>
      <c r="O158" s="56">
        <f t="shared" si="21"/>
        <v>103.39688550689556</v>
      </c>
      <c r="P158" s="57">
        <f t="shared" si="22"/>
        <v>106.15920369352696</v>
      </c>
    </row>
    <row r="159" spans="1:16" ht="14.5" x14ac:dyDescent="0.35">
      <c r="A159" s="49"/>
      <c r="B159" s="48"/>
      <c r="C159" s="50"/>
      <c r="D159" s="50"/>
      <c r="E159" s="51"/>
      <c r="F159" s="51"/>
      <c r="G159" s="52"/>
      <c r="J159" s="51">
        <f t="shared" si="19"/>
        <v>9.2180276068221101</v>
      </c>
      <c r="K159" s="51">
        <f t="shared" si="23"/>
        <v>103.72015810266402</v>
      </c>
      <c r="L159" s="55">
        <f t="shared" si="24"/>
        <v>2.7303610241905858</v>
      </c>
      <c r="M159" s="51">
        <f t="shared" si="20"/>
        <v>106.4505191268546</v>
      </c>
      <c r="N159" s="94">
        <f t="shared" si="18"/>
        <v>1652066811.9165699</v>
      </c>
      <c r="O159" s="56">
        <f t="shared" si="21"/>
        <v>103.72015810266402</v>
      </c>
      <c r="P159" s="57">
        <f t="shared" si="22"/>
        <v>106.4505191268546</v>
      </c>
    </row>
    <row r="160" spans="1:16" ht="14.5" x14ac:dyDescent="0.35">
      <c r="A160" s="49"/>
      <c r="B160" s="48"/>
      <c r="C160" s="50"/>
      <c r="D160" s="50"/>
      <c r="E160" s="51"/>
      <c r="F160" s="51"/>
      <c r="G160" s="52"/>
      <c r="J160" s="51">
        <f t="shared" si="19"/>
        <v>9.2088985890481379</v>
      </c>
      <c r="K160" s="51">
        <f t="shared" si="23"/>
        <v>104.05022624344917</v>
      </c>
      <c r="L160" s="55">
        <f t="shared" si="24"/>
        <v>2.6978392857645241</v>
      </c>
      <c r="M160" s="51">
        <f t="shared" si="20"/>
        <v>106.7480655292137</v>
      </c>
      <c r="N160" s="94">
        <f t="shared" si="18"/>
        <v>1617702248.177851</v>
      </c>
      <c r="O160" s="56">
        <f t="shared" si="21"/>
        <v>104.05022624344917</v>
      </c>
      <c r="P160" s="57">
        <f t="shared" si="22"/>
        <v>106.7480655292137</v>
      </c>
    </row>
    <row r="161" spans="1:16" ht="14.5" x14ac:dyDescent="0.35">
      <c r="A161" s="49"/>
      <c r="B161" s="48"/>
      <c r="C161" s="50"/>
      <c r="D161" s="50"/>
      <c r="E161" s="51"/>
      <c r="F161" s="51"/>
      <c r="G161" s="52"/>
      <c r="J161" s="51">
        <f t="shared" si="19"/>
        <v>9.1995735483738184</v>
      </c>
      <c r="K161" s="51">
        <f t="shared" si="23"/>
        <v>104.38738177478064</v>
      </c>
      <c r="L161" s="55">
        <f t="shared" si="24"/>
        <v>2.6647351468110609</v>
      </c>
      <c r="M161" s="51">
        <f t="shared" si="20"/>
        <v>107.05211692159169</v>
      </c>
      <c r="N161" s="94">
        <f t="shared" si="18"/>
        <v>1583337684.4391291</v>
      </c>
      <c r="O161" s="56">
        <f t="shared" si="21"/>
        <v>104.38738177478064</v>
      </c>
      <c r="P161" s="57">
        <f t="shared" si="22"/>
        <v>107.05211692159169</v>
      </c>
    </row>
    <row r="162" spans="1:16" ht="14.5" x14ac:dyDescent="0.35">
      <c r="A162" s="49"/>
      <c r="B162" s="48"/>
      <c r="C162" s="50"/>
      <c r="D162" s="50"/>
      <c r="E162" s="51"/>
      <c r="F162" s="51"/>
      <c r="G162" s="52"/>
      <c r="J162" s="51">
        <f t="shared" si="19"/>
        <v>9.1900438815211327</v>
      </c>
      <c r="K162" s="51">
        <f t="shared" si="23"/>
        <v>104.73193575618876</v>
      </c>
      <c r="L162" s="55">
        <f t="shared" si="24"/>
        <v>2.6310301880792766</v>
      </c>
      <c r="M162" s="51">
        <f t="shared" si="20"/>
        <v>107.36296594426804</v>
      </c>
      <c r="N162" s="94">
        <f t="shared" si="18"/>
        <v>1548973120.7004077</v>
      </c>
      <c r="O162" s="56">
        <f t="shared" si="21"/>
        <v>104.73193575618876</v>
      </c>
      <c r="P162" s="57">
        <f t="shared" si="22"/>
        <v>107.36296594426804</v>
      </c>
    </row>
    <row r="163" spans="1:16" ht="14.5" x14ac:dyDescent="0.35">
      <c r="A163" s="49"/>
      <c r="B163" s="48"/>
      <c r="C163" s="50"/>
      <c r="D163" s="50"/>
      <c r="E163" s="51"/>
      <c r="F163" s="51"/>
      <c r="G163" s="52"/>
      <c r="J163" s="51">
        <f t="shared" si="19"/>
        <v>9.1803004060939966</v>
      </c>
      <c r="K163" s="51">
        <f t="shared" si="23"/>
        <v>105.08422018575681</v>
      </c>
      <c r="L163" s="55">
        <f t="shared" si="24"/>
        <v>2.5967054115861394</v>
      </c>
      <c r="M163" s="51">
        <f t="shared" si="20"/>
        <v>107.68092559734295</v>
      </c>
      <c r="N163" s="94">
        <f t="shared" si="18"/>
        <v>1514608556.9616828</v>
      </c>
      <c r="O163" s="56">
        <f t="shared" si="21"/>
        <v>105.08422018575681</v>
      </c>
      <c r="P163" s="57">
        <f t="shared" si="22"/>
        <v>107.68092559734295</v>
      </c>
    </row>
    <row r="164" spans="1:16" ht="14.5" x14ac:dyDescent="0.35">
      <c r="A164" s="49"/>
      <c r="B164" s="48"/>
      <c r="C164" s="50"/>
      <c r="D164" s="50"/>
      <c r="E164" s="51"/>
      <c r="F164" s="51"/>
      <c r="G164" s="52"/>
      <c r="J164" s="51">
        <f t="shared" si="19"/>
        <v>9.1703333074061799</v>
      </c>
      <c r="K164" s="51">
        <f t="shared" si="23"/>
        <v>105.44458992260729</v>
      </c>
      <c r="L164" s="55">
        <f t="shared" si="24"/>
        <v>2.5617412687868426</v>
      </c>
      <c r="M164" s="51">
        <f t="shared" si="20"/>
        <v>108.00633119139414</v>
      </c>
      <c r="N164" s="94">
        <f t="shared" si="18"/>
        <v>1480243993.2229588</v>
      </c>
      <c r="O164" s="56">
        <f t="shared" si="21"/>
        <v>105.44458992260729</v>
      </c>
      <c r="P164" s="57">
        <f t="shared" si="22"/>
        <v>108.00633119139414</v>
      </c>
    </row>
    <row r="165" spans="1:16" ht="14.5" x14ac:dyDescent="0.35">
      <c r="A165" s="49"/>
      <c r="B165" s="48"/>
      <c r="C165" s="50"/>
      <c r="D165" s="50"/>
      <c r="E165" s="51"/>
      <c r="F165" s="51"/>
      <c r="G165" s="52"/>
      <c r="J165" s="51">
        <f t="shared" si="19"/>
        <v>9.1601320790630272</v>
      </c>
      <c r="K165" s="51">
        <f t="shared" si="23"/>
        <v>105.81342483522502</v>
      </c>
      <c r="L165" s="55">
        <f t="shared" si="24"/>
        <v>2.5261177045091436</v>
      </c>
      <c r="M165" s="51">
        <f t="shared" si="20"/>
        <v>108.33954253973417</v>
      </c>
      <c r="N165" s="94">
        <f t="shared" si="18"/>
        <v>1445879429.4842374</v>
      </c>
      <c r="O165" s="56">
        <f t="shared" si="21"/>
        <v>105.81342483522502</v>
      </c>
      <c r="P165" s="57">
        <f t="shared" si="22"/>
        <v>108.33954253973417</v>
      </c>
    </row>
    <row r="166" spans="1:16" ht="14.5" x14ac:dyDescent="0.35">
      <c r="A166" s="49"/>
      <c r="B166" s="48"/>
      <c r="C166" s="50"/>
      <c r="D166" s="50"/>
      <c r="E166" s="51"/>
      <c r="F166" s="51"/>
      <c r="G166" s="52"/>
      <c r="J166" s="51">
        <f t="shared" si="19"/>
        <v>9.1496854563952645</v>
      </c>
      <c r="K166" s="51">
        <f t="shared" si="23"/>
        <v>106.1911322082201</v>
      </c>
      <c r="L166" s="55">
        <f t="shared" si="24"/>
        <v>2.4898142212075833</v>
      </c>
      <c r="M166" s="51">
        <f t="shared" si="20"/>
        <v>108.68094642942768</v>
      </c>
      <c r="N166" s="94">
        <f t="shared" si="18"/>
        <v>1411514865.7455156</v>
      </c>
      <c r="O166" s="56">
        <f t="shared" si="21"/>
        <v>106.1911322082201</v>
      </c>
      <c r="P166" s="57">
        <f t="shared" si="22"/>
        <v>108.68094642942768</v>
      </c>
    </row>
    <row r="167" spans="1:16" ht="14.5" x14ac:dyDescent="0.35">
      <c r="A167" s="49"/>
      <c r="B167" s="48"/>
      <c r="C167" s="50"/>
      <c r="D167" s="50"/>
      <c r="E167" s="51"/>
      <c r="F167" s="51"/>
      <c r="G167" s="52"/>
      <c r="J167" s="51">
        <f t="shared" si="19"/>
        <v>9.1389813416875487</v>
      </c>
      <c r="K167" s="51">
        <f t="shared" si="23"/>
        <v>106.57814944575904</v>
      </c>
      <c r="L167" s="55">
        <f t="shared" si="24"/>
        <v>2.4528099693636367</v>
      </c>
      <c r="M167" s="51">
        <f t="shared" si="20"/>
        <v>109.03095941512268</v>
      </c>
      <c r="N167" s="94">
        <f t="shared" si="18"/>
        <v>1377150302.0068021</v>
      </c>
      <c r="O167" s="56">
        <f t="shared" si="21"/>
        <v>106.57814944575904</v>
      </c>
      <c r="P167" s="57">
        <f t="shared" si="22"/>
        <v>109.03095941512268</v>
      </c>
    </row>
    <row r="168" spans="1:16" ht="14.5" x14ac:dyDescent="0.35">
      <c r="A168" s="49"/>
      <c r="B168" s="48"/>
      <c r="C168" s="50"/>
      <c r="D168" s="50"/>
      <c r="E168" s="51"/>
      <c r="F168" s="51"/>
      <c r="G168" s="52"/>
      <c r="J168" s="51">
        <f t="shared" si="19"/>
        <v>9.1280067199572894</v>
      </c>
      <c r="K168" s="51">
        <f t="shared" si="23"/>
        <v>106.97494711666008</v>
      </c>
      <c r="L168" s="55">
        <f t="shared" si="24"/>
        <v>2.4150838715007654</v>
      </c>
      <c r="M168" s="51">
        <f t="shared" si="20"/>
        <v>109.39003098816085</v>
      </c>
      <c r="N168" s="94">
        <f t="shared" ref="N168:N204" si="25">10^$J168</f>
        <v>1342785738.2680745</v>
      </c>
      <c r="O168" s="56">
        <f t="shared" si="21"/>
        <v>106.97494711666008</v>
      </c>
      <c r="P168" s="57">
        <f t="shared" si="22"/>
        <v>109.39003098816085</v>
      </c>
    </row>
    <row r="169" spans="1:16" ht="14.5" x14ac:dyDescent="0.35">
      <c r="A169" s="49"/>
      <c r="B169" s="48"/>
      <c r="C169" s="50"/>
      <c r="D169" s="50"/>
      <c r="E169" s="51"/>
      <c r="F169" s="51"/>
      <c r="G169" s="52"/>
      <c r="J169" s="51">
        <f t="shared" ref="J169:J204" si="26">LOG($I$24+($I$25-$I$24)*(ROW()-104)/100)</f>
        <v>9.1167475638134174</v>
      </c>
      <c r="K169" s="51">
        <f t="shared" si="23"/>
        <v>107.38203239431317</v>
      </c>
      <c r="L169" s="55">
        <f t="shared" si="24"/>
        <v>2.3766147894172338</v>
      </c>
      <c r="M169" s="51">
        <f t="shared" ref="M169:M204" si="27">+$I$14+$I$13*J169+L169</f>
        <v>109.7586471837304</v>
      </c>
      <c r="N169" s="94">
        <f t="shared" si="25"/>
        <v>1308421174.5293522</v>
      </c>
      <c r="O169" s="56">
        <f t="shared" ref="O169:O204" si="28">K169</f>
        <v>107.38203239431317</v>
      </c>
      <c r="P169" s="57">
        <f t="shared" ref="P169:P204" si="29">M169</f>
        <v>109.7586471837304</v>
      </c>
    </row>
    <row r="170" spans="1:16" ht="14.5" x14ac:dyDescent="0.35">
      <c r="A170" s="49"/>
      <c r="B170" s="48"/>
      <c r="C170" s="50"/>
      <c r="D170" s="50"/>
      <c r="E170" s="51"/>
      <c r="F170" s="51"/>
      <c r="G170" s="52"/>
      <c r="J170" s="51">
        <f t="shared" si="26"/>
        <v>9.1051887256506365</v>
      </c>
      <c r="K170" s="51">
        <f t="shared" si="23"/>
        <v>107.79995295449686</v>
      </c>
      <c r="L170" s="55">
        <f t="shared" si="24"/>
        <v>2.3373817470211575</v>
      </c>
      <c r="M170" s="51">
        <f t="shared" si="27"/>
        <v>110.13733470151801</v>
      </c>
      <c r="N170" s="94">
        <f t="shared" si="25"/>
        <v>1274056610.7906289</v>
      </c>
      <c r="O170" s="56">
        <f t="shared" si="28"/>
        <v>107.79995295449686</v>
      </c>
      <c r="P170" s="57">
        <f t="shared" si="29"/>
        <v>110.13733470151801</v>
      </c>
    </row>
    <row r="171" spans="1:16" ht="14.5" x14ac:dyDescent="0.35">
      <c r="A171" s="49"/>
      <c r="B171" s="48"/>
      <c r="C171" s="50"/>
      <c r="D171" s="50"/>
      <c r="E171" s="51"/>
      <c r="F171" s="51"/>
      <c r="G171" s="52"/>
      <c r="J171" s="51">
        <f t="shared" si="26"/>
        <v>9.0933138151007977</v>
      </c>
      <c r="K171" s="51">
        <f t="shared" si="23"/>
        <v>108.22930140623828</v>
      </c>
      <c r="L171" s="55">
        <f t="shared" si="24"/>
        <v>2.2973642247951265</v>
      </c>
      <c r="M171" s="51">
        <f t="shared" si="27"/>
        <v>110.52666563103341</v>
      </c>
      <c r="N171" s="94">
        <f t="shared" si="25"/>
        <v>1239692047.0519085</v>
      </c>
      <c r="O171" s="56">
        <f t="shared" si="28"/>
        <v>108.22930140623828</v>
      </c>
      <c r="P171" s="57">
        <f t="shared" si="29"/>
        <v>110.52666563103341</v>
      </c>
    </row>
    <row r="172" spans="1:16" ht="14.5" x14ac:dyDescent="0.35">
      <c r="A172" s="49"/>
      <c r="B172" s="48"/>
      <c r="C172" s="50"/>
      <c r="D172" s="50"/>
      <c r="E172" s="51"/>
      <c r="F172" s="51"/>
      <c r="G172" s="52"/>
      <c r="J172" s="51">
        <f t="shared" si="26"/>
        <v>9.0811050592537672</v>
      </c>
      <c r="K172" s="51">
        <f t="shared" si="23"/>
        <v>108.6707203456578</v>
      </c>
      <c r="L172" s="55">
        <f t="shared" si="24"/>
        <v>2.2565425467072404</v>
      </c>
      <c r="M172" s="51">
        <f t="shared" si="27"/>
        <v>110.92726289236504</v>
      </c>
      <c r="N172" s="94">
        <f t="shared" si="25"/>
        <v>1205327483.3131876</v>
      </c>
      <c r="O172" s="56">
        <f t="shared" si="28"/>
        <v>108.6707203456578</v>
      </c>
      <c r="P172" s="57">
        <f t="shared" si="29"/>
        <v>110.92726289236504</v>
      </c>
    </row>
    <row r="173" spans="1:16" ht="14.5" x14ac:dyDescent="0.35">
      <c r="A173" s="49"/>
      <c r="B173" s="48"/>
      <c r="C173" s="50"/>
      <c r="D173" s="50"/>
      <c r="E173" s="51"/>
      <c r="F173" s="51"/>
      <c r="G173" s="52"/>
      <c r="J173" s="51">
        <f t="shared" si="26"/>
        <v>9.068543142656333</v>
      </c>
      <c r="K173" s="51">
        <f t="shared" si="23"/>
        <v>109.12490814095759</v>
      </c>
      <c r="L173" s="55">
        <f t="shared" si="24"/>
        <v>2.2148983867120968</v>
      </c>
      <c r="M173" s="51">
        <f t="shared" si="27"/>
        <v>111.33980652766968</v>
      </c>
      <c r="N173" s="94">
        <f t="shared" si="25"/>
        <v>1170962919.5744667</v>
      </c>
      <c r="O173" s="56">
        <f t="shared" si="28"/>
        <v>109.12490814095759</v>
      </c>
      <c r="P173" s="57">
        <f t="shared" si="29"/>
        <v>111.33980652766968</v>
      </c>
    </row>
    <row r="174" spans="1:16" ht="14.5" x14ac:dyDescent="0.35">
      <c r="A174" s="49"/>
      <c r="B174" s="48"/>
      <c r="C174" s="50"/>
      <c r="D174" s="50"/>
      <c r="E174" s="51"/>
      <c r="F174" s="51"/>
      <c r="G174" s="52"/>
      <c r="J174" s="51">
        <f t="shared" si="26"/>
        <v>9.055607023473641</v>
      </c>
      <c r="K174" s="51">
        <f t="shared" si="23"/>
        <v>109.59262557927605</v>
      </c>
      <c r="L174" s="55">
        <f t="shared" si="24"/>
        <v>2.1724154303786083</v>
      </c>
      <c r="M174" s="51">
        <f t="shared" si="27"/>
        <v>111.76504100965465</v>
      </c>
      <c r="N174" s="94">
        <f t="shared" si="25"/>
        <v>1136598355.8357441</v>
      </c>
      <c r="O174" s="56">
        <f t="shared" si="28"/>
        <v>109.59262557927605</v>
      </c>
      <c r="P174" s="57">
        <f t="shared" si="29"/>
        <v>111.76504100965465</v>
      </c>
    </row>
    <row r="175" spans="1:16" ht="14.5" x14ac:dyDescent="0.35">
      <c r="A175" s="49"/>
      <c r="B175" s="48"/>
      <c r="C175" s="50"/>
      <c r="D175" s="50"/>
      <c r="E175" s="51"/>
      <c r="F175" s="51"/>
      <c r="G175" s="52"/>
      <c r="J175" s="51">
        <f t="shared" si="26"/>
        <v>9.0422737214202655</v>
      </c>
      <c r="K175" s="51">
        <f t="shared" si="23"/>
        <v>110.07470353423759</v>
      </c>
      <c r="L175" s="55">
        <f t="shared" si="24"/>
        <v>2.1290802383665492</v>
      </c>
      <c r="M175" s="51">
        <f t="shared" si="27"/>
        <v>112.20378377260414</v>
      </c>
      <c r="N175" s="94">
        <f t="shared" si="25"/>
        <v>1102233792.0970244</v>
      </c>
      <c r="O175" s="56">
        <f t="shared" si="28"/>
        <v>110.07470353423759</v>
      </c>
      <c r="P175" s="57">
        <f t="shared" si="29"/>
        <v>112.20378377260414</v>
      </c>
    </row>
    <row r="176" spans="1:16" ht="14.5" x14ac:dyDescent="0.35">
      <c r="A176" s="49"/>
      <c r="B176" s="48"/>
      <c r="C176" s="50"/>
      <c r="D176" s="50"/>
      <c r="E176" s="51"/>
      <c r="F176" s="51"/>
      <c r="G176" s="52"/>
      <c r="J176" s="51">
        <f t="shared" si="26"/>
        <v>9.0285180720935596</v>
      </c>
      <c r="K176" s="51">
        <f t="shared" si="23"/>
        <v>110.57205184825921</v>
      </c>
      <c r="L176" s="55">
        <f t="shared" si="24"/>
        <v>2.0848833734434353</v>
      </c>
      <c r="M176" s="51">
        <f t="shared" si="27"/>
        <v>112.65693522170264</v>
      </c>
      <c r="N176" s="94">
        <f t="shared" si="25"/>
        <v>1067869228.3582994</v>
      </c>
      <c r="O176" s="56">
        <f t="shared" si="28"/>
        <v>110.57205184825921</v>
      </c>
      <c r="P176" s="57">
        <f t="shared" si="29"/>
        <v>112.65693522170264</v>
      </c>
    </row>
    <row r="177" spans="1:16" ht="14.5" x14ac:dyDescent="0.35">
      <c r="A177" s="49"/>
      <c r="B177" s="48"/>
      <c r="C177" s="50"/>
      <c r="D177" s="50"/>
      <c r="E177" s="51"/>
      <c r="F177" s="51"/>
      <c r="G177" s="52"/>
      <c r="J177" s="51">
        <f t="shared" si="26"/>
        <v>9.0143124411122866</v>
      </c>
      <c r="K177" s="51">
        <f t="shared" si="23"/>
        <v>111.08566966813424</v>
      </c>
      <c r="L177" s="55">
        <f t="shared" si="24"/>
        <v>2.0398208728498135</v>
      </c>
      <c r="M177" s="51">
        <f t="shared" si="27"/>
        <v>113.12549054098406</v>
      </c>
      <c r="N177" s="94">
        <f t="shared" si="25"/>
        <v>1033504664.6195766</v>
      </c>
      <c r="O177" s="56">
        <f t="shared" si="28"/>
        <v>111.08566966813424</v>
      </c>
      <c r="P177" s="57">
        <f t="shared" si="29"/>
        <v>113.12549054098406</v>
      </c>
    </row>
    <row r="178" spans="1:16" ht="14.5" x14ac:dyDescent="0.35">
      <c r="A178" s="49"/>
      <c r="B178" s="48"/>
      <c r="C178" s="50"/>
      <c r="D178" s="50"/>
      <c r="E178" s="51"/>
      <c r="F178" s="51"/>
      <c r="G178" s="52"/>
      <c r="J178" s="51">
        <f t="shared" si="26"/>
        <v>8.9996263899010334</v>
      </c>
      <c r="K178" s="51">
        <f t="shared" si="23"/>
        <v>111.61665752890872</v>
      </c>
      <c r="L178" s="55">
        <f t="shared" si="24"/>
        <v>1.9938961749530655</v>
      </c>
      <c r="M178" s="51">
        <f t="shared" si="27"/>
        <v>113.61055370386178</v>
      </c>
      <c r="N178" s="94">
        <f t="shared" si="25"/>
        <v>999140100.88085806</v>
      </c>
      <c r="O178" s="56">
        <f t="shared" si="28"/>
        <v>111.61665752890872</v>
      </c>
      <c r="P178" s="57">
        <f t="shared" si="29"/>
        <v>113.61055370386178</v>
      </c>
    </row>
    <row r="179" spans="1:16" ht="14.5" x14ac:dyDescent="0.35">
      <c r="A179" s="49"/>
      <c r="B179" s="48"/>
      <c r="C179" s="50"/>
      <c r="D179" s="50"/>
      <c r="E179" s="51"/>
      <c r="F179" s="51"/>
      <c r="G179" s="52"/>
      <c r="J179" s="51">
        <f t="shared" si="26"/>
        <v>8.9844262829605928</v>
      </c>
      <c r="K179" s="51">
        <f t="shared" si="23"/>
        <v>112.16623155338596</v>
      </c>
      <c r="L179" s="55">
        <f t="shared" si="24"/>
        <v>1.9471226458339461</v>
      </c>
      <c r="M179" s="51">
        <f t="shared" si="27"/>
        <v>114.1133541992199</v>
      </c>
      <c r="N179" s="94">
        <f t="shared" si="25"/>
        <v>964775537.14213336</v>
      </c>
      <c r="O179" s="56">
        <f t="shared" si="28"/>
        <v>112.16623155338596</v>
      </c>
      <c r="P179" s="57">
        <f t="shared" si="29"/>
        <v>114.1133541992199</v>
      </c>
    </row>
    <row r="180" spans="1:16" ht="14.5" x14ac:dyDescent="0.35">
      <c r="A180" s="49"/>
      <c r="B180" s="48"/>
      <c r="C180" s="50"/>
      <c r="D180" s="50"/>
      <c r="E180" s="51"/>
      <c r="F180" s="51"/>
      <c r="G180" s="52"/>
      <c r="J180" s="51">
        <f t="shared" si="26"/>
        <v>8.9686748238833811</v>
      </c>
      <c r="K180" s="51">
        <f t="shared" si="23"/>
        <v>112.73574022792172</v>
      </c>
      <c r="L180" s="55">
        <f t="shared" si="24"/>
        <v>1.8995269012027276</v>
      </c>
      <c r="M180" s="51">
        <f t="shared" si="27"/>
        <v>114.63526712912446</v>
      </c>
      <c r="N180" s="94">
        <f t="shared" si="25"/>
        <v>930410973.40341306</v>
      </c>
      <c r="O180" s="56">
        <f t="shared" si="28"/>
        <v>112.73574022792172</v>
      </c>
      <c r="P180" s="57">
        <f t="shared" si="29"/>
        <v>114.63526712912446</v>
      </c>
    </row>
    <row r="181" spans="1:16" ht="14.5" x14ac:dyDescent="0.35">
      <c r="A181" s="49"/>
      <c r="B181" s="48"/>
      <c r="C181" s="50"/>
      <c r="D181" s="50"/>
      <c r="E181" s="51"/>
      <c r="F181" s="51"/>
      <c r="G181" s="52"/>
      <c r="J181" s="51">
        <f t="shared" si="26"/>
        <v>8.9523305040140322</v>
      </c>
      <c r="K181" s="51">
        <f t="shared" si="23"/>
        <v>113.32668433661371</v>
      </c>
      <c r="L181" s="55">
        <f t="shared" si="24"/>
        <v>1.8511531865153181</v>
      </c>
      <c r="M181" s="51">
        <f t="shared" si="27"/>
        <v>115.17783752312903</v>
      </c>
      <c r="N181" s="94">
        <f t="shared" si="25"/>
        <v>896046409.66469169</v>
      </c>
      <c r="O181" s="56">
        <f t="shared" si="28"/>
        <v>113.32668433661371</v>
      </c>
      <c r="P181" s="57">
        <f t="shared" si="29"/>
        <v>115.17783752312903</v>
      </c>
    </row>
    <row r="182" spans="1:16" ht="14.5" x14ac:dyDescent="0.35">
      <c r="A182" s="49"/>
      <c r="B182" s="48"/>
      <c r="C182" s="50"/>
      <c r="D182" s="50"/>
      <c r="E182" s="51"/>
      <c r="F182" s="51"/>
      <c r="G182" s="52"/>
      <c r="J182" s="51">
        <f t="shared" si="26"/>
        <v>8.9353469432447152</v>
      </c>
      <c r="K182" s="51">
        <f t="shared" si="23"/>
        <v>113.94074079546107</v>
      </c>
      <c r="L182" s="55">
        <f t="shared" si="24"/>
        <v>1.8020691695079689</v>
      </c>
      <c r="M182" s="51">
        <f t="shared" si="27"/>
        <v>115.74280996496904</v>
      </c>
      <c r="N182" s="94">
        <f t="shared" si="25"/>
        <v>861681845.92596829</v>
      </c>
      <c r="O182" s="56">
        <f t="shared" si="28"/>
        <v>113.94074079546107</v>
      </c>
      <c r="P182" s="57">
        <f t="shared" si="29"/>
        <v>115.74280996496904</v>
      </c>
    </row>
    <row r="183" spans="1:16" ht="14.5" x14ac:dyDescent="0.35">
      <c r="A183" s="49"/>
      <c r="B183" s="48"/>
      <c r="C183" s="50"/>
      <c r="D183" s="50"/>
      <c r="E183" s="51"/>
      <c r="F183" s="51"/>
      <c r="G183" s="52"/>
      <c r="J183" s="51">
        <f t="shared" si="26"/>
        <v>8.9176720965867275</v>
      </c>
      <c r="K183" s="51">
        <f t="shared" si="23"/>
        <v>114.57979133950727</v>
      </c>
      <c r="L183" s="55">
        <f t="shared" si="24"/>
        <v>1.7523736224109803</v>
      </c>
      <c r="M183" s="51">
        <f t="shared" si="27"/>
        <v>116.33216496191825</v>
      </c>
      <c r="N183" s="94">
        <f t="shared" si="25"/>
        <v>827317282.18724895</v>
      </c>
      <c r="O183" s="56">
        <f t="shared" si="28"/>
        <v>114.57979133950727</v>
      </c>
      <c r="P183" s="57">
        <f t="shared" si="29"/>
        <v>116.33216496191825</v>
      </c>
    </row>
    <row r="184" spans="1:16" ht="14.5" x14ac:dyDescent="0.35">
      <c r="A184" s="49"/>
      <c r="B184" s="48"/>
      <c r="C184" s="50"/>
      <c r="D184" s="50"/>
      <c r="E184" s="51"/>
      <c r="F184" s="51"/>
      <c r="G184" s="52"/>
      <c r="J184" s="51">
        <f t="shared" si="26"/>
        <v>8.899247292325061</v>
      </c>
      <c r="K184" s="51">
        <f t="shared" si="23"/>
        <v>115.24595729925778</v>
      </c>
      <c r="L184" s="55">
        <f t="shared" si="24"/>
        <v>1.702206635142665</v>
      </c>
      <c r="M184" s="51">
        <f t="shared" si="27"/>
        <v>116.94816393440044</v>
      </c>
      <c r="N184" s="94">
        <f t="shared" si="25"/>
        <v>792952718.4485234</v>
      </c>
      <c r="O184" s="56">
        <f t="shared" si="28"/>
        <v>115.24595729925778</v>
      </c>
      <c r="P184" s="57">
        <f t="shared" si="29"/>
        <v>116.94816393440044</v>
      </c>
    </row>
    <row r="185" spans="1:16" ht="14.5" x14ac:dyDescent="0.35">
      <c r="A185" s="49"/>
      <c r="B185" s="48"/>
      <c r="C185" s="50"/>
      <c r="D185" s="50"/>
      <c r="E185" s="51"/>
      <c r="F185" s="51"/>
      <c r="G185" s="52"/>
      <c r="J185" s="51">
        <f t="shared" si="26"/>
        <v>8.8800060569479307</v>
      </c>
      <c r="K185" s="51">
        <f t="shared" si="23"/>
        <v>115.9416420864477</v>
      </c>
      <c r="L185" s="55">
        <f t="shared" si="24"/>
        <v>1.6517632154858748</v>
      </c>
      <c r="M185" s="51">
        <f t="shared" si="27"/>
        <v>117.59340530193357</v>
      </c>
      <c r="N185" s="94">
        <f t="shared" si="25"/>
        <v>758588154.70980608</v>
      </c>
      <c r="O185" s="56">
        <f t="shared" si="28"/>
        <v>115.9416420864477</v>
      </c>
      <c r="P185" s="57">
        <f t="shared" si="29"/>
        <v>117.59340530193357</v>
      </c>
    </row>
    <row r="186" spans="1:16" ht="14.5" x14ac:dyDescent="0.35">
      <c r="A186" s="49"/>
      <c r="B186" s="48"/>
      <c r="C186" s="50"/>
      <c r="D186" s="50"/>
      <c r="E186" s="51"/>
      <c r="F186" s="51"/>
      <c r="G186" s="52"/>
      <c r="J186" s="51">
        <f t="shared" si="26"/>
        <v>8.8598726674869202</v>
      </c>
      <c r="K186" s="51">
        <f t="shared" si="23"/>
        <v>116.66958353553167</v>
      </c>
      <c r="L186" s="55">
        <f t="shared" si="24"/>
        <v>1.6013114043226075</v>
      </c>
      <c r="M186" s="51">
        <f t="shared" si="27"/>
        <v>118.27089493985427</v>
      </c>
      <c r="N186" s="94">
        <f t="shared" si="25"/>
        <v>724223590.97108138</v>
      </c>
      <c r="O186" s="56">
        <f t="shared" si="28"/>
        <v>116.66958353553167</v>
      </c>
      <c r="P186" s="57">
        <f t="shared" si="29"/>
        <v>118.27089493985427</v>
      </c>
    </row>
    <row r="187" spans="1:16" ht="14.5" x14ac:dyDescent="0.35">
      <c r="A187" s="49"/>
      <c r="B187" s="48"/>
      <c r="C187" s="50"/>
      <c r="D187" s="50"/>
      <c r="E187" s="51"/>
      <c r="F187" s="51"/>
      <c r="G187" s="52"/>
      <c r="J187" s="51">
        <f t="shared" si="26"/>
        <v>8.838760351679003</v>
      </c>
      <c r="K187" s="51">
        <f t="shared" si="23"/>
        <v>117.43291897850293</v>
      </c>
      <c r="L187" s="55">
        <f t="shared" si="24"/>
        <v>1.5512163593662731</v>
      </c>
      <c r="M187" s="51">
        <f t="shared" si="27"/>
        <v>118.9841353378692</v>
      </c>
      <c r="N187" s="94">
        <f t="shared" si="25"/>
        <v>689859027.23235881</v>
      </c>
      <c r="O187" s="56">
        <f t="shared" si="28"/>
        <v>117.43291897850293</v>
      </c>
      <c r="P187" s="57">
        <f t="shared" si="29"/>
        <v>118.9841353378692</v>
      </c>
    </row>
    <row r="188" spans="1:16" ht="14.5" x14ac:dyDescent="0.35">
      <c r="A188" s="49"/>
      <c r="B188" s="48"/>
      <c r="C188" s="50"/>
      <c r="D188" s="50"/>
      <c r="E188" s="51"/>
      <c r="F188" s="51"/>
      <c r="G188" s="52"/>
      <c r="J188" s="51">
        <f t="shared" si="26"/>
        <v>8.8165690278578079</v>
      </c>
      <c r="K188" s="51">
        <f t="shared" si="23"/>
        <v>118.23526696122957</v>
      </c>
      <c r="L188" s="55">
        <f t="shared" si="24"/>
        <v>1.5019722079561975</v>
      </c>
      <c r="M188" s="51">
        <f t="shared" si="27"/>
        <v>119.73723916918577</v>
      </c>
      <c r="N188" s="94">
        <f t="shared" si="25"/>
        <v>655494463.4936378</v>
      </c>
      <c r="O188" s="56">
        <f t="shared" si="28"/>
        <v>118.23526696122957</v>
      </c>
      <c r="P188" s="57">
        <f t="shared" si="29"/>
        <v>119.73723916918577</v>
      </c>
    </row>
    <row r="189" spans="1:16" ht="14.5" x14ac:dyDescent="0.35">
      <c r="A189" s="49"/>
      <c r="B189" s="48"/>
      <c r="C189" s="50"/>
      <c r="D189" s="50"/>
      <c r="E189" s="51"/>
      <c r="F189" s="51"/>
      <c r="G189" s="52"/>
      <c r="J189" s="51">
        <f t="shared" si="26"/>
        <v>8.7931824356793342</v>
      </c>
      <c r="K189" s="51">
        <f t="shared" si="23"/>
        <v>119.08083098473901</v>
      </c>
      <c r="L189" s="55">
        <f t="shared" si="24"/>
        <v>1.4542437472766625</v>
      </c>
      <c r="M189" s="51">
        <f t="shared" si="27"/>
        <v>120.53507473201567</v>
      </c>
      <c r="N189" s="94">
        <f t="shared" si="25"/>
        <v>621129899.75491393</v>
      </c>
      <c r="O189" s="56">
        <f t="shared" si="28"/>
        <v>119.08083098473901</v>
      </c>
      <c r="P189" s="57">
        <f t="shared" si="29"/>
        <v>120.53507473201567</v>
      </c>
    </row>
    <row r="190" spans="1:16" ht="14.5" x14ac:dyDescent="0.35">
      <c r="A190" s="49"/>
      <c r="B190" s="48"/>
      <c r="C190" s="50"/>
      <c r="D190" s="50"/>
      <c r="E190" s="51"/>
      <c r="F190" s="51"/>
      <c r="G190" s="52"/>
      <c r="J190" s="51">
        <f t="shared" si="26"/>
        <v>8.7684644493744504</v>
      </c>
      <c r="K190" s="51">
        <f t="shared" si="23"/>
        <v>119.97453280300761</v>
      </c>
      <c r="L190" s="55">
        <f t="shared" si="24"/>
        <v>1.4089200729663955</v>
      </c>
      <c r="M190" s="51">
        <f t="shared" si="27"/>
        <v>121.383452875974</v>
      </c>
      <c r="N190" s="94">
        <f t="shared" si="25"/>
        <v>586765336.01619339</v>
      </c>
      <c r="O190" s="56">
        <f t="shared" si="28"/>
        <v>119.97453280300761</v>
      </c>
      <c r="P190" s="57">
        <f t="shared" si="29"/>
        <v>121.383452875974</v>
      </c>
    </row>
    <row r="191" spans="1:16" ht="14.5" x14ac:dyDescent="0.35">
      <c r="A191" s="49"/>
      <c r="B191" s="48"/>
      <c r="C191" s="50"/>
      <c r="D191" s="50"/>
      <c r="E191" s="51"/>
      <c r="F191" s="51"/>
      <c r="G191" s="52"/>
      <c r="J191" s="51">
        <f t="shared" si="26"/>
        <v>8.7422542770673637</v>
      </c>
      <c r="K191" s="51">
        <f t="shared" si="23"/>
        <v>120.92218599607327</v>
      </c>
      <c r="L191" s="55">
        <f t="shared" si="24"/>
        <v>1.3671815457194954</v>
      </c>
      <c r="M191" s="51">
        <f t="shared" si="27"/>
        <v>122.28936754179276</v>
      </c>
      <c r="N191" s="94">
        <f t="shared" si="25"/>
        <v>552400772.2774713</v>
      </c>
      <c r="O191" s="56">
        <f t="shared" si="28"/>
        <v>120.92218599607327</v>
      </c>
      <c r="P191" s="57">
        <f t="shared" si="29"/>
        <v>122.28936754179276</v>
      </c>
    </row>
    <row r="192" spans="1:16" ht="14.5" x14ac:dyDescent="0.35">
      <c r="A192" s="49"/>
      <c r="B192" s="48"/>
      <c r="C192" s="50"/>
      <c r="D192" s="50"/>
      <c r="E192" s="51"/>
      <c r="F192" s="51"/>
      <c r="G192" s="52"/>
      <c r="J192" s="51">
        <f t="shared" si="26"/>
        <v>8.714360116152573</v>
      </c>
      <c r="K192" s="51">
        <f t="shared" si="23"/>
        <v>121.93072536579126</v>
      </c>
      <c r="L192" s="55">
        <f t="shared" si="24"/>
        <v>1.3305795039180666</v>
      </c>
      <c r="M192" s="51">
        <f t="shared" si="27"/>
        <v>123.26130486970933</v>
      </c>
      <c r="N192" s="94">
        <f t="shared" si="25"/>
        <v>518036208.53875023</v>
      </c>
      <c r="O192" s="56">
        <f t="shared" si="28"/>
        <v>121.93072536579126</v>
      </c>
      <c r="P192" s="57">
        <f t="shared" si="29"/>
        <v>123.26130486970933</v>
      </c>
    </row>
    <row r="193" spans="1:16" ht="14.5" x14ac:dyDescent="0.35">
      <c r="A193" s="49"/>
      <c r="B193" s="48"/>
      <c r="C193" s="50"/>
      <c r="D193" s="50"/>
      <c r="E193" s="51"/>
      <c r="F193" s="51"/>
      <c r="G193" s="52"/>
      <c r="J193" s="51">
        <f t="shared" si="26"/>
        <v>8.6845506276658124</v>
      </c>
      <c r="K193" s="51">
        <f t="shared" si="23"/>
        <v>123.00851518789381</v>
      </c>
      <c r="L193" s="55">
        <f t="shared" si="24"/>
        <v>1.3011239735137843</v>
      </c>
      <c r="M193" s="51">
        <f t="shared" si="27"/>
        <v>124.30963916140759</v>
      </c>
      <c r="N193" s="94">
        <f t="shared" si="25"/>
        <v>483671644.80002958</v>
      </c>
      <c r="O193" s="56">
        <f t="shared" si="28"/>
        <v>123.00851518789381</v>
      </c>
      <c r="P193" s="57">
        <f t="shared" si="29"/>
        <v>124.30963916140759</v>
      </c>
    </row>
    <row r="194" spans="1:16" ht="14.5" x14ac:dyDescent="0.35">
      <c r="A194" s="49"/>
      <c r="B194" s="48"/>
      <c r="C194" s="50"/>
      <c r="D194" s="50"/>
      <c r="E194" s="51"/>
      <c r="F194" s="51"/>
      <c r="G194" s="52"/>
      <c r="J194" s="51">
        <f t="shared" si="26"/>
        <v>8.6525432631103136</v>
      </c>
      <c r="K194" s="51">
        <f t="shared" ref="K194:K204" si="30">+$I$14+$I$13*J194</f>
        <v>124.16577126645967</v>
      </c>
      <c r="L194" s="55">
        <f t="shared" ref="L194:L204" si="31">SQRT(2*$I$20*$I$17)*SQRT((1/$I$2)+((J194-$I$11)^2/$I$8))</f>
        <v>1.2813679017919746</v>
      </c>
      <c r="M194" s="51">
        <f t="shared" si="27"/>
        <v>125.44713916825165</v>
      </c>
      <c r="N194" s="94">
        <f t="shared" si="25"/>
        <v>449307081.06130582</v>
      </c>
      <c r="O194" s="56">
        <f t="shared" si="28"/>
        <v>124.16577126645967</v>
      </c>
      <c r="P194" s="57">
        <f t="shared" si="29"/>
        <v>125.44713916825165</v>
      </c>
    </row>
    <row r="195" spans="1:16" ht="14.5" x14ac:dyDescent="0.35">
      <c r="A195" s="49"/>
      <c r="B195" s="48"/>
      <c r="C195" s="50"/>
      <c r="D195" s="50"/>
      <c r="E195" s="51"/>
      <c r="F195" s="51"/>
      <c r="G195" s="52"/>
      <c r="J195" s="51">
        <f t="shared" si="26"/>
        <v>8.617987937341713</v>
      </c>
      <c r="K195" s="51">
        <f t="shared" si="30"/>
        <v>125.415151255968</v>
      </c>
      <c r="L195" s="55">
        <f t="shared" si="31"/>
        <v>1.2744687333825884</v>
      </c>
      <c r="M195" s="51">
        <f t="shared" si="27"/>
        <v>126.68961998935059</v>
      </c>
      <c r="N195" s="94">
        <f t="shared" si="25"/>
        <v>414942517.32258517</v>
      </c>
      <c r="O195" s="56">
        <f t="shared" si="28"/>
        <v>125.415151255968</v>
      </c>
      <c r="P195" s="57">
        <f t="shared" si="29"/>
        <v>126.68961998935059</v>
      </c>
    </row>
    <row r="196" spans="1:16" ht="14.5" x14ac:dyDescent="0.35">
      <c r="A196" s="49"/>
      <c r="B196" s="48"/>
      <c r="C196" s="50"/>
      <c r="D196" s="50"/>
      <c r="E196" s="51"/>
      <c r="F196" s="51"/>
      <c r="G196" s="52"/>
      <c r="J196" s="51">
        <f t="shared" si="26"/>
        <v>8.5804436265306308</v>
      </c>
      <c r="K196" s="51">
        <f t="shared" si="30"/>
        <v>126.77260078375883</v>
      </c>
      <c r="L196" s="55">
        <f t="shared" si="31"/>
        <v>1.2842056411435543</v>
      </c>
      <c r="M196" s="51">
        <f t="shared" si="27"/>
        <v>128.05680642490239</v>
      </c>
      <c r="N196" s="94">
        <f t="shared" si="25"/>
        <v>380577953.58386189</v>
      </c>
      <c r="O196" s="56">
        <f t="shared" si="28"/>
        <v>126.77260078375883</v>
      </c>
      <c r="P196" s="57">
        <f t="shared" si="29"/>
        <v>128.05680642490239</v>
      </c>
    </row>
    <row r="197" spans="1:16" ht="14.5" x14ac:dyDescent="0.35">
      <c r="A197" s="49"/>
      <c r="B197" s="48"/>
      <c r="C197" s="50"/>
      <c r="D197" s="50"/>
      <c r="E197" s="51"/>
      <c r="F197" s="51"/>
      <c r="G197" s="52"/>
      <c r="J197" s="51">
        <f t="shared" si="26"/>
        <v>8.5393438602563183</v>
      </c>
      <c r="K197" s="51">
        <f t="shared" si="30"/>
        <v>128.25860111552976</v>
      </c>
      <c r="L197" s="55">
        <f t="shared" si="31"/>
        <v>1.3149455658730076</v>
      </c>
      <c r="M197" s="51">
        <f t="shared" si="27"/>
        <v>129.57354668140277</v>
      </c>
      <c r="N197" s="94">
        <f t="shared" si="25"/>
        <v>346213389.84514058</v>
      </c>
      <c r="O197" s="56">
        <f t="shared" si="28"/>
        <v>128.25860111552976</v>
      </c>
      <c r="P197" s="57">
        <f t="shared" si="29"/>
        <v>129.57354668140277</v>
      </c>
    </row>
    <row r="198" spans="1:16" ht="14.5" x14ac:dyDescent="0.35">
      <c r="A198" s="49"/>
      <c r="B198" s="48"/>
      <c r="C198" s="50"/>
      <c r="D198" s="50"/>
      <c r="E198" s="51"/>
      <c r="F198" s="51"/>
      <c r="G198" s="52"/>
      <c r="J198" s="51">
        <f t="shared" si="26"/>
        <v>8.4939441135740523</v>
      </c>
      <c r="K198" s="51">
        <f t="shared" si="30"/>
        <v>129.90007124414046</v>
      </c>
      <c r="L198" s="55">
        <f t="shared" si="31"/>
        <v>1.3715960400919525</v>
      </c>
      <c r="M198" s="51">
        <f t="shared" si="27"/>
        <v>131.27166728423242</v>
      </c>
      <c r="N198" s="94">
        <f t="shared" si="25"/>
        <v>311848826.10641807</v>
      </c>
      <c r="O198" s="56">
        <f t="shared" si="28"/>
        <v>129.90007124414046</v>
      </c>
      <c r="P198" s="57">
        <f t="shared" si="29"/>
        <v>131.27166728423242</v>
      </c>
    </row>
    <row r="199" spans="1:16" ht="14.5" x14ac:dyDescent="0.35">
      <c r="A199" s="49"/>
      <c r="B199" s="48"/>
      <c r="C199" s="50"/>
      <c r="D199" s="50"/>
      <c r="E199" s="51"/>
      <c r="F199" s="51"/>
      <c r="G199" s="52"/>
      <c r="J199" s="51">
        <f t="shared" si="26"/>
        <v>8.4432383569697489</v>
      </c>
      <c r="K199" s="51">
        <f t="shared" si="30"/>
        <v>131.73338510373253</v>
      </c>
      <c r="L199" s="55">
        <f t="shared" si="31"/>
        <v>1.4596563484180876</v>
      </c>
      <c r="M199" s="51">
        <f t="shared" si="27"/>
        <v>133.19304145215062</v>
      </c>
      <c r="N199" s="94">
        <f t="shared" si="25"/>
        <v>277484262.36769646</v>
      </c>
      <c r="O199" s="56">
        <f t="shared" si="28"/>
        <v>131.73338510373253</v>
      </c>
      <c r="P199" s="57">
        <f t="shared" si="29"/>
        <v>133.19304145215062</v>
      </c>
    </row>
    <row r="200" spans="1:16" ht="14.5" x14ac:dyDescent="0.35">
      <c r="A200" s="49"/>
      <c r="B200" s="48"/>
      <c r="C200" s="50"/>
      <c r="D200" s="50"/>
      <c r="E200" s="51"/>
      <c r="F200" s="51"/>
      <c r="G200" s="52"/>
      <c r="J200" s="51">
        <f t="shared" si="26"/>
        <v>8.385820148721054</v>
      </c>
      <c r="K200" s="51">
        <f t="shared" si="30"/>
        <v>133.80939390479915</v>
      </c>
      <c r="L200" s="55">
        <f t="shared" si="31"/>
        <v>1.5855601142847291</v>
      </c>
      <c r="M200" s="51">
        <f t="shared" si="27"/>
        <v>135.39495401908388</v>
      </c>
      <c r="N200" s="94">
        <f t="shared" si="25"/>
        <v>243119698.62897554</v>
      </c>
      <c r="O200" s="56">
        <f t="shared" si="28"/>
        <v>133.80939390479915</v>
      </c>
      <c r="P200" s="57">
        <f t="shared" si="29"/>
        <v>135.39495401908388</v>
      </c>
    </row>
    <row r="201" spans="1:16" ht="14.5" x14ac:dyDescent="0.35">
      <c r="A201" s="49"/>
      <c r="B201" s="48"/>
      <c r="C201" s="50"/>
      <c r="D201" s="50"/>
      <c r="E201" s="51"/>
      <c r="F201" s="51"/>
      <c r="G201" s="52"/>
      <c r="J201" s="51">
        <f t="shared" si="26"/>
        <v>8.319637166920069</v>
      </c>
      <c r="K201" s="51">
        <f t="shared" si="30"/>
        <v>136.20230125754296</v>
      </c>
      <c r="L201" s="55">
        <f t="shared" si="31"/>
        <v>1.7575880149795824</v>
      </c>
      <c r="M201" s="51">
        <f t="shared" si="27"/>
        <v>137.95988927252253</v>
      </c>
      <c r="N201" s="94">
        <f t="shared" si="25"/>
        <v>208755134.89025301</v>
      </c>
      <c r="O201" s="56">
        <f t="shared" si="28"/>
        <v>136.20230125754296</v>
      </c>
      <c r="P201" s="57">
        <f t="shared" si="29"/>
        <v>137.95988927252253</v>
      </c>
    </row>
    <row r="202" spans="1:16" ht="14.5" x14ac:dyDescent="0.35">
      <c r="A202" s="49"/>
      <c r="B202" s="48"/>
      <c r="C202" s="50"/>
      <c r="D202" s="50"/>
      <c r="E202" s="51"/>
      <c r="F202" s="51"/>
      <c r="G202" s="52"/>
      <c r="J202" s="51">
        <f t="shared" si="26"/>
        <v>8.2415230000486179</v>
      </c>
      <c r="K202" s="51">
        <f t="shared" si="30"/>
        <v>139.02659171973806</v>
      </c>
      <c r="L202" s="55">
        <f t="shared" si="31"/>
        <v>1.9878191863165242</v>
      </c>
      <c r="M202" s="51">
        <f t="shared" si="27"/>
        <v>141.01441090605459</v>
      </c>
      <c r="N202" s="94">
        <f t="shared" si="25"/>
        <v>174390571.15153131</v>
      </c>
      <c r="O202" s="56">
        <f t="shared" si="28"/>
        <v>139.02659171973806</v>
      </c>
      <c r="P202" s="57">
        <f t="shared" si="29"/>
        <v>141.01441090605459</v>
      </c>
    </row>
    <row r="203" spans="1:16" ht="14.5" x14ac:dyDescent="0.35">
      <c r="A203" s="49"/>
      <c r="B203" s="48"/>
      <c r="C203" s="50"/>
      <c r="D203" s="50"/>
      <c r="E203" s="51"/>
      <c r="F203" s="51"/>
      <c r="G203" s="52"/>
      <c r="J203" s="51">
        <f t="shared" si="26"/>
        <v>8.1462087058703254</v>
      </c>
      <c r="K203" s="51">
        <f t="shared" si="30"/>
        <v>142.4727688056642</v>
      </c>
      <c r="L203" s="55">
        <f t="shared" si="31"/>
        <v>2.2962446132676226</v>
      </c>
      <c r="M203" s="51">
        <f t="shared" si="27"/>
        <v>144.76901341893182</v>
      </c>
      <c r="N203" s="94">
        <f t="shared" si="25"/>
        <v>140026007.41280854</v>
      </c>
      <c r="O203" s="56">
        <f t="shared" si="28"/>
        <v>142.4727688056642</v>
      </c>
      <c r="P203" s="57">
        <f t="shared" si="29"/>
        <v>144.76901341893182</v>
      </c>
    </row>
    <row r="204" spans="1:16" ht="15" thickBot="1" x14ac:dyDescent="0.4">
      <c r="A204" s="49"/>
      <c r="B204" s="48"/>
      <c r="C204" s="50"/>
      <c r="D204" s="50"/>
      <c r="E204" s="51"/>
      <c r="F204" s="51"/>
      <c r="G204" s="52"/>
      <c r="J204" s="51">
        <f t="shared" si="26"/>
        <v>8.0239165402464945</v>
      </c>
      <c r="K204" s="51">
        <f t="shared" si="30"/>
        <v>146.89435596207539</v>
      </c>
      <c r="L204" s="55">
        <f t="shared" si="31"/>
        <v>2.7205343022413064</v>
      </c>
      <c r="M204" s="51">
        <f t="shared" si="27"/>
        <v>149.6148902643167</v>
      </c>
      <c r="N204" s="97">
        <f t="shared" si="25"/>
        <v>105661443.67408726</v>
      </c>
      <c r="O204" s="56">
        <f t="shared" si="28"/>
        <v>146.89435596207539</v>
      </c>
      <c r="P204" s="57">
        <f t="shared" si="29"/>
        <v>149.6148902643167</v>
      </c>
    </row>
    <row r="205" spans="1:16" ht="14.5" x14ac:dyDescent="0.35">
      <c r="A205" s="49"/>
      <c r="B205" s="48"/>
      <c r="C205" s="50"/>
      <c r="D205" s="50"/>
      <c r="E205" s="51"/>
      <c r="F205" s="51"/>
      <c r="G205" s="52"/>
    </row>
    <row r="206" spans="1:16" ht="14.5" x14ac:dyDescent="0.35">
      <c r="A206" s="49"/>
      <c r="B206" s="48"/>
      <c r="C206" s="50"/>
      <c r="D206" s="50"/>
      <c r="E206" s="51"/>
      <c r="F206" s="51"/>
      <c r="G206" s="52"/>
    </row>
    <row r="207" spans="1:16" ht="14.5" x14ac:dyDescent="0.35">
      <c r="A207" s="49"/>
      <c r="B207" s="48"/>
      <c r="C207" s="50"/>
      <c r="D207" s="50"/>
      <c r="E207" s="51"/>
      <c r="F207" s="51"/>
      <c r="G207" s="52"/>
    </row>
    <row r="208" spans="1:16" ht="14.5" x14ac:dyDescent="0.35">
      <c r="A208" s="49"/>
      <c r="B208" s="48"/>
      <c r="C208" s="50"/>
      <c r="D208" s="50"/>
      <c r="E208" s="51"/>
      <c r="F208" s="51"/>
      <c r="G208" s="52"/>
    </row>
    <row r="209" spans="1:7" ht="14.5" x14ac:dyDescent="0.35">
      <c r="A209" s="49"/>
      <c r="B209" s="48"/>
      <c r="C209" s="50"/>
      <c r="D209" s="50"/>
      <c r="E209" s="51"/>
      <c r="F209" s="51"/>
      <c r="G209" s="52"/>
    </row>
    <row r="210" spans="1:7" ht="14.5" x14ac:dyDescent="0.35">
      <c r="A210" s="49"/>
      <c r="B210" s="48"/>
      <c r="C210" s="50"/>
      <c r="D210" s="50"/>
      <c r="E210" s="51"/>
      <c r="F210" s="51"/>
      <c r="G210" s="52"/>
    </row>
    <row r="211" spans="1:7" ht="14.5" x14ac:dyDescent="0.35">
      <c r="A211" s="49"/>
      <c r="B211" s="48"/>
      <c r="C211" s="50"/>
      <c r="D211" s="50"/>
      <c r="E211" s="51"/>
      <c r="F211" s="51"/>
      <c r="G211" s="52"/>
    </row>
    <row r="212" spans="1:7" ht="14.5" x14ac:dyDescent="0.35">
      <c r="A212" s="49"/>
      <c r="B212" s="48"/>
      <c r="C212" s="50"/>
      <c r="D212" s="50"/>
      <c r="E212" s="51"/>
      <c r="F212" s="51"/>
      <c r="G212" s="52"/>
    </row>
    <row r="213" spans="1:7" ht="14.5" x14ac:dyDescent="0.35">
      <c r="A213" s="49"/>
      <c r="B213" s="48"/>
      <c r="C213" s="50"/>
      <c r="D213" s="50"/>
      <c r="E213" s="51"/>
      <c r="F213" s="51"/>
      <c r="G213" s="52"/>
    </row>
    <row r="214" spans="1:7" ht="14.5" x14ac:dyDescent="0.35">
      <c r="A214" s="49"/>
      <c r="B214" s="48"/>
      <c r="C214" s="50"/>
      <c r="D214" s="50"/>
      <c r="E214" s="51"/>
      <c r="F214" s="51"/>
      <c r="G214" s="52"/>
    </row>
    <row r="215" spans="1:7" ht="14.5" x14ac:dyDescent="0.35">
      <c r="A215" s="49"/>
      <c r="B215" s="48"/>
      <c r="C215" s="50"/>
      <c r="D215" s="50"/>
      <c r="E215" s="51"/>
      <c r="F215" s="51"/>
      <c r="G215" s="52"/>
    </row>
    <row r="216" spans="1:7" ht="14.5" x14ac:dyDescent="0.35">
      <c r="A216" s="49"/>
      <c r="B216" s="48"/>
      <c r="C216" s="50"/>
      <c r="D216" s="50"/>
      <c r="E216" s="51"/>
      <c r="F216" s="51"/>
      <c r="G216" s="52"/>
    </row>
    <row r="217" spans="1:7" ht="14.5" x14ac:dyDescent="0.35">
      <c r="A217" s="49"/>
      <c r="B217" s="48"/>
      <c r="C217" s="50"/>
      <c r="D217" s="50"/>
      <c r="E217" s="51"/>
      <c r="F217" s="51"/>
      <c r="G217" s="52"/>
    </row>
    <row r="218" spans="1:7" ht="14.5" x14ac:dyDescent="0.35">
      <c r="A218" s="49"/>
      <c r="B218" s="48"/>
      <c r="C218" s="50"/>
      <c r="D218" s="50"/>
      <c r="E218" s="51"/>
      <c r="F218" s="51"/>
      <c r="G218" s="52"/>
    </row>
    <row r="219" spans="1:7" ht="14.5" x14ac:dyDescent="0.35">
      <c r="A219" s="49"/>
      <c r="B219" s="48"/>
      <c r="C219" s="50"/>
      <c r="D219" s="50"/>
      <c r="E219" s="51"/>
      <c r="F219" s="51"/>
      <c r="G219" s="52"/>
    </row>
    <row r="220" spans="1:7" ht="14.5" x14ac:dyDescent="0.35">
      <c r="A220" s="49"/>
      <c r="B220" s="48"/>
      <c r="C220" s="50"/>
      <c r="D220" s="50"/>
      <c r="E220" s="51"/>
      <c r="F220" s="51"/>
      <c r="G220" s="52"/>
    </row>
    <row r="221" spans="1:7" ht="14.5" x14ac:dyDescent="0.35">
      <c r="A221" s="49"/>
      <c r="B221" s="48"/>
      <c r="C221" s="50"/>
      <c r="D221" s="50"/>
      <c r="E221" s="51"/>
      <c r="F221" s="51"/>
      <c r="G221" s="52"/>
    </row>
    <row r="222" spans="1:7" ht="14.5" x14ac:dyDescent="0.35">
      <c r="A222" s="49"/>
      <c r="B222" s="48"/>
      <c r="C222" s="50"/>
      <c r="D222" s="50"/>
      <c r="E222" s="51"/>
      <c r="F222" s="51"/>
      <c r="G222" s="52"/>
    </row>
    <row r="223" spans="1:7" ht="14.5" x14ac:dyDescent="0.35">
      <c r="A223" s="49"/>
      <c r="B223" s="48"/>
      <c r="C223" s="50"/>
      <c r="D223" s="50"/>
      <c r="E223" s="51"/>
      <c r="F223" s="51"/>
      <c r="G223" s="52"/>
    </row>
    <row r="224" spans="1:7" ht="14.5" x14ac:dyDescent="0.35">
      <c r="A224" s="49"/>
      <c r="B224" s="48"/>
      <c r="C224" s="50"/>
      <c r="D224" s="50"/>
      <c r="E224" s="51"/>
      <c r="F224" s="51"/>
      <c r="G224" s="52"/>
    </row>
    <row r="225" spans="1:7" ht="14.5" x14ac:dyDescent="0.35">
      <c r="A225" s="49"/>
      <c r="B225" s="48"/>
      <c r="C225" s="50"/>
      <c r="D225" s="50"/>
      <c r="E225" s="51"/>
      <c r="F225" s="51"/>
      <c r="G225" s="52"/>
    </row>
    <row r="226" spans="1:7" ht="14.5" x14ac:dyDescent="0.35">
      <c r="A226" s="49"/>
      <c r="B226" s="48"/>
      <c r="C226" s="50"/>
      <c r="D226" s="50"/>
      <c r="E226" s="51"/>
      <c r="F226" s="51"/>
      <c r="G226" s="52"/>
    </row>
    <row r="227" spans="1:7" ht="14.5" x14ac:dyDescent="0.35">
      <c r="A227" s="49"/>
      <c r="B227" s="48"/>
      <c r="C227" s="50"/>
      <c r="D227" s="50"/>
      <c r="E227" s="51"/>
      <c r="F227" s="51"/>
      <c r="G227" s="52"/>
    </row>
    <row r="228" spans="1:7" ht="14.5" x14ac:dyDescent="0.35">
      <c r="A228" s="49"/>
      <c r="B228" s="48"/>
      <c r="C228" s="50"/>
      <c r="D228" s="50"/>
      <c r="E228" s="51"/>
      <c r="F228" s="51"/>
      <c r="G228" s="52"/>
    </row>
    <row r="229" spans="1:7" ht="14.5" x14ac:dyDescent="0.35">
      <c r="A229" s="49"/>
      <c r="B229" s="48"/>
      <c r="C229" s="50"/>
      <c r="D229" s="50"/>
      <c r="E229" s="51"/>
      <c r="F229" s="51"/>
      <c r="G229" s="52"/>
    </row>
    <row r="230" spans="1:7" ht="14.5" x14ac:dyDescent="0.35">
      <c r="A230" s="49"/>
      <c r="B230" s="48"/>
      <c r="C230" s="50"/>
      <c r="D230" s="50"/>
      <c r="E230" s="51"/>
      <c r="F230" s="51"/>
      <c r="G230" s="52"/>
    </row>
    <row r="231" spans="1:7" ht="14.5" x14ac:dyDescent="0.35">
      <c r="A231" s="49"/>
      <c r="B231" s="48"/>
      <c r="C231" s="50"/>
      <c r="D231" s="50"/>
      <c r="E231" s="51"/>
      <c r="F231" s="51"/>
      <c r="G231" s="52"/>
    </row>
    <row r="232" spans="1:7" ht="14.5" x14ac:dyDescent="0.35">
      <c r="A232" s="49"/>
      <c r="B232" s="48"/>
      <c r="C232" s="50"/>
      <c r="D232" s="50"/>
      <c r="E232" s="51"/>
      <c r="F232" s="51"/>
      <c r="G232" s="52"/>
    </row>
    <row r="233" spans="1:7" ht="14.5" x14ac:dyDescent="0.35">
      <c r="A233" s="49"/>
      <c r="B233" s="48"/>
      <c r="C233" s="50"/>
      <c r="D233" s="50"/>
      <c r="E233" s="51"/>
      <c r="F233" s="51"/>
      <c r="G233" s="52"/>
    </row>
    <row r="234" spans="1:7" ht="14.5" x14ac:dyDescent="0.35">
      <c r="A234" s="49"/>
      <c r="B234" s="48"/>
      <c r="C234" s="50"/>
      <c r="D234" s="50"/>
      <c r="E234" s="51"/>
      <c r="F234" s="51"/>
      <c r="G234" s="52"/>
    </row>
    <row r="235" spans="1:7" ht="14.5" x14ac:dyDescent="0.35">
      <c r="A235" s="49"/>
      <c r="B235" s="48"/>
      <c r="C235" s="50"/>
      <c r="D235" s="50"/>
      <c r="E235" s="51"/>
      <c r="F235" s="51"/>
      <c r="G235" s="52"/>
    </row>
    <row r="236" spans="1:7" ht="14.5" x14ac:dyDescent="0.35">
      <c r="A236" s="49"/>
      <c r="B236" s="48"/>
      <c r="C236" s="50"/>
      <c r="D236" s="50"/>
      <c r="E236" s="51"/>
      <c r="F236" s="51"/>
      <c r="G236" s="52"/>
    </row>
    <row r="237" spans="1:7" ht="14.5" x14ac:dyDescent="0.35">
      <c r="A237" s="49"/>
      <c r="B237" s="48"/>
      <c r="C237" s="50"/>
      <c r="D237" s="50"/>
      <c r="E237" s="51"/>
      <c r="F237" s="51"/>
      <c r="G237" s="52"/>
    </row>
    <row r="238" spans="1:7" ht="14.5" x14ac:dyDescent="0.35">
      <c r="A238" s="49"/>
      <c r="B238" s="48"/>
      <c r="C238" s="50"/>
      <c r="D238" s="50"/>
      <c r="E238" s="51"/>
      <c r="F238" s="51"/>
      <c r="G238" s="52"/>
    </row>
    <row r="239" spans="1:7" ht="14.5" x14ac:dyDescent="0.35">
      <c r="A239" s="49"/>
      <c r="B239" s="48"/>
      <c r="C239" s="50"/>
      <c r="D239" s="50"/>
      <c r="E239" s="51"/>
      <c r="F239" s="51"/>
      <c r="G239" s="52"/>
    </row>
    <row r="240" spans="1:7" ht="14.5" x14ac:dyDescent="0.35">
      <c r="A240" s="49"/>
      <c r="B240" s="48"/>
      <c r="C240" s="50"/>
      <c r="D240" s="50"/>
      <c r="E240" s="51"/>
      <c r="F240" s="51"/>
      <c r="G240" s="52"/>
    </row>
    <row r="241" spans="1:7" ht="14.5" x14ac:dyDescent="0.35">
      <c r="A241" s="49"/>
      <c r="B241" s="48"/>
      <c r="C241" s="50"/>
      <c r="D241" s="50"/>
      <c r="E241" s="51"/>
      <c r="F241" s="51"/>
      <c r="G241" s="52"/>
    </row>
    <row r="242" spans="1:7" ht="14.5" x14ac:dyDescent="0.35">
      <c r="A242" s="49"/>
      <c r="B242" s="48"/>
      <c r="C242" s="50"/>
      <c r="D242" s="50"/>
      <c r="E242" s="51"/>
      <c r="F242" s="51"/>
      <c r="G242" s="52"/>
    </row>
    <row r="243" spans="1:7" ht="14.5" x14ac:dyDescent="0.35">
      <c r="A243" s="49"/>
      <c r="B243" s="48"/>
      <c r="C243" s="50"/>
      <c r="D243" s="50"/>
      <c r="E243" s="51"/>
      <c r="F243" s="51"/>
      <c r="G243" s="52"/>
    </row>
    <row r="244" spans="1:7" ht="14.5" x14ac:dyDescent="0.35">
      <c r="A244" s="49"/>
      <c r="B244" s="48"/>
      <c r="C244" s="50"/>
      <c r="D244" s="50"/>
      <c r="E244" s="51"/>
      <c r="F244" s="51"/>
      <c r="G244" s="52"/>
    </row>
    <row r="245" spans="1:7" ht="14.5" x14ac:dyDescent="0.35">
      <c r="A245" s="49"/>
      <c r="B245" s="48"/>
      <c r="C245" s="50"/>
      <c r="D245" s="50"/>
      <c r="E245" s="51"/>
      <c r="F245" s="51"/>
      <c r="G245" s="52"/>
    </row>
    <row r="246" spans="1:7" ht="14.5" x14ac:dyDescent="0.35">
      <c r="A246" s="49"/>
      <c r="B246" s="48"/>
      <c r="C246" s="50"/>
      <c r="D246" s="50"/>
      <c r="E246" s="51"/>
      <c r="F246" s="51"/>
      <c r="G246" s="52"/>
    </row>
    <row r="247" spans="1:7" ht="14.5" x14ac:dyDescent="0.35">
      <c r="A247" s="49"/>
      <c r="B247" s="48"/>
      <c r="C247" s="50"/>
      <c r="D247" s="50"/>
      <c r="E247" s="51"/>
      <c r="F247" s="51"/>
      <c r="G247" s="52"/>
    </row>
    <row r="248" spans="1:7" ht="14.5" x14ac:dyDescent="0.35">
      <c r="A248" s="49"/>
      <c r="B248" s="48"/>
      <c r="C248" s="50"/>
      <c r="D248" s="50"/>
      <c r="E248" s="51"/>
      <c r="F248" s="51"/>
      <c r="G248" s="52"/>
    </row>
    <row r="249" spans="1:7" ht="14.5" x14ac:dyDescent="0.35">
      <c r="A249" s="49"/>
      <c r="B249" s="48"/>
      <c r="C249" s="50"/>
      <c r="D249" s="50"/>
      <c r="E249" s="51"/>
      <c r="F249" s="51"/>
      <c r="G249" s="52"/>
    </row>
    <row r="250" spans="1:7" ht="14.5" x14ac:dyDescent="0.35">
      <c r="A250" s="49"/>
      <c r="B250" s="48"/>
      <c r="C250" s="50"/>
      <c r="D250" s="50"/>
      <c r="E250" s="51"/>
      <c r="F250" s="51"/>
      <c r="G250" s="52"/>
    </row>
    <row r="251" spans="1:7" ht="14.5" x14ac:dyDescent="0.35">
      <c r="A251" s="49"/>
      <c r="B251" s="48"/>
      <c r="C251" s="50"/>
      <c r="D251" s="50"/>
      <c r="E251" s="51"/>
      <c r="F251" s="51"/>
      <c r="G251" s="52"/>
    </row>
    <row r="252" spans="1:7" ht="14.5" x14ac:dyDescent="0.35">
      <c r="A252" s="49"/>
      <c r="B252" s="48"/>
      <c r="C252" s="50"/>
      <c r="D252" s="50"/>
      <c r="E252" s="51"/>
      <c r="F252" s="51"/>
      <c r="G252" s="52"/>
    </row>
    <row r="253" spans="1:7" ht="14.5" x14ac:dyDescent="0.35">
      <c r="A253" s="49"/>
      <c r="B253" s="48"/>
      <c r="C253" s="50"/>
      <c r="D253" s="50"/>
      <c r="E253" s="51"/>
      <c r="F253" s="51"/>
      <c r="G253" s="52"/>
    </row>
    <row r="254" spans="1:7" ht="14.5" x14ac:dyDescent="0.35">
      <c r="A254" s="49"/>
      <c r="B254" s="48"/>
      <c r="C254" s="50"/>
      <c r="D254" s="50"/>
      <c r="E254" s="51"/>
      <c r="F254" s="51"/>
      <c r="G254" s="52"/>
    </row>
    <row r="255" spans="1:7" ht="14.5" x14ac:dyDescent="0.35">
      <c r="A255" s="49"/>
      <c r="B255" s="48"/>
      <c r="C255" s="50"/>
      <c r="D255" s="50"/>
      <c r="E255" s="51"/>
      <c r="F255" s="51"/>
      <c r="G255" s="52"/>
    </row>
    <row r="256" spans="1:7" ht="14.5" x14ac:dyDescent="0.35">
      <c r="A256" s="49"/>
      <c r="B256" s="48"/>
      <c r="C256" s="50"/>
      <c r="D256" s="50"/>
      <c r="E256" s="51"/>
      <c r="F256" s="51"/>
      <c r="G256" s="52"/>
    </row>
    <row r="257" spans="1:7" ht="14.5" x14ac:dyDescent="0.35">
      <c r="A257" s="49"/>
      <c r="B257" s="48"/>
      <c r="C257" s="50"/>
      <c r="D257" s="50"/>
      <c r="E257" s="51"/>
      <c r="F257" s="51"/>
      <c r="G257" s="52"/>
    </row>
    <row r="258" spans="1:7" ht="14.5" x14ac:dyDescent="0.35">
      <c r="A258" s="49"/>
      <c r="B258" s="48"/>
      <c r="C258" s="50"/>
      <c r="D258" s="50"/>
      <c r="E258" s="51"/>
      <c r="F258" s="51"/>
      <c r="G258" s="52"/>
    </row>
    <row r="259" spans="1:7" ht="14.5" x14ac:dyDescent="0.35">
      <c r="A259" s="49"/>
      <c r="B259" s="48"/>
      <c r="C259" s="50"/>
      <c r="D259" s="50"/>
      <c r="E259" s="51"/>
      <c r="F259" s="51"/>
      <c r="G259" s="52"/>
    </row>
    <row r="260" spans="1:7" ht="14.5" x14ac:dyDescent="0.35">
      <c r="A260" s="49"/>
      <c r="B260" s="48"/>
      <c r="C260" s="50"/>
      <c r="D260" s="50"/>
      <c r="E260" s="51"/>
      <c r="F260" s="51"/>
      <c r="G260" s="52"/>
    </row>
    <row r="261" spans="1:7" ht="14.5" x14ac:dyDescent="0.35">
      <c r="A261" s="49"/>
      <c r="B261" s="48"/>
      <c r="C261" s="50"/>
      <c r="D261" s="50"/>
      <c r="E261" s="51"/>
      <c r="F261" s="51"/>
      <c r="G261" s="52"/>
    </row>
    <row r="262" spans="1:7" ht="14.5" x14ac:dyDescent="0.35">
      <c r="A262" s="49"/>
      <c r="B262" s="48"/>
      <c r="C262" s="50"/>
      <c r="D262" s="50"/>
      <c r="E262" s="51"/>
      <c r="F262" s="51"/>
      <c r="G262" s="52"/>
    </row>
    <row r="263" spans="1:7" ht="14.5" x14ac:dyDescent="0.35">
      <c r="A263" s="49"/>
      <c r="B263" s="48"/>
      <c r="C263" s="50"/>
      <c r="D263" s="50"/>
      <c r="E263" s="51"/>
      <c r="F263" s="51"/>
      <c r="G263" s="52"/>
    </row>
    <row r="264" spans="1:7" ht="14.5" x14ac:dyDescent="0.35">
      <c r="A264" s="49"/>
      <c r="B264" s="48"/>
      <c r="C264" s="50"/>
      <c r="D264" s="50"/>
      <c r="E264" s="51"/>
      <c r="F264" s="51"/>
      <c r="G264" s="52"/>
    </row>
    <row r="265" spans="1:7" ht="14.5" x14ac:dyDescent="0.35">
      <c r="A265" s="49"/>
      <c r="B265" s="48"/>
      <c r="C265" s="50"/>
      <c r="D265" s="50"/>
      <c r="E265" s="51"/>
      <c r="F265" s="51"/>
      <c r="G265" s="52"/>
    </row>
    <row r="266" spans="1:7" ht="14.5" x14ac:dyDescent="0.35">
      <c r="A266" s="49"/>
      <c r="B266" s="48"/>
      <c r="C266" s="50"/>
      <c r="D266" s="50"/>
      <c r="E266" s="51"/>
      <c r="F266" s="51"/>
      <c r="G266" s="52"/>
    </row>
    <row r="267" spans="1:7" ht="14.5" x14ac:dyDescent="0.35">
      <c r="A267" s="49"/>
      <c r="B267" s="48"/>
      <c r="C267" s="50"/>
      <c r="D267" s="50"/>
      <c r="E267" s="51"/>
      <c r="F267" s="51"/>
      <c r="G267" s="52"/>
    </row>
    <row r="268" spans="1:7" ht="14.5" x14ac:dyDescent="0.35">
      <c r="A268" s="49"/>
      <c r="B268" s="48"/>
      <c r="C268" s="50"/>
      <c r="D268" s="50"/>
      <c r="E268" s="51"/>
      <c r="F268" s="51"/>
      <c r="G268" s="52"/>
    </row>
    <row r="269" spans="1:7" ht="14.5" x14ac:dyDescent="0.35">
      <c r="A269" s="49"/>
      <c r="B269" s="48"/>
      <c r="C269" s="50"/>
      <c r="D269" s="50"/>
      <c r="E269" s="51"/>
      <c r="F269" s="51"/>
      <c r="G269" s="52"/>
    </row>
    <row r="270" spans="1:7" ht="14.5" x14ac:dyDescent="0.35">
      <c r="A270" s="49"/>
      <c r="B270" s="48"/>
      <c r="C270" s="50"/>
      <c r="D270" s="50"/>
      <c r="E270" s="51"/>
      <c r="F270" s="51"/>
      <c r="G270" s="52"/>
    </row>
    <row r="271" spans="1:7" ht="14.5" x14ac:dyDescent="0.35">
      <c r="A271" s="49"/>
      <c r="B271" s="48"/>
      <c r="C271" s="50"/>
      <c r="D271" s="50"/>
      <c r="E271" s="51"/>
      <c r="F271" s="51"/>
      <c r="G271" s="52"/>
    </row>
    <row r="272" spans="1:7" ht="14.5" x14ac:dyDescent="0.35">
      <c r="A272" s="49"/>
      <c r="B272" s="48"/>
      <c r="C272" s="50"/>
      <c r="D272" s="50"/>
      <c r="E272" s="51"/>
      <c r="F272" s="51"/>
      <c r="G272" s="52"/>
    </row>
    <row r="273" spans="1:7" ht="14.5" x14ac:dyDescent="0.35">
      <c r="A273" s="49"/>
      <c r="B273" s="48"/>
      <c r="C273" s="50"/>
      <c r="D273" s="50"/>
      <c r="E273" s="51"/>
      <c r="F273" s="51"/>
      <c r="G273" s="52"/>
    </row>
    <row r="274" spans="1:7" ht="14.5" x14ac:dyDescent="0.35">
      <c r="A274" s="49"/>
      <c r="B274" s="48"/>
      <c r="C274" s="50"/>
      <c r="D274" s="50"/>
      <c r="E274" s="51"/>
      <c r="F274" s="51"/>
      <c r="G274" s="52"/>
    </row>
    <row r="275" spans="1:7" ht="14.5" x14ac:dyDescent="0.35">
      <c r="A275" s="49"/>
      <c r="B275" s="48"/>
      <c r="C275" s="50"/>
      <c r="D275" s="50"/>
      <c r="E275" s="51"/>
      <c r="F275" s="51"/>
      <c r="G275" s="52"/>
    </row>
    <row r="276" spans="1:7" ht="14.5" x14ac:dyDescent="0.35">
      <c r="A276" s="49"/>
      <c r="B276" s="48"/>
      <c r="C276" s="50"/>
      <c r="D276" s="50"/>
      <c r="E276" s="51"/>
      <c r="F276" s="51"/>
      <c r="G276" s="52"/>
    </row>
    <row r="277" spans="1:7" ht="14.5" x14ac:dyDescent="0.35">
      <c r="A277" s="49"/>
      <c r="B277" s="48"/>
      <c r="C277" s="50"/>
      <c r="D277" s="50"/>
      <c r="E277" s="51"/>
      <c r="F277" s="51"/>
      <c r="G277" s="52"/>
    </row>
    <row r="278" spans="1:7" ht="14.5" x14ac:dyDescent="0.35">
      <c r="A278" s="49"/>
      <c r="B278" s="48"/>
      <c r="C278" s="50"/>
      <c r="D278" s="50"/>
      <c r="E278" s="51"/>
      <c r="F278" s="51"/>
      <c r="G278" s="52"/>
    </row>
    <row r="279" spans="1:7" ht="14.5" x14ac:dyDescent="0.35">
      <c r="A279" s="49"/>
      <c r="B279" s="48"/>
      <c r="C279" s="50"/>
      <c r="D279" s="50"/>
      <c r="E279" s="51"/>
      <c r="F279" s="51"/>
      <c r="G279" s="52"/>
    </row>
    <row r="280" spans="1:7" ht="14.5" x14ac:dyDescent="0.35">
      <c r="A280" s="49"/>
      <c r="B280" s="48"/>
      <c r="C280" s="50"/>
      <c r="D280" s="50"/>
      <c r="E280" s="51"/>
      <c r="F280" s="51"/>
      <c r="G280" s="52"/>
    </row>
    <row r="281" spans="1:7" ht="14.5" x14ac:dyDescent="0.35">
      <c r="A281" s="49"/>
      <c r="B281" s="48"/>
      <c r="C281" s="50"/>
      <c r="D281" s="50"/>
      <c r="E281" s="51"/>
      <c r="F281" s="51"/>
      <c r="G281" s="52"/>
    </row>
    <row r="282" spans="1:7" ht="14.5" x14ac:dyDescent="0.35">
      <c r="A282" s="49"/>
      <c r="B282" s="48"/>
      <c r="C282" s="50"/>
      <c r="D282" s="50"/>
      <c r="E282" s="51"/>
      <c r="F282" s="51"/>
      <c r="G282" s="52"/>
    </row>
    <row r="283" spans="1:7" ht="14.5" x14ac:dyDescent="0.35">
      <c r="A283" s="49"/>
      <c r="B283" s="48"/>
      <c r="C283" s="50"/>
      <c r="D283" s="50"/>
      <c r="E283" s="51"/>
      <c r="F283" s="51"/>
      <c r="G283" s="52"/>
    </row>
    <row r="284" spans="1:7" ht="14.5" x14ac:dyDescent="0.35">
      <c r="A284" s="49"/>
      <c r="B284" s="48"/>
      <c r="C284" s="50"/>
      <c r="D284" s="50"/>
      <c r="E284" s="51"/>
      <c r="F284" s="51"/>
      <c r="G284" s="52"/>
    </row>
    <row r="285" spans="1:7" ht="14.5" x14ac:dyDescent="0.35">
      <c r="A285" s="49"/>
      <c r="B285" s="48"/>
      <c r="C285" s="50"/>
      <c r="D285" s="50"/>
      <c r="E285" s="51"/>
      <c r="F285" s="51"/>
      <c r="G285" s="52"/>
    </row>
    <row r="286" spans="1:7" ht="14.5" x14ac:dyDescent="0.35">
      <c r="A286" s="49"/>
      <c r="B286" s="48"/>
      <c r="C286" s="50"/>
      <c r="D286" s="50"/>
      <c r="E286" s="51"/>
      <c r="F286" s="51"/>
      <c r="G286" s="52"/>
    </row>
    <row r="287" spans="1:7" ht="14.5" x14ac:dyDescent="0.35">
      <c r="A287" s="49"/>
      <c r="B287" s="48"/>
      <c r="C287" s="50"/>
      <c r="D287" s="50"/>
      <c r="E287" s="51"/>
      <c r="F287" s="51"/>
      <c r="G287" s="52"/>
    </row>
    <row r="288" spans="1:7" ht="14.5" x14ac:dyDescent="0.35">
      <c r="A288" s="49"/>
      <c r="B288" s="48"/>
      <c r="C288" s="50"/>
      <c r="D288" s="50"/>
      <c r="E288" s="51"/>
      <c r="F288" s="51"/>
      <c r="G288" s="52"/>
    </row>
    <row r="289" spans="1:7" ht="14.5" x14ac:dyDescent="0.35">
      <c r="A289" s="49"/>
      <c r="B289" s="48"/>
      <c r="C289" s="50"/>
      <c r="D289" s="50"/>
      <c r="E289" s="51"/>
      <c r="F289" s="51"/>
      <c r="G289" s="52"/>
    </row>
    <row r="290" spans="1:7" ht="14.5" x14ac:dyDescent="0.35">
      <c r="A290" s="49"/>
      <c r="B290" s="48"/>
      <c r="C290" s="50"/>
      <c r="D290" s="50"/>
      <c r="E290" s="51"/>
      <c r="F290" s="51"/>
      <c r="G290" s="52"/>
    </row>
    <row r="291" spans="1:7" ht="14.5" x14ac:dyDescent="0.35">
      <c r="A291" s="49"/>
      <c r="B291" s="48"/>
      <c r="C291" s="50"/>
      <c r="D291" s="50"/>
      <c r="E291" s="51"/>
      <c r="F291" s="51"/>
      <c r="G291" s="52"/>
    </row>
    <row r="292" spans="1:7" ht="14.5" x14ac:dyDescent="0.35">
      <c r="A292" s="49"/>
      <c r="B292" s="48"/>
      <c r="C292" s="50"/>
      <c r="D292" s="50"/>
      <c r="E292" s="51"/>
      <c r="F292" s="51"/>
      <c r="G292" s="52"/>
    </row>
    <row r="293" spans="1:7" ht="14.5" x14ac:dyDescent="0.35">
      <c r="A293" s="49"/>
      <c r="B293" s="48"/>
      <c r="C293" s="50"/>
      <c r="D293" s="50"/>
      <c r="E293" s="51"/>
      <c r="F293" s="51"/>
      <c r="G293" s="52"/>
    </row>
    <row r="294" spans="1:7" ht="14.5" x14ac:dyDescent="0.35">
      <c r="A294" s="49"/>
      <c r="B294" s="48"/>
      <c r="C294" s="50"/>
      <c r="D294" s="50"/>
      <c r="E294" s="51"/>
      <c r="F294" s="51"/>
      <c r="G294" s="52"/>
    </row>
    <row r="295" spans="1:7" ht="14.5" x14ac:dyDescent="0.35">
      <c r="A295" s="49"/>
      <c r="B295" s="48"/>
      <c r="C295" s="50"/>
      <c r="D295" s="50"/>
      <c r="E295" s="51"/>
      <c r="F295" s="51"/>
      <c r="G295" s="52"/>
    </row>
    <row r="296" spans="1:7" ht="14.5" x14ac:dyDescent="0.35">
      <c r="A296" s="49"/>
      <c r="B296" s="48"/>
      <c r="C296" s="50"/>
      <c r="D296" s="50"/>
      <c r="E296" s="51"/>
      <c r="F296" s="51"/>
      <c r="G296" s="52"/>
    </row>
    <row r="297" spans="1:7" ht="14.5" x14ac:dyDescent="0.35">
      <c r="A297" s="49"/>
      <c r="B297" s="48"/>
      <c r="C297" s="50"/>
      <c r="D297" s="50"/>
      <c r="E297" s="51"/>
      <c r="F297" s="51"/>
      <c r="G297" s="52"/>
    </row>
    <row r="298" spans="1:7" ht="14.5" x14ac:dyDescent="0.35">
      <c r="A298" s="49"/>
      <c r="B298" s="48"/>
      <c r="C298" s="50"/>
      <c r="D298" s="50"/>
      <c r="E298" s="51"/>
      <c r="F298" s="51"/>
      <c r="G298" s="52"/>
    </row>
    <row r="299" spans="1:7" ht="14.5" x14ac:dyDescent="0.35">
      <c r="A299" s="49"/>
      <c r="B299" s="48"/>
      <c r="C299" s="50"/>
      <c r="D299" s="50"/>
      <c r="E299" s="51"/>
      <c r="F299" s="51"/>
      <c r="G299" s="52"/>
    </row>
    <row r="300" spans="1:7" ht="14.5" x14ac:dyDescent="0.35">
      <c r="A300" s="49"/>
      <c r="B300" s="48"/>
      <c r="C300" s="50"/>
      <c r="D300" s="50"/>
      <c r="E300" s="51"/>
      <c r="F300" s="51"/>
      <c r="G300" s="52"/>
    </row>
    <row r="301" spans="1:7" ht="14.5" x14ac:dyDescent="0.35">
      <c r="A301" s="49"/>
      <c r="B301" s="48"/>
      <c r="C301" s="50"/>
      <c r="D301" s="50"/>
      <c r="E301" s="51"/>
      <c r="F301" s="51"/>
      <c r="G301" s="52"/>
    </row>
    <row r="302" spans="1:7" ht="14.5" x14ac:dyDescent="0.35">
      <c r="A302" s="49"/>
      <c r="B302" s="48"/>
      <c r="C302" s="50"/>
      <c r="D302" s="50"/>
      <c r="E302" s="51"/>
      <c r="F302" s="51"/>
      <c r="G302" s="52"/>
    </row>
    <row r="303" spans="1:7" ht="14.5" x14ac:dyDescent="0.35">
      <c r="A303" s="49"/>
      <c r="B303" s="48"/>
      <c r="C303" s="50"/>
      <c r="D303" s="50"/>
      <c r="E303" s="51"/>
      <c r="F303" s="51"/>
      <c r="G303" s="52"/>
    </row>
    <row r="304" spans="1:7" ht="14.5" x14ac:dyDescent="0.35">
      <c r="A304" s="49"/>
      <c r="B304" s="48"/>
      <c r="C304" s="50"/>
      <c r="D304" s="50"/>
      <c r="E304" s="51"/>
      <c r="F304" s="51"/>
      <c r="G304" s="52"/>
    </row>
    <row r="305" spans="1:7" ht="14.5" x14ac:dyDescent="0.35">
      <c r="A305" s="49"/>
      <c r="B305" s="48"/>
      <c r="C305" s="50"/>
      <c r="D305" s="50"/>
      <c r="E305" s="51"/>
      <c r="F305" s="51"/>
      <c r="G305" s="52"/>
    </row>
    <row r="306" spans="1:7" ht="14.5" x14ac:dyDescent="0.35">
      <c r="A306" s="49"/>
      <c r="B306" s="48"/>
      <c r="C306" s="50"/>
      <c r="D306" s="50"/>
      <c r="E306" s="51"/>
      <c r="F306" s="51"/>
      <c r="G306" s="52"/>
    </row>
    <row r="307" spans="1:7" ht="14.5" x14ac:dyDescent="0.35">
      <c r="A307" s="49"/>
      <c r="B307" s="48"/>
      <c r="C307" s="50"/>
      <c r="D307" s="50"/>
      <c r="E307" s="51"/>
      <c r="F307" s="51"/>
      <c r="G307" s="52"/>
    </row>
    <row r="308" spans="1:7" ht="14.5" x14ac:dyDescent="0.35">
      <c r="A308" s="49"/>
      <c r="B308" s="48"/>
      <c r="C308" s="50"/>
      <c r="D308" s="50"/>
      <c r="E308" s="51"/>
      <c r="F308" s="51"/>
      <c r="G308" s="52"/>
    </row>
    <row r="309" spans="1:7" ht="14.5" x14ac:dyDescent="0.35">
      <c r="A309" s="49"/>
      <c r="B309" s="48"/>
      <c r="C309" s="50"/>
      <c r="D309" s="50"/>
      <c r="E309" s="51"/>
      <c r="F309" s="51"/>
      <c r="G309" s="52"/>
    </row>
    <row r="310" spans="1:7" ht="14.5" x14ac:dyDescent="0.35">
      <c r="A310" s="49"/>
      <c r="B310" s="48"/>
      <c r="C310" s="50"/>
      <c r="D310" s="50"/>
      <c r="E310" s="51"/>
      <c r="F310" s="51"/>
      <c r="G310" s="52"/>
    </row>
    <row r="311" spans="1:7" ht="14.5" x14ac:dyDescent="0.35">
      <c r="A311" s="49"/>
      <c r="B311" s="48"/>
      <c r="C311" s="50"/>
      <c r="D311" s="50"/>
      <c r="E311" s="51"/>
      <c r="F311" s="51"/>
      <c r="G311" s="52"/>
    </row>
    <row r="312" spans="1:7" ht="14.5" x14ac:dyDescent="0.35">
      <c r="A312" s="49"/>
      <c r="B312" s="48"/>
      <c r="C312" s="50"/>
      <c r="D312" s="50"/>
      <c r="E312" s="51"/>
      <c r="F312" s="51"/>
      <c r="G312" s="52"/>
    </row>
    <row r="313" spans="1:7" ht="14.5" x14ac:dyDescent="0.35">
      <c r="A313" s="49"/>
      <c r="B313" s="48"/>
      <c r="C313" s="50"/>
      <c r="D313" s="50"/>
      <c r="E313" s="51"/>
      <c r="F313" s="51"/>
      <c r="G313" s="52"/>
    </row>
    <row r="314" spans="1:7" ht="14.5" x14ac:dyDescent="0.35">
      <c r="A314" s="49"/>
      <c r="B314" s="48"/>
      <c r="C314" s="50"/>
      <c r="D314" s="50"/>
      <c r="E314" s="51"/>
      <c r="F314" s="51"/>
      <c r="G314" s="52"/>
    </row>
    <row r="315" spans="1:7" ht="14.5" x14ac:dyDescent="0.35">
      <c r="A315" s="49"/>
      <c r="B315" s="48"/>
      <c r="C315" s="50"/>
      <c r="D315" s="50"/>
      <c r="E315" s="51"/>
      <c r="F315" s="51"/>
      <c r="G315" s="52"/>
    </row>
    <row r="316" spans="1:7" ht="14.5" x14ac:dyDescent="0.35">
      <c r="A316" s="49"/>
      <c r="B316" s="48"/>
      <c r="C316" s="50"/>
      <c r="D316" s="50"/>
      <c r="E316" s="51"/>
      <c r="F316" s="51"/>
      <c r="G316" s="52"/>
    </row>
    <row r="317" spans="1:7" ht="14.5" x14ac:dyDescent="0.35">
      <c r="A317" s="49"/>
      <c r="B317" s="48"/>
      <c r="C317" s="50"/>
      <c r="D317" s="50"/>
      <c r="E317" s="51"/>
      <c r="F317" s="51"/>
      <c r="G317" s="52"/>
    </row>
    <row r="318" spans="1:7" ht="14.5" x14ac:dyDescent="0.35">
      <c r="A318" s="49"/>
      <c r="B318" s="48"/>
      <c r="C318" s="50"/>
      <c r="D318" s="50"/>
      <c r="E318" s="51"/>
      <c r="F318" s="51"/>
      <c r="G318" s="52"/>
    </row>
    <row r="319" spans="1:7" ht="14.5" x14ac:dyDescent="0.35">
      <c r="A319" s="49"/>
      <c r="B319" s="48"/>
      <c r="C319" s="50"/>
      <c r="D319" s="50"/>
      <c r="E319" s="51"/>
      <c r="F319" s="51"/>
      <c r="G319" s="52"/>
    </row>
    <row r="320" spans="1:7" ht="14.5" x14ac:dyDescent="0.35">
      <c r="A320" s="49"/>
      <c r="B320" s="48"/>
      <c r="C320" s="50"/>
      <c r="D320" s="50"/>
      <c r="E320" s="51"/>
      <c r="F320" s="51"/>
      <c r="G320" s="52"/>
    </row>
    <row r="321" spans="1:7" ht="14.5" x14ac:dyDescent="0.35">
      <c r="A321" s="49"/>
      <c r="B321" s="48"/>
      <c r="C321" s="50"/>
      <c r="D321" s="50"/>
      <c r="E321" s="51"/>
      <c r="F321" s="51"/>
      <c r="G321" s="52"/>
    </row>
    <row r="322" spans="1:7" ht="14.5" x14ac:dyDescent="0.35">
      <c r="A322" s="49"/>
      <c r="B322" s="48"/>
      <c r="C322" s="50"/>
      <c r="D322" s="50"/>
      <c r="E322" s="51"/>
      <c r="F322" s="51"/>
      <c r="G322" s="52"/>
    </row>
    <row r="323" spans="1:7" ht="14.5" x14ac:dyDescent="0.35">
      <c r="A323" s="49"/>
      <c r="B323" s="48"/>
      <c r="C323" s="50"/>
      <c r="D323" s="50"/>
      <c r="E323" s="51"/>
      <c r="F323" s="51"/>
      <c r="G323" s="52"/>
    </row>
    <row r="324" spans="1:7" ht="14.5" x14ac:dyDescent="0.35">
      <c r="A324" s="49"/>
      <c r="B324" s="48"/>
      <c r="C324" s="50"/>
      <c r="D324" s="50"/>
      <c r="E324" s="51"/>
      <c r="F324" s="51"/>
      <c r="G324" s="52"/>
    </row>
    <row r="325" spans="1:7" ht="14.5" x14ac:dyDescent="0.35">
      <c r="A325" s="49"/>
      <c r="B325" s="48"/>
      <c r="C325" s="50"/>
      <c r="D325" s="50"/>
      <c r="E325" s="51"/>
      <c r="F325" s="51"/>
      <c r="G325" s="52"/>
    </row>
    <row r="326" spans="1:7" ht="14.5" x14ac:dyDescent="0.35">
      <c r="A326" s="49"/>
      <c r="B326" s="48"/>
      <c r="C326" s="50"/>
      <c r="D326" s="50"/>
      <c r="E326" s="51"/>
      <c r="F326" s="51"/>
      <c r="G326" s="52"/>
    </row>
    <row r="327" spans="1:7" ht="14.5" x14ac:dyDescent="0.35">
      <c r="A327" s="49"/>
      <c r="B327" s="48"/>
      <c r="C327" s="50"/>
      <c r="D327" s="50"/>
      <c r="E327" s="51"/>
      <c r="F327" s="51"/>
      <c r="G327" s="52"/>
    </row>
    <row r="328" spans="1:7" ht="14.5" x14ac:dyDescent="0.35">
      <c r="A328" s="49"/>
      <c r="B328" s="48"/>
      <c r="C328" s="50"/>
      <c r="D328" s="50"/>
      <c r="E328" s="51"/>
      <c r="F328" s="51"/>
      <c r="G328" s="52"/>
    </row>
    <row r="329" spans="1:7" ht="14.5" x14ac:dyDescent="0.35">
      <c r="A329" s="49"/>
      <c r="B329" s="48"/>
      <c r="C329" s="50"/>
      <c r="D329" s="50"/>
      <c r="E329" s="51"/>
      <c r="F329" s="51"/>
      <c r="G329" s="52"/>
    </row>
    <row r="330" spans="1:7" ht="14.5" x14ac:dyDescent="0.35">
      <c r="A330" s="49"/>
      <c r="B330" s="48"/>
      <c r="C330" s="50"/>
      <c r="D330" s="50"/>
      <c r="E330" s="51"/>
      <c r="F330" s="51"/>
      <c r="G330" s="52"/>
    </row>
    <row r="331" spans="1:7" ht="14.5" x14ac:dyDescent="0.35">
      <c r="A331" s="49"/>
      <c r="B331" s="48"/>
      <c r="C331" s="50"/>
      <c r="D331" s="50"/>
      <c r="E331" s="51"/>
      <c r="F331" s="51"/>
      <c r="G331" s="52"/>
    </row>
    <row r="332" spans="1:7" ht="14.5" x14ac:dyDescent="0.35">
      <c r="A332" s="49"/>
      <c r="B332" s="48"/>
      <c r="C332" s="50"/>
      <c r="D332" s="50"/>
      <c r="E332" s="51"/>
      <c r="F332" s="51"/>
      <c r="G332" s="52"/>
    </row>
    <row r="333" spans="1:7" ht="14.5" x14ac:dyDescent="0.35">
      <c r="A333" s="49"/>
      <c r="B333" s="48"/>
      <c r="C333" s="50"/>
      <c r="D333" s="50"/>
      <c r="E333" s="51"/>
      <c r="F333" s="51"/>
      <c r="G333" s="52"/>
    </row>
    <row r="334" spans="1:7" ht="14.5" x14ac:dyDescent="0.35">
      <c r="A334" s="49"/>
      <c r="B334" s="48"/>
      <c r="C334" s="50"/>
      <c r="D334" s="50"/>
      <c r="E334" s="51"/>
      <c r="F334" s="51"/>
      <c r="G334" s="52"/>
    </row>
    <row r="335" spans="1:7" ht="14.5" x14ac:dyDescent="0.35">
      <c r="A335" s="49"/>
      <c r="B335" s="48"/>
      <c r="C335" s="50"/>
      <c r="D335" s="50"/>
      <c r="E335" s="51"/>
      <c r="F335" s="51"/>
      <c r="G335" s="52"/>
    </row>
    <row r="336" spans="1:7" ht="14.5" x14ac:dyDescent="0.35">
      <c r="A336" s="49"/>
      <c r="B336" s="48"/>
      <c r="C336" s="50"/>
      <c r="D336" s="50"/>
      <c r="E336" s="51"/>
      <c r="F336" s="51"/>
      <c r="G336" s="52"/>
    </row>
    <row r="337" spans="1:7" ht="14.5" x14ac:dyDescent="0.35">
      <c r="A337" s="49"/>
      <c r="B337" s="48"/>
      <c r="C337" s="50"/>
      <c r="D337" s="50"/>
      <c r="E337" s="51"/>
      <c r="F337" s="51"/>
      <c r="G337" s="52"/>
    </row>
    <row r="338" spans="1:7" ht="14.5" x14ac:dyDescent="0.35">
      <c r="A338" s="49"/>
      <c r="B338" s="48"/>
      <c r="C338" s="50"/>
      <c r="D338" s="50"/>
      <c r="E338" s="51"/>
      <c r="F338" s="51"/>
      <c r="G338" s="52"/>
    </row>
    <row r="339" spans="1:7" ht="14.5" x14ac:dyDescent="0.35">
      <c r="A339" s="48"/>
      <c r="B339" s="49"/>
      <c r="C339" s="50"/>
      <c r="D339" s="50"/>
      <c r="E339" s="51"/>
      <c r="F339" s="51"/>
      <c r="G339" s="52"/>
    </row>
    <row r="340" spans="1:7" ht="14.5" x14ac:dyDescent="0.35">
      <c r="A340" s="48"/>
      <c r="B340" s="49"/>
      <c r="C340" s="50"/>
      <c r="D340" s="50"/>
      <c r="E340" s="51"/>
      <c r="F340" s="51"/>
      <c r="G340" s="52"/>
    </row>
    <row r="341" spans="1:7" ht="14.5" x14ac:dyDescent="0.35">
      <c r="A341" s="48"/>
      <c r="B341" s="49"/>
      <c r="C341" s="50"/>
      <c r="D341" s="50"/>
      <c r="E341" s="51"/>
      <c r="F341" s="51"/>
      <c r="G341" s="52"/>
    </row>
    <row r="342" spans="1:7" ht="14.5" x14ac:dyDescent="0.35">
      <c r="A342" s="48"/>
      <c r="B342" s="49"/>
      <c r="C342" s="50"/>
      <c r="D342" s="50"/>
      <c r="E342" s="51"/>
      <c r="F342" s="51"/>
      <c r="G342" s="52"/>
    </row>
    <row r="343" spans="1:7" ht="14.5" x14ac:dyDescent="0.35">
      <c r="A343" s="48"/>
      <c r="B343" s="49"/>
      <c r="C343" s="50"/>
      <c r="D343" s="50"/>
      <c r="E343" s="51"/>
      <c r="F343" s="51"/>
      <c r="G343" s="52"/>
    </row>
    <row r="344" spans="1:7" ht="14.5" x14ac:dyDescent="0.35">
      <c r="A344" s="48"/>
      <c r="B344" s="49"/>
      <c r="C344" s="50"/>
      <c r="D344" s="50"/>
      <c r="E344" s="51"/>
      <c r="F344" s="51"/>
      <c r="G344" s="52"/>
    </row>
    <row r="345" spans="1:7" ht="14.5" x14ac:dyDescent="0.35">
      <c r="A345" s="48"/>
      <c r="B345" s="49"/>
      <c r="C345" s="50"/>
      <c r="D345" s="50"/>
      <c r="E345" s="51"/>
      <c r="F345" s="51"/>
      <c r="G345" s="52"/>
    </row>
    <row r="346" spans="1:7" ht="14.5" x14ac:dyDescent="0.35">
      <c r="A346" s="48"/>
      <c r="B346" s="49"/>
      <c r="C346" s="50"/>
      <c r="D346" s="50"/>
      <c r="E346" s="51"/>
      <c r="F346" s="51"/>
      <c r="G346" s="52"/>
    </row>
    <row r="347" spans="1:7" ht="14.5" x14ac:dyDescent="0.35">
      <c r="A347" s="48"/>
      <c r="B347" s="49"/>
      <c r="C347" s="50"/>
      <c r="D347" s="50"/>
      <c r="E347" s="51"/>
      <c r="F347" s="51"/>
      <c r="G347" s="52"/>
    </row>
    <row r="348" spans="1:7" ht="14.5" x14ac:dyDescent="0.35">
      <c r="A348" s="48"/>
      <c r="B348" s="49"/>
      <c r="C348" s="50"/>
      <c r="D348" s="50"/>
      <c r="E348" s="51"/>
      <c r="F348" s="51"/>
      <c r="G348" s="52"/>
    </row>
    <row r="349" spans="1:7" ht="14.5" x14ac:dyDescent="0.35">
      <c r="A349" s="48"/>
      <c r="B349" s="49"/>
      <c r="C349" s="50"/>
      <c r="D349" s="50"/>
      <c r="E349" s="51"/>
      <c r="F349" s="51"/>
      <c r="G349" s="52"/>
    </row>
    <row r="350" spans="1:7" ht="14.5" x14ac:dyDescent="0.35">
      <c r="A350" s="48"/>
      <c r="B350" s="49"/>
      <c r="C350" s="50"/>
      <c r="D350" s="50"/>
      <c r="E350" s="51"/>
      <c r="F350" s="51"/>
      <c r="G350" s="52"/>
    </row>
    <row r="351" spans="1:7" ht="14.5" x14ac:dyDescent="0.35">
      <c r="A351" s="48"/>
      <c r="B351" s="49"/>
      <c r="C351" s="50"/>
      <c r="D351" s="50"/>
      <c r="E351" s="51"/>
      <c r="F351" s="51"/>
      <c r="G351" s="52"/>
    </row>
    <row r="352" spans="1:7" ht="14.5" x14ac:dyDescent="0.35">
      <c r="A352" s="48"/>
      <c r="B352" s="49"/>
      <c r="C352" s="50"/>
      <c r="D352" s="50"/>
      <c r="E352" s="51"/>
      <c r="F352" s="51"/>
      <c r="G352" s="52"/>
    </row>
    <row r="353" spans="1:7" ht="14.5" x14ac:dyDescent="0.35">
      <c r="A353" s="48"/>
      <c r="B353" s="49"/>
      <c r="C353" s="50"/>
      <c r="D353" s="50"/>
      <c r="E353" s="51"/>
      <c r="F353" s="51"/>
      <c r="G353" s="52"/>
    </row>
  </sheetData>
  <pageMargins left="0.75" right="0.75" top="1" bottom="1" header="0.5" footer="0.5"/>
  <pageSetup paperSize="9" orientation="landscape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Charts</vt:lpstr>
      </vt:variant>
      <vt:variant>
        <vt:i4>14</vt:i4>
      </vt:variant>
    </vt:vector>
  </HeadingPairs>
  <TitlesOfParts>
    <vt:vector size="41" baseType="lpstr">
      <vt:lpstr>all drops (m;velo)</vt:lpstr>
      <vt:lpstr>New Vestas G27 60L</vt:lpstr>
      <vt:lpstr>G27 60L (m;velo)</vt:lpstr>
      <vt:lpstr>G27 60L (impacts;velo)</vt:lpstr>
      <vt:lpstr>G27 60L (impactsDNV;velo)</vt:lpstr>
      <vt:lpstr>G27 60L (impactsDNV;Ekin)</vt:lpstr>
      <vt:lpstr>G27 60L (AccuEkin;velo)</vt:lpstr>
      <vt:lpstr>New Vestas G20 120L</vt:lpstr>
      <vt:lpstr>G20 120L (impacts;velo)</vt:lpstr>
      <vt:lpstr>G20 120L (m;velo)</vt:lpstr>
      <vt:lpstr>G20 120L (impactsDNV;velo)</vt:lpstr>
      <vt:lpstr>G20 120L (AccuEkin;velo)</vt:lpstr>
      <vt:lpstr>New Vestas G27 105L</vt:lpstr>
      <vt:lpstr>G27 105L (m;velo)</vt:lpstr>
      <vt:lpstr>G27 105L (impacts;velo)</vt:lpstr>
      <vt:lpstr>G27 105L (impactsDNV;velo)</vt:lpstr>
      <vt:lpstr>G27 105L (AccuEkin,velo)</vt:lpstr>
      <vt:lpstr>New Vestas G30 85L</vt:lpstr>
      <vt:lpstr>G30 85L (m;velo)</vt:lpstr>
      <vt:lpstr>G30 85L (impactsDNV;velo)</vt:lpstr>
      <vt:lpstr>G30 85L (impacts;velo)</vt:lpstr>
      <vt:lpstr>G30 85L (SPI;velo)</vt:lpstr>
      <vt:lpstr>G30 85L (AccuEkin;velo)</vt:lpstr>
      <vt:lpstr>Drop size and fallvelocity</vt:lpstr>
      <vt:lpstr>SOFTSIGN MODEL FIT</vt:lpstr>
      <vt:lpstr>LINEAR MODEL FIT</vt:lpstr>
      <vt:lpstr>G27 60L (impactsDNV;velo) s_log</vt:lpstr>
      <vt:lpstr>linear model (2)</vt:lpstr>
      <vt:lpstr>Plot m all drops</vt:lpstr>
      <vt:lpstr>Plot time;velo</vt:lpstr>
      <vt:lpstr>Plot spec imp ASTM</vt:lpstr>
      <vt:lpstr>Plot spec imp DNV</vt:lpstr>
      <vt:lpstr>Plot m</vt:lpstr>
      <vt:lpstr>Plot spec AccuEkin)</vt:lpstr>
      <vt:lpstr>Plot m (2)</vt:lpstr>
      <vt:lpstr>Plot Ekin-N0</vt:lpstr>
      <vt:lpstr>Plot Ekin-n per mm2</vt:lpstr>
      <vt:lpstr>G27 60L nmm^2</vt:lpstr>
      <vt:lpstr>Wöhler exponent mm</vt:lpstr>
      <vt:lpstr>linear model PLOT</vt:lpstr>
      <vt:lpstr>plot semi vs loglog</vt:lpstr>
    </vt:vector>
  </TitlesOfParts>
  <Company>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Nicolai Frost-Jensen Johansen</dc:creator>
  <cp:lastModifiedBy>Jakob Ilsted Bech</cp:lastModifiedBy>
  <dcterms:created xsi:type="dcterms:W3CDTF">2020-02-26T10:08:45Z</dcterms:created>
  <dcterms:modified xsi:type="dcterms:W3CDTF">2021-12-26T08:36:58Z</dcterms:modified>
</cp:coreProperties>
</file>