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/>
  <mc:AlternateContent xmlns:mc="http://schemas.openxmlformats.org/markup-compatibility/2006">
    <mc:Choice Requires="x15">
      <x15ac:absPath xmlns:x15ac="http://schemas.microsoft.com/office/spreadsheetml/2010/11/ac" url="/Users/localadmin/Documents/"/>
    </mc:Choice>
  </mc:AlternateContent>
  <xr:revisionPtr revIDLastSave="0" documentId="13_ncr:1_{9B7F9441-477C-1345-84B8-5CDD585DEA5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257" r:id="rId5"/>
    <pivotCache cacheId="81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6" i="2" l="1"/>
  <c r="W27" i="2"/>
  <c r="W28" i="2"/>
  <c r="W29" i="2"/>
  <c r="W30" i="2"/>
  <c r="W31" i="2"/>
  <c r="W32" i="2"/>
  <c r="W33" i="2"/>
  <c r="W34" i="2"/>
  <c r="W35" i="2"/>
  <c r="W36" i="2"/>
  <c r="W25" i="2"/>
  <c r="V36" i="2"/>
  <c r="V35" i="2"/>
  <c r="V34" i="2"/>
  <c r="V33" i="2"/>
  <c r="V32" i="2"/>
  <c r="V31" i="2"/>
  <c r="V30" i="2"/>
  <c r="V29" i="2"/>
  <c r="V28" i="2"/>
  <c r="V27" i="2"/>
  <c r="V26" i="2"/>
  <c r="V25" i="2"/>
  <c r="V10" i="2"/>
  <c r="V11" i="2"/>
  <c r="V12" i="2"/>
  <c r="V13" i="2"/>
  <c r="W13" i="2" s="1"/>
  <c r="V14" i="2"/>
  <c r="W14" i="2" s="1"/>
  <c r="V15" i="2"/>
  <c r="V16" i="2"/>
  <c r="V17" i="2"/>
  <c r="V18" i="2"/>
  <c r="W18" i="2" s="1"/>
  <c r="V19" i="2"/>
  <c r="V20" i="2"/>
  <c r="V21" i="2"/>
  <c r="W21" i="2"/>
  <c r="W19" i="2"/>
  <c r="W17" i="2"/>
  <c r="W16" i="2"/>
  <c r="W11" i="2"/>
  <c r="W10" i="2"/>
  <c r="W12" i="2"/>
  <c r="W15" i="2"/>
  <c r="W20" i="2"/>
  <c r="B55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F15" i="3"/>
  <c r="F16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E16" i="3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T3" i="3" l="1"/>
  <c r="T4" i="3"/>
  <c r="T5" i="3"/>
  <c r="T6" i="3"/>
  <c r="T7" i="3"/>
  <c r="C41" i="3"/>
  <c r="G41" i="3" l="1"/>
  <c r="D29" i="3"/>
  <c r="H29" i="3" s="1"/>
  <c r="D30" i="3"/>
  <c r="H30" i="3" s="1"/>
  <c r="P3" i="3"/>
  <c r="P4" i="3"/>
  <c r="P6" i="3"/>
  <c r="P7" i="3"/>
  <c r="V3" i="3"/>
  <c r="V4" i="3"/>
  <c r="V5" i="3"/>
  <c r="V6" i="3"/>
  <c r="V7" i="3"/>
  <c r="D28" i="3"/>
  <c r="H28" i="3" s="1"/>
  <c r="R8" i="3"/>
  <c r="D26" i="3"/>
  <c r="H26" i="3" s="1"/>
  <c r="D27" i="3"/>
  <c r="H27" i="3" s="1"/>
  <c r="D21" i="3"/>
  <c r="H21" i="3" s="1"/>
  <c r="D22" i="3"/>
  <c r="H22" i="3" s="1"/>
  <c r="D23" i="3"/>
  <c r="H23" i="3" s="1"/>
  <c r="D24" i="3"/>
  <c r="H24" i="3" s="1"/>
  <c r="D25" i="3"/>
  <c r="H25" i="3" s="1"/>
  <c r="D8" i="3"/>
  <c r="H8" i="3" s="1"/>
  <c r="D3" i="3"/>
  <c r="H3" i="3" s="1"/>
  <c r="D4" i="3"/>
  <c r="H4" i="3" s="1"/>
  <c r="D5" i="3"/>
  <c r="H5" i="3" s="1"/>
  <c r="D6" i="3"/>
  <c r="H6" i="3" s="1"/>
  <c r="D7" i="3"/>
  <c r="H7" i="3" s="1"/>
  <c r="D9" i="3"/>
  <c r="H9" i="3" s="1"/>
  <c r="D10" i="3"/>
  <c r="H10" i="3" s="1"/>
  <c r="D11" i="3"/>
  <c r="H11" i="3" s="1"/>
  <c r="D12" i="3"/>
  <c r="H12" i="3" s="1"/>
  <c r="D13" i="3"/>
  <c r="H13" i="3" s="1"/>
  <c r="D14" i="3"/>
  <c r="H14" i="3" s="1"/>
  <c r="D15" i="3"/>
  <c r="H15" i="3" s="1"/>
  <c r="D16" i="3"/>
  <c r="H16" i="3" s="1"/>
  <c r="D17" i="3"/>
  <c r="H17" i="3" s="1"/>
  <c r="D18" i="3"/>
  <c r="H18" i="3" s="1"/>
  <c r="D19" i="3"/>
  <c r="H19" i="3" s="1"/>
  <c r="D20" i="3"/>
  <c r="H20" i="3" s="1"/>
  <c r="G2" i="3"/>
  <c r="P2" i="3"/>
  <c r="D41" i="3" l="1"/>
  <c r="W2" i="3" l="1"/>
  <c r="S7" i="3" s="1"/>
  <c r="E2" i="3" l="1"/>
  <c r="D65" i="3" l="1"/>
  <c r="E65" i="3" s="1"/>
  <c r="D66" i="3"/>
  <c r="E66" i="3" s="1"/>
  <c r="D67" i="3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E86" i="3" s="1"/>
  <c r="D87" i="3"/>
  <c r="E87" i="3" s="1"/>
  <c r="D88" i="3"/>
  <c r="E88" i="3" s="1"/>
  <c r="D89" i="3"/>
  <c r="E89" i="3" s="1"/>
  <c r="D64" i="3"/>
  <c r="E64" i="3" s="1"/>
  <c r="D55" i="3"/>
  <c r="B56" i="3" l="1"/>
  <c r="B57" i="3"/>
  <c r="B58" i="3"/>
  <c r="B59" i="3"/>
  <c r="F55" i="3"/>
  <c r="C68" i="3" s="1"/>
  <c r="C66" i="3" l="1"/>
  <c r="G66" i="3" s="1"/>
  <c r="C70" i="3"/>
  <c r="G70" i="3" s="1"/>
  <c r="C67" i="3"/>
  <c r="G67" i="3" s="1"/>
  <c r="G68" i="3"/>
  <c r="C65" i="3"/>
  <c r="G65" i="3" s="1"/>
  <c r="C69" i="3"/>
  <c r="G69" i="3" s="1"/>
  <c r="C64" i="3"/>
  <c r="G64" i="3" s="1"/>
  <c r="A3" i="4"/>
  <c r="A4" i="4"/>
  <c r="A5" i="4"/>
  <c r="A6" i="4"/>
  <c r="A7" i="4"/>
  <c r="A8" i="4"/>
  <c r="A9" i="4"/>
  <c r="A10" i="4"/>
  <c r="A11" i="4"/>
  <c r="A12" i="4"/>
  <c r="A13" i="4"/>
  <c r="A2" i="4"/>
  <c r="F39" i="3" s="1"/>
  <c r="H39" i="3" s="1"/>
  <c r="F50" i="3" l="1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6" i="3"/>
  <c r="H46" i="3" s="1"/>
  <c r="F45" i="3"/>
  <c r="H45" i="3" s="1"/>
  <c r="F41" i="3"/>
  <c r="H41" i="3" s="1"/>
  <c r="F2" i="3"/>
  <c r="D2" i="3"/>
  <c r="D56" i="3"/>
  <c r="D57" i="3"/>
  <c r="H57" i="3" s="1"/>
  <c r="D58" i="3"/>
  <c r="H58" i="3" s="1"/>
  <c r="D59" i="3"/>
  <c r="C40" i="3"/>
  <c r="C47" i="3"/>
  <c r="C49" i="3"/>
  <c r="C44" i="3"/>
  <c r="C43" i="3"/>
  <c r="C42" i="3"/>
  <c r="C45" i="3"/>
  <c r="C46" i="3"/>
  <c r="C48" i="3"/>
  <c r="C50" i="3"/>
  <c r="C39" i="3"/>
  <c r="G50" i="3" l="1"/>
  <c r="G48" i="3"/>
  <c r="I48" i="3" s="1"/>
  <c r="G46" i="3"/>
  <c r="G45" i="3"/>
  <c r="G42" i="3"/>
  <c r="G43" i="3"/>
  <c r="G44" i="3"/>
  <c r="G49" i="3"/>
  <c r="I49" i="3" s="1"/>
  <c r="G47" i="3"/>
  <c r="G40" i="3"/>
  <c r="G39" i="3"/>
  <c r="G51" i="3" s="1"/>
  <c r="H51" i="3"/>
  <c r="I40" i="3"/>
  <c r="I47" i="3"/>
  <c r="I42" i="3"/>
  <c r="F59" i="3"/>
  <c r="F57" i="3"/>
  <c r="F58" i="3"/>
  <c r="G55" i="3"/>
  <c r="H55" i="3" s="1"/>
  <c r="I58" i="3"/>
  <c r="F56" i="3"/>
  <c r="I57" i="3"/>
  <c r="B51" i="3"/>
  <c r="I41" i="3" l="1"/>
  <c r="I39" i="3"/>
  <c r="C79" i="3"/>
  <c r="G79" i="3" s="1"/>
  <c r="C83" i="3"/>
  <c r="G83" i="3" s="1"/>
  <c r="C80" i="3"/>
  <c r="G80" i="3" s="1"/>
  <c r="C84" i="3"/>
  <c r="G84" i="3" s="1"/>
  <c r="C81" i="3"/>
  <c r="G81" i="3" s="1"/>
  <c r="C85" i="3"/>
  <c r="G85" i="3" s="1"/>
  <c r="C82" i="3"/>
  <c r="G82" i="3" s="1"/>
  <c r="C75" i="3"/>
  <c r="G75" i="3" s="1"/>
  <c r="C76" i="3"/>
  <c r="G76" i="3" s="1"/>
  <c r="C77" i="3"/>
  <c r="G77" i="3" s="1"/>
  <c r="C74" i="3"/>
  <c r="G74" i="3" s="1"/>
  <c r="C78" i="3"/>
  <c r="G78" i="3" s="1"/>
  <c r="G56" i="3"/>
  <c r="G60" i="3" s="1"/>
  <c r="C71" i="3"/>
  <c r="G71" i="3" s="1"/>
  <c r="C72" i="3"/>
  <c r="G72" i="3" s="1"/>
  <c r="C73" i="3"/>
  <c r="G73" i="3" s="1"/>
  <c r="G59" i="3"/>
  <c r="H59" i="3" s="1"/>
  <c r="I59" i="3" s="1"/>
  <c r="C87" i="3"/>
  <c r="G87" i="3" s="1"/>
  <c r="C88" i="3"/>
  <c r="G88" i="3" s="1"/>
  <c r="C89" i="3"/>
  <c r="G89" i="3" s="1"/>
  <c r="C86" i="3"/>
  <c r="G86" i="3" s="1"/>
  <c r="H56" i="3"/>
  <c r="I56" i="3" s="1"/>
  <c r="I55" i="3"/>
  <c r="D48" i="3"/>
  <c r="D39" i="3"/>
  <c r="D49" i="3"/>
  <c r="D50" i="3"/>
  <c r="S6" i="3" l="1"/>
  <c r="S5" i="3"/>
  <c r="S3" i="3"/>
  <c r="S4" i="3"/>
  <c r="S2" i="3"/>
  <c r="T2" i="3"/>
  <c r="V2" i="3" l="1"/>
  <c r="H2" i="3"/>
  <c r="S8" i="3"/>
  <c r="D40" i="3"/>
  <c r="D43" i="3"/>
  <c r="C51" i="3" l="1"/>
  <c r="I50" i="3" s="1"/>
  <c r="D46" i="3"/>
  <c r="I45" i="3"/>
  <c r="I46" i="3"/>
  <c r="D47" i="3"/>
  <c r="D42" i="3"/>
  <c r="I43" i="3"/>
  <c r="D44" i="3"/>
  <c r="D45" i="3"/>
  <c r="I44" i="3"/>
  <c r="D51" i="3" l="1"/>
  <c r="P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1DD9E5C5-DCE3-2B42-8040-AF8F87646C1E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</commentList>
</comments>
</file>

<file path=xl/sharedStrings.xml><?xml version="1.0" encoding="utf-8"?>
<sst xmlns="http://schemas.openxmlformats.org/spreadsheetml/2006/main" count="296" uniqueCount="110">
  <si>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</si>
  <si>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</si>
  <si>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</si>
  <si>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</si>
  <si>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</si>
  <si>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</si>
  <si>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</si>
  <si>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</si>
  <si>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</si>
  <si>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</si>
  <si>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По профилю</t>
  </si>
  <si>
    <t>login</t>
  </si>
  <si>
    <t>Поиск максимума 3 ступень</t>
  </si>
  <si>
    <t>Подтверждение максимума</t>
  </si>
  <si>
    <t>Script name</t>
  </si>
  <si>
    <t>transaction rq</t>
  </si>
  <si>
    <t>count</t>
  </si>
  <si>
    <t>Названия строк</t>
  </si>
  <si>
    <t>Общий итог</t>
  </si>
  <si>
    <t>Операция (бизнес процесс)</t>
  </si>
  <si>
    <t>VU</t>
  </si>
  <si>
    <t>Duration</t>
  </si>
  <si>
    <t>Think_time</t>
  </si>
  <si>
    <t>Pacing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</si>
  <si>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</si>
  <si>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</si>
  <si>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</si>
  <si>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</si>
  <si>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</si>
  <si>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</si>
  <si>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</si>
  <si>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</si>
  <si>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</si>
  <si>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</si>
  <si>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</si>
  <si>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</si>
  <si>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</si>
  <si>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</si>
  <si>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</si>
  <si>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</si>
  <si>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</si>
  <si>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</si>
  <si>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</si>
  <si>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</si>
  <si>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</si>
  <si>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</si>
  <si>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Поиск билета</t>
  </si>
  <si>
    <t>Просмотр текущих бронирований</t>
  </si>
  <si>
    <t>Кол-во в минуту</t>
  </si>
  <si>
    <t>vu</t>
  </si>
  <si>
    <t>мин</t>
  </si>
  <si>
    <t>округл</t>
  </si>
  <si>
    <t>pacing сек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</si>
  <si>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</si>
  <si>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</si>
  <si>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</si>
  <si>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</si>
  <si>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</si>
  <si>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</si>
  <si>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</si>
  <si>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ScriptName</t>
  </si>
  <si>
    <t>Операций 20 мин</t>
  </si>
  <si>
    <t>Статистика операций 20 мин</t>
  </si>
  <si>
    <t>Удаление брони</t>
  </si>
  <si>
    <t>Главная страница</t>
  </si>
  <si>
    <t>Переход на стр. Поиска</t>
  </si>
  <si>
    <t>Заполнение полей и поиск</t>
  </si>
  <si>
    <t>Выбор рейса</t>
  </si>
  <si>
    <t>Покупка</t>
  </si>
  <si>
    <t>Логаут</t>
  </si>
  <si>
    <t>Логин и логаут</t>
  </si>
  <si>
    <t>Просмотр путевых листов</t>
  </si>
  <si>
    <t>Удаление</t>
  </si>
  <si>
    <t>Операция/Скрипт</t>
  </si>
  <si>
    <t>Запросы</t>
  </si>
  <si>
    <t>Vus</t>
  </si>
  <si>
    <t>Кол-во одним Vu</t>
  </si>
  <si>
    <t>Duration + Think_time</t>
  </si>
  <si>
    <t>Action_Transaction</t>
  </si>
  <si>
    <t>Профиль</t>
  </si>
  <si>
    <t>логин</t>
  </si>
  <si>
    <t>логин/логаут</t>
  </si>
  <si>
    <t>loginPage</t>
  </si>
  <si>
    <t>flights</t>
  </si>
  <si>
    <t>typeData</t>
  </si>
  <si>
    <t>chooseFlight</t>
  </si>
  <si>
    <t>personalData</t>
  </si>
  <si>
    <t>checkItinerary</t>
  </si>
  <si>
    <t>deleteTicket</t>
  </si>
  <si>
    <t>signOut</t>
  </si>
  <si>
    <t>registrationData</t>
  </si>
  <si>
    <t>signUpPage</t>
  </si>
  <si>
    <t>Transaction Name </t>
  </si>
  <si>
    <t>Minimum </t>
  </si>
  <si>
    <t>Average </t>
  </si>
  <si>
    <t>Maximum </t>
  </si>
  <si>
    <t>Std. Deviation </t>
  </si>
  <si>
    <t>90 Percent </t>
  </si>
  <si>
    <t>Pass </t>
  </si>
  <si>
    <t>Fail </t>
  </si>
  <si>
    <t>Stop </t>
  </si>
  <si>
    <t>pageAfterRegistaration</t>
  </si>
  <si>
    <t>UC1_BuyTicket</t>
  </si>
  <si>
    <t>UC3_DeleteTicket</t>
  </si>
  <si>
    <t>UC4_LoginLogout</t>
  </si>
  <si>
    <t>UC5_CustomerRegistration</t>
  </si>
  <si>
    <t>UC_CheckTicket</t>
  </si>
  <si>
    <t>vuser_end_Transaction</t>
  </si>
  <si>
    <t>vuser_init_Transaction</t>
  </si>
  <si>
    <t>UC_Login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</si>
</sst>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3"/>
      <color rgb="FFA3A3A3"/>
      <name val="Arial"/>
      <family val="2"/>
    </font>
    <font>
      <sz val="14"/>
      <color rgb="FFDDE2E7"/>
      <name val="Arial"/>
      <family val="2"/>
    </font>
    <font>
      <u/>
      <sz val="11"/>
      <color theme="10"/>
      <name val="Calibri"/>
      <family val="2"/>
      <scheme val="minor"/>
    </font>
    <font>
      <b/>
      <sz val="13"/>
      <color rgb="FF6C6C6C"/>
      <name val="Arial"/>
      <family val="2"/>
    </font>
    <font>
      <sz val="14"/>
      <color rgb="FF212529"/>
      <name val="Arial"/>
      <family val="2"/>
    </font>
    <font>
      <b/>
      <sz val="13"/>
      <color theme="1"/>
      <name val="Arial"/>
      <family val="2"/>
    </font>
    <font>
      <u/>
      <sz val="11"/>
      <color theme="1"/>
      <name val="Calibri"/>
      <family val="2"/>
      <scheme val="minor"/>
    </font>
    <font>
      <sz val="14"/>
      <color theme="1"/>
      <name val="Arial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81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2" applyNumberFormat="0" applyFill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8" fillId="0" borderId="0" applyNumberFormat="0" applyFill="0" applyBorder="0" applyAlignment="0" applyProtection="0"/>
    <xf numFmtId="0" fontId="19" fillId="5" borderId="5" applyNumberFormat="0" applyAlignment="0" applyProtection="0"/>
    <xf numFmtId="0" fontId="20" fillId="6" borderId="6" applyNumberFormat="0" applyAlignment="0" applyProtection="0"/>
    <xf numFmtId="0" fontId="21" fillId="6" borderId="5" applyNumberFormat="0" applyAlignment="0" applyProtection="0"/>
    <xf numFmtId="0" fontId="22" fillId="0" borderId="7" applyNumberFormat="0" applyFill="0" applyAlignment="0" applyProtection="0"/>
    <xf numFmtId="0" fontId="23" fillId="7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26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6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0" borderId="0"/>
    <xf numFmtId="0" fontId="3" fillId="8" borderId="9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31" fillId="4" borderId="0" applyNumberFormat="0" applyBorder="0" applyAlignment="0" applyProtection="0"/>
    <xf numFmtId="0" fontId="2" fillId="8" borderId="9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6" fillId="12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0" borderId="0"/>
    <xf numFmtId="0" fontId="1" fillId="8" borderId="9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 applyNumberFormat="0" applyFill="0" applyBorder="0" applyAlignment="0" applyProtection="0"/>
  </cellStyleXfs>
  <cellXfs count="102">
    <xf numFmtId="0" fontId="0" fillId="0" borderId="0" xfId="0"/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5" borderId="1" xfId="0" applyFill="1" applyBorder="1"/>
    <xf numFmtId="9" fontId="0" fillId="0" borderId="1" xfId="44" applyFont="1" applyBorder="1"/>
    <xf numFmtId="9" fontId="0" fillId="36" borderId="1" xfId="44" applyFont="1" applyFill="1" applyBorder="1"/>
    <xf numFmtId="0" fontId="7" fillId="0" borderId="1" xfId="0" applyFont="1" applyBorder="1" applyAlignment="1">
      <alignment vertical="center" wrapText="1"/>
    </xf>
    <xf numFmtId="0" fontId="0" fillId="38" borderId="1" xfId="0" applyFill="1" applyBorder="1"/>
    <xf numFmtId="0" fontId="0" fillId="0" borderId="0" xfId="0" applyAlignment="1">
      <alignment horizontal="center"/>
    </xf>
    <xf numFmtId="165" fontId="0" fillId="39" borderId="1" xfId="0" applyNumberFormat="1" applyFill="1" applyBorder="1"/>
    <xf numFmtId="1" fontId="0" fillId="33" borderId="1" xfId="0" applyNumberFormat="1" applyFill="1" applyBorder="1"/>
    <xf numFmtId="0" fontId="7" fillId="37" borderId="12" xfId="0" applyFont="1" applyFill="1" applyBorder="1" applyAlignment="1">
      <alignment vertical="center" wrapText="1"/>
    </xf>
    <xf numFmtId="0" fontId="5" fillId="37" borderId="12" xfId="0" applyFont="1" applyFill="1" applyBorder="1" applyAlignment="1">
      <alignment horizontal="left" vertical="center" wrapText="1"/>
    </xf>
    <xf numFmtId="0" fontId="6" fillId="37" borderId="13" xfId="0" applyFont="1" applyFill="1" applyBorder="1" applyAlignment="1">
      <alignment horizontal="left" vertical="center" wrapText="1"/>
    </xf>
    <xf numFmtId="1" fontId="0" fillId="33" borderId="1" xfId="0" quotePrefix="1" applyNumberFormat="1" applyFill="1" applyBorder="1"/>
    <xf numFmtId="1" fontId="0" fillId="39" borderId="1" xfId="0" applyNumberForma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4" borderId="1" xfId="0" applyNumberFormat="1" applyFill="1" applyBorder="1"/>
    <xf numFmtId="0" fontId="0" fillId="37" borderId="1" xfId="0" applyFill="1" applyBorder="1"/>
    <xf numFmtId="1" fontId="0" fillId="37" borderId="1" xfId="0" applyNumberFormat="1" applyFill="1" applyBorder="1"/>
    <xf numFmtId="1" fontId="0" fillId="37" borderId="1" xfId="0" quotePrefix="1" applyNumberFormat="1" applyFill="1" applyBorder="1"/>
    <xf numFmtId="0" fontId="0" fillId="33" borderId="0" xfId="0" applyFill="1" applyAlignment="1">
      <alignment horizontal="left"/>
    </xf>
    <xf numFmtId="1" fontId="0" fillId="35" borderId="1" xfId="0" applyNumberFormat="1" applyFill="1" applyBorder="1"/>
    <xf numFmtId="1" fontId="0" fillId="0" borderId="1" xfId="0" applyNumberFormat="1" applyBorder="1"/>
    <xf numFmtId="1" fontId="0" fillId="35" borderId="11" xfId="0" applyNumberFormat="1" applyFill="1" applyBorder="1"/>
    <xf numFmtId="2" fontId="0" fillId="0" borderId="0" xfId="44" applyNumberFormat="1" applyFont="1" applyBorder="1"/>
    <xf numFmtId="0" fontId="0" fillId="38" borderId="17" xfId="0" applyFill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horizontal="center"/>
    </xf>
    <xf numFmtId="0" fontId="0" fillId="0" borderId="23" xfId="0" applyBorder="1"/>
    <xf numFmtId="0" fontId="0" fillId="37" borderId="12" xfId="0" applyFill="1" applyBorder="1"/>
    <xf numFmtId="165" fontId="0" fillId="33" borderId="0" xfId="0" applyNumberFormat="1" applyFill="1"/>
    <xf numFmtId="9" fontId="0" fillId="0" borderId="14" xfId="44" applyFont="1" applyBorder="1"/>
    <xf numFmtId="0" fontId="0" fillId="0" borderId="24" xfId="0" applyBorder="1"/>
    <xf numFmtId="0" fontId="0" fillId="0" borderId="25" xfId="0" applyBorder="1"/>
    <xf numFmtId="1" fontId="0" fillId="0" borderId="25" xfId="0" applyNumberFormat="1" applyBorder="1"/>
    <xf numFmtId="0" fontId="0" fillId="33" borderId="17" xfId="0" applyFill="1" applyBorder="1"/>
    <xf numFmtId="9" fontId="0" fillId="0" borderId="1" xfId="0" applyNumberFormat="1" applyBorder="1"/>
    <xf numFmtId="0" fontId="0" fillId="0" borderId="26" xfId="0" applyBorder="1"/>
    <xf numFmtId="0" fontId="28" fillId="0" borderId="22" xfId="0" applyFont="1" applyBorder="1"/>
    <xf numFmtId="164" fontId="28" fillId="0" borderId="0" xfId="0" applyNumberFormat="1" applyFont="1"/>
    <xf numFmtId="0" fontId="28" fillId="0" borderId="0" xfId="0" applyFont="1"/>
    <xf numFmtId="1" fontId="28" fillId="0" borderId="0" xfId="0" applyNumberFormat="1" applyFont="1"/>
    <xf numFmtId="9" fontId="0" fillId="0" borderId="27" xfId="0" applyNumberFormat="1" applyBorder="1"/>
    <xf numFmtId="0" fontId="7" fillId="37" borderId="17" xfId="0" applyFont="1" applyFill="1" applyBorder="1" applyAlignment="1">
      <alignment vertical="center" wrapText="1"/>
    </xf>
    <xf numFmtId="0" fontId="5" fillId="37" borderId="17" xfId="0" applyFont="1" applyFill="1" applyBorder="1" applyAlignment="1">
      <alignment horizontal="center" vertical="center" wrapText="1"/>
    </xf>
    <xf numFmtId="0" fontId="5" fillId="37" borderId="29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0" fillId="0" borderId="1" xfId="0" applyBorder="1"/>
    <xf numFmtId="0" fontId="0" fillId="39" borderId="28" xfId="0" applyFill="1" applyBorder="1" applyAlignment="1">
      <alignment horizontal="center"/>
    </xf>
    <xf numFmtId="0" fontId="0" fillId="35" borderId="25" xfId="0" applyFill="1" applyBorder="1"/>
    <xf numFmtId="0" fontId="0" fillId="0" borderId="1" xfId="0" applyFill="1" applyBorder="1"/>
    <xf numFmtId="0" fontId="0" fillId="0" borderId="20" xfId="0" applyFill="1" applyBorder="1"/>
    <xf numFmtId="0" fontId="0" fillId="38" borderId="11" xfId="0" applyFill="1" applyBorder="1"/>
    <xf numFmtId="0" fontId="0" fillId="38" borderId="30" xfId="0" applyFill="1" applyBorder="1"/>
    <xf numFmtId="0" fontId="0" fillId="39" borderId="31" xfId="0" applyFill="1" applyBorder="1" applyAlignment="1">
      <alignment horizontal="center"/>
    </xf>
    <xf numFmtId="0" fontId="0" fillId="39" borderId="32" xfId="0" applyFill="1" applyBorder="1" applyAlignment="1">
      <alignment horizontal="center"/>
    </xf>
    <xf numFmtId="0" fontId="0" fillId="39" borderId="33" xfId="0" applyFill="1" applyBorder="1" applyAlignment="1">
      <alignment horizontal="center"/>
    </xf>
    <xf numFmtId="0" fontId="5" fillId="40" borderId="12" xfId="0" applyFont="1" applyFill="1" applyBorder="1" applyAlignment="1">
      <alignment horizontal="left" vertical="center" wrapText="1"/>
    </xf>
    <xf numFmtId="0" fontId="0" fillId="0" borderId="0" xfId="0" applyFill="1" applyBorder="1"/>
    <xf numFmtId="0" fontId="33" fillId="0" borderId="0" xfId="0" applyFont="1"/>
    <xf numFmtId="0" fontId="35" fillId="0" borderId="0" xfId="80"/>
    <xf numFmtId="0" fontId="34" fillId="0" borderId="0" xfId="0" applyFont="1"/>
    <xf numFmtId="1" fontId="0" fillId="34" borderId="11" xfId="0" applyNumberFormat="1" applyFill="1" applyBorder="1"/>
    <xf numFmtId="0" fontId="36" fillId="0" borderId="0" xfId="0" applyFont="1"/>
    <xf numFmtId="0" fontId="37" fillId="0" borderId="0" xfId="0" applyFont="1"/>
    <xf numFmtId="0" fontId="7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2" fontId="0" fillId="0" borderId="0" xfId="0" applyNumberFormat="1" applyFill="1" applyBorder="1"/>
    <xf numFmtId="0" fontId="5" fillId="0" borderId="0" xfId="0" applyFont="1" applyFill="1" applyBorder="1" applyAlignment="1">
      <alignment horizontal="left" vertical="center" wrapText="1"/>
    </xf>
    <xf numFmtId="0" fontId="38" fillId="0" borderId="0" xfId="0" applyFont="1"/>
    <xf numFmtId="0" fontId="39" fillId="0" borderId="0" xfId="80" applyFont="1"/>
    <xf numFmtId="0" fontId="40" fillId="0" borderId="0" xfId="0" applyFont="1"/>
    <xf numFmtId="9" fontId="0" fillId="0" borderId="0" xfId="44" applyFont="1"/>
    <xf numFmtId="0" fontId="32" fillId="0" borderId="0" xfId="0" applyFont="1"/>
    <xf numFmtId="0" fontId="32" fillId="0" borderId="0" xfId="80" applyFont="1"/>
    <xf numFmtId="0" fontId="0" fillId="0" borderId="0" xfId="0" applyFill="1" applyBorder="1" applyAlignment="1">
      <alignment horizontal="center"/>
    </xf>
    <xf numFmtId="0" fontId="12" fillId="0" borderId="0" xfId="0" applyFont="1" applyFill="1" applyBorder="1" applyAlignment="1">
      <alignment horizontal="center" vertical="top" wrapText="1"/>
    </xf>
    <xf numFmtId="0" fontId="13" fillId="0" borderId="0" xfId="0" applyFont="1" applyFill="1" applyBorder="1" applyAlignment="1">
      <alignment horizontal="left" vertical="top" wrapText="1"/>
    </xf>
    <xf numFmtId="0" fontId="11" fillId="0" borderId="0" xfId="4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center" vertical="top"/>
    </xf>
    <xf numFmtId="10" fontId="12" fillId="0" borderId="0" xfId="0" applyNumberFormat="1" applyFont="1" applyFill="1" applyBorder="1" applyAlignment="1">
      <alignment horizontal="center" vertical="top"/>
    </xf>
    <xf numFmtId="10" fontId="14" fillId="0" borderId="0" xfId="0" applyNumberFormat="1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3" fillId="0" borderId="0" xfId="0" applyFont="1" applyFill="1" applyBorder="1" applyAlignment="1">
      <alignment horizontal="left" vertical="top"/>
    </xf>
    <xf numFmtId="0" fontId="11" fillId="0" borderId="0" xfId="4" applyFont="1" applyFill="1" applyBorder="1" applyAlignment="1">
      <alignment horizontal="left" vertical="top"/>
    </xf>
    <xf numFmtId="0" fontId="3" fillId="0" borderId="0" xfId="42" applyFill="1" applyBorder="1"/>
    <xf numFmtId="10" fontId="12" fillId="0" borderId="0" xfId="0" applyNumberFormat="1" applyFont="1" applyFill="1" applyBorder="1" applyAlignment="1">
      <alignment horizontal="left" vertical="top"/>
    </xf>
    <xf numFmtId="10" fontId="14" fillId="0" borderId="0" xfId="0" applyNumberFormat="1" applyFont="1" applyFill="1" applyBorder="1" applyAlignment="1">
      <alignment horizontal="left" vertical="top"/>
    </xf>
  </cellXfs>
  <cellStyles count="81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Гиперссылка" xfId="80" builtinId="8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3">
    <dxf>
      <numFmt numFmtId="166" formatCode="0.000000"/>
    </dxf>
    <dxf>
      <numFmt numFmtId="167" formatCode="0.00000"/>
    </dxf>
    <dxf>
      <numFmt numFmtId="164" formatCode="0.0000"/>
    </dxf>
    <dxf>
      <numFmt numFmtId="168" formatCode="0.000"/>
    </dxf>
    <dxf>
      <numFmt numFmtId="2" formatCode="0.00"/>
    </dxf>
    <dxf>
      <numFmt numFmtId="165" formatCode="0.0"/>
    </dxf>
    <dxf>
      <numFmt numFmtId="1" formatCode="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65" formatCode="0.0"/>
    </dxf>
  </dxfs>
  <tableStyles count="0" defaultTableStyle="TableStyleMedium2" defaultPivotStyle="PivotStyleLight16"/>
  <colors>
    <mruColors>
      <color rgb="FFFF0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</xdr:row>
      <xdr:rowOff>0</xdr:rowOff>
    </xdr:from>
    <xdr:to>
      <xdr:col>18</xdr:col>
      <xdr:colOff>12700</xdr:colOff>
      <xdr:row>9</xdr:row>
      <xdr:rowOff>12700</xdr:rowOff>
    </xdr:to>
    <xdr:pic>
      <xdr:nvPicPr>
        <xdr:cNvPr id="44" name="Рисунок 43">
          <a:extLst>
            <a:ext uri="{FF2B5EF4-FFF2-40B4-BE49-F238E27FC236}">
              <a16:creationId xmlns:a16="http://schemas.microsoft.com/office/drawing/2014/main" id="{F4A7F277-203A-9FF0-DB81-4891CD1A1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18</xdr:col>
      <xdr:colOff>12700</xdr:colOff>
      <xdr:row>9</xdr:row>
      <xdr:rowOff>12700</xdr:rowOff>
    </xdr:to>
    <xdr:pic>
      <xdr:nvPicPr>
        <xdr:cNvPr id="45" name="Рисунок 44">
          <a:extLst>
            <a:ext uri="{FF2B5EF4-FFF2-40B4-BE49-F238E27FC236}">
              <a16:creationId xmlns:a16="http://schemas.microsoft.com/office/drawing/2014/main" id="{FD13B269-61FD-C249-649F-A6A379614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19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12700</xdr:colOff>
      <xdr:row>10</xdr:row>
      <xdr:rowOff>12700</xdr:rowOff>
    </xdr:to>
    <xdr:pic>
      <xdr:nvPicPr>
        <xdr:cNvPr id="46" name="Рисунок 45">
          <a:extLst>
            <a:ext uri="{FF2B5EF4-FFF2-40B4-BE49-F238E27FC236}">
              <a16:creationId xmlns:a16="http://schemas.microsoft.com/office/drawing/2014/main" id="{3AFF76FF-8007-4343-EC02-BB1704E1D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3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18</xdr:col>
      <xdr:colOff>12700</xdr:colOff>
      <xdr:row>11</xdr:row>
      <xdr:rowOff>12700</xdr:rowOff>
    </xdr:to>
    <xdr:pic>
      <xdr:nvPicPr>
        <xdr:cNvPr id="47" name="Рисунок 46">
          <a:extLst>
            <a:ext uri="{FF2B5EF4-FFF2-40B4-BE49-F238E27FC236}">
              <a16:creationId xmlns:a16="http://schemas.microsoft.com/office/drawing/2014/main" id="{20D105E3-E2AD-F3F7-4C2B-B770E29284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25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18</xdr:col>
      <xdr:colOff>12700</xdr:colOff>
      <xdr:row>12</xdr:row>
      <xdr:rowOff>12700</xdr:rowOff>
    </xdr:to>
    <xdr:pic>
      <xdr:nvPicPr>
        <xdr:cNvPr id="48" name="Рисунок 47">
          <a:extLst>
            <a:ext uri="{FF2B5EF4-FFF2-40B4-BE49-F238E27FC236}">
              <a16:creationId xmlns:a16="http://schemas.microsoft.com/office/drawing/2014/main" id="{845A61E2-10B3-97D6-F057-36EC389D25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00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18</xdr:col>
      <xdr:colOff>12700</xdr:colOff>
      <xdr:row>12</xdr:row>
      <xdr:rowOff>12700</xdr:rowOff>
    </xdr:to>
    <xdr:pic>
      <xdr:nvPicPr>
        <xdr:cNvPr id="49" name="Рисунок 48">
          <a:extLst>
            <a:ext uri="{FF2B5EF4-FFF2-40B4-BE49-F238E27FC236}">
              <a16:creationId xmlns:a16="http://schemas.microsoft.com/office/drawing/2014/main" id="{1CEF01D0-97B7-6C23-5811-447E1390C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4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18</xdr:col>
      <xdr:colOff>12700</xdr:colOff>
      <xdr:row>13</xdr:row>
      <xdr:rowOff>12700</xdr:rowOff>
    </xdr:to>
    <xdr:pic>
      <xdr:nvPicPr>
        <xdr:cNvPr id="50" name="Рисунок 49">
          <a:extLst>
            <a:ext uri="{FF2B5EF4-FFF2-40B4-BE49-F238E27FC236}">
              <a16:creationId xmlns:a16="http://schemas.microsoft.com/office/drawing/2014/main" id="{2884FEB6-4BBE-9797-F470-126A1D8ECC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18</xdr:col>
      <xdr:colOff>12700</xdr:colOff>
      <xdr:row>14</xdr:row>
      <xdr:rowOff>12700</xdr:rowOff>
    </xdr:to>
    <xdr:pic>
      <xdr:nvPicPr>
        <xdr:cNvPr id="51" name="Рисунок 50">
          <a:extLst>
            <a:ext uri="{FF2B5EF4-FFF2-40B4-BE49-F238E27FC236}">
              <a16:creationId xmlns:a16="http://schemas.microsoft.com/office/drawing/2014/main" id="{1494DACB-EB46-A8E1-314B-F6A0AF75CE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18</xdr:col>
      <xdr:colOff>12700</xdr:colOff>
      <xdr:row>15</xdr:row>
      <xdr:rowOff>12700</xdr:rowOff>
    </xdr:to>
    <xdr:pic>
      <xdr:nvPicPr>
        <xdr:cNvPr id="52" name="Рисунок 51">
          <a:extLst>
            <a:ext uri="{FF2B5EF4-FFF2-40B4-BE49-F238E27FC236}">
              <a16:creationId xmlns:a16="http://schemas.microsoft.com/office/drawing/2014/main" id="{10216756-9A4D-B0BF-81D7-F5CB9398A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18</xdr:col>
      <xdr:colOff>12700</xdr:colOff>
      <xdr:row>16</xdr:row>
      <xdr:rowOff>12700</xdr:rowOff>
    </xdr:to>
    <xdr:pic>
      <xdr:nvPicPr>
        <xdr:cNvPr id="53" name="Рисунок 52">
          <a:extLst>
            <a:ext uri="{FF2B5EF4-FFF2-40B4-BE49-F238E27FC236}">
              <a16:creationId xmlns:a16="http://schemas.microsoft.com/office/drawing/2014/main" id="{A6CFA469-5872-AD6C-13BA-BE15872F80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18</xdr:col>
      <xdr:colOff>12700</xdr:colOff>
      <xdr:row>17</xdr:row>
      <xdr:rowOff>12700</xdr:rowOff>
    </xdr:to>
    <xdr:pic>
      <xdr:nvPicPr>
        <xdr:cNvPr id="54" name="Рисунок 53">
          <a:extLst>
            <a:ext uri="{FF2B5EF4-FFF2-40B4-BE49-F238E27FC236}">
              <a16:creationId xmlns:a16="http://schemas.microsoft.com/office/drawing/2014/main" id="{E5F9DDEA-A3A3-2060-E278-39B1C843D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2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18</xdr:col>
      <xdr:colOff>12700</xdr:colOff>
      <xdr:row>18</xdr:row>
      <xdr:rowOff>12700</xdr:rowOff>
    </xdr:to>
    <xdr:pic>
      <xdr:nvPicPr>
        <xdr:cNvPr id="55" name="Рисунок 54">
          <a:extLst>
            <a:ext uri="{FF2B5EF4-FFF2-40B4-BE49-F238E27FC236}">
              <a16:creationId xmlns:a16="http://schemas.microsoft.com/office/drawing/2014/main" id="{B8E914AC-91E1-BB6B-299E-D9CBC00E82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18</xdr:col>
      <xdr:colOff>12700</xdr:colOff>
      <xdr:row>19</xdr:row>
      <xdr:rowOff>12700</xdr:rowOff>
    </xdr:to>
    <xdr:pic>
      <xdr:nvPicPr>
        <xdr:cNvPr id="56" name="Рисунок 55">
          <a:extLst>
            <a:ext uri="{FF2B5EF4-FFF2-40B4-BE49-F238E27FC236}">
              <a16:creationId xmlns:a16="http://schemas.microsoft.com/office/drawing/2014/main" id="{777F9292-E85A-48D6-5D97-447A0C1CEE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664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12700</xdr:colOff>
      <xdr:row>20</xdr:row>
      <xdr:rowOff>12700</xdr:rowOff>
    </xdr:to>
    <xdr:pic>
      <xdr:nvPicPr>
        <xdr:cNvPr id="57" name="Рисунок 56">
          <a:extLst>
            <a:ext uri="{FF2B5EF4-FFF2-40B4-BE49-F238E27FC236}">
              <a16:creationId xmlns:a16="http://schemas.microsoft.com/office/drawing/2014/main" id="{672A2AB9-AC29-EC3A-AA43-435E94FE31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5892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18</xdr:col>
      <xdr:colOff>12700</xdr:colOff>
      <xdr:row>21</xdr:row>
      <xdr:rowOff>12700</xdr:rowOff>
    </xdr:to>
    <xdr:pic>
      <xdr:nvPicPr>
        <xdr:cNvPr id="58" name="Рисунок 57">
          <a:extLst>
            <a:ext uri="{FF2B5EF4-FFF2-40B4-BE49-F238E27FC236}">
              <a16:creationId xmlns:a16="http://schemas.microsoft.com/office/drawing/2014/main" id="{31B3A2BE-90B7-1571-594F-7E1C14A86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12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18</xdr:col>
      <xdr:colOff>12700</xdr:colOff>
      <xdr:row>22</xdr:row>
      <xdr:rowOff>12700</xdr:rowOff>
    </xdr:to>
    <xdr:pic>
      <xdr:nvPicPr>
        <xdr:cNvPr id="59" name="Рисунок 58">
          <a:extLst>
            <a:ext uri="{FF2B5EF4-FFF2-40B4-BE49-F238E27FC236}">
              <a16:creationId xmlns:a16="http://schemas.microsoft.com/office/drawing/2014/main" id="{4B3153E9-ABBE-C3E1-83E3-0CA7E5362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350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18</xdr:col>
      <xdr:colOff>12700</xdr:colOff>
      <xdr:row>23</xdr:row>
      <xdr:rowOff>12700</xdr:rowOff>
    </xdr:to>
    <xdr:pic>
      <xdr:nvPicPr>
        <xdr:cNvPr id="60" name="Рисунок 59">
          <a:extLst>
            <a:ext uri="{FF2B5EF4-FFF2-40B4-BE49-F238E27FC236}">
              <a16:creationId xmlns:a16="http://schemas.microsoft.com/office/drawing/2014/main" id="{C251B96B-990A-EA7D-AD14-A10EBFA544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57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23</xdr:row>
      <xdr:rowOff>0</xdr:rowOff>
    </xdr:from>
    <xdr:to>
      <xdr:col>18</xdr:col>
      <xdr:colOff>12700</xdr:colOff>
      <xdr:row>23</xdr:row>
      <xdr:rowOff>12700</xdr:rowOff>
    </xdr:to>
    <xdr:pic>
      <xdr:nvPicPr>
        <xdr:cNvPr id="61" name="Рисунок 60">
          <a:extLst>
            <a:ext uri="{FF2B5EF4-FFF2-40B4-BE49-F238E27FC236}">
              <a16:creationId xmlns:a16="http://schemas.microsoft.com/office/drawing/2014/main" id="{0AA65CBB-8978-60CC-080B-2FD27730C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6807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18</xdr:col>
      <xdr:colOff>12700</xdr:colOff>
      <xdr:row>25</xdr:row>
      <xdr:rowOff>12700</xdr:rowOff>
    </xdr:to>
    <xdr:pic>
      <xdr:nvPicPr>
        <xdr:cNvPr id="62" name="Рисунок 61">
          <a:extLst>
            <a:ext uri="{FF2B5EF4-FFF2-40B4-BE49-F238E27FC236}">
              <a16:creationId xmlns:a16="http://schemas.microsoft.com/office/drawing/2014/main" id="{5481F764-F815-01D8-37A2-02BC82E59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703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18</xdr:col>
      <xdr:colOff>12700</xdr:colOff>
      <xdr:row>26</xdr:row>
      <xdr:rowOff>12700</xdr:rowOff>
    </xdr:to>
    <xdr:pic>
      <xdr:nvPicPr>
        <xdr:cNvPr id="63" name="Рисунок 62">
          <a:extLst>
            <a:ext uri="{FF2B5EF4-FFF2-40B4-BE49-F238E27FC236}">
              <a16:creationId xmlns:a16="http://schemas.microsoft.com/office/drawing/2014/main" id="{B317A006-9E93-282B-643F-3FA35ABD1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64900" y="7264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9</xdr:row>
      <xdr:rowOff>0</xdr:rowOff>
    </xdr:from>
    <xdr:ext cx="12700" cy="12700"/>
    <xdr:pic>
      <xdr:nvPicPr>
        <xdr:cNvPr id="4096" name="Рисунок 4095">
          <a:extLst>
            <a:ext uri="{FF2B5EF4-FFF2-40B4-BE49-F238E27FC236}">
              <a16:creationId xmlns:a16="http://schemas.microsoft.com/office/drawing/2014/main" id="{30ED08A0-9574-5D43-85CA-CF6C3B7A7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098" name="Рисунок 4097">
          <a:extLst>
            <a:ext uri="{FF2B5EF4-FFF2-40B4-BE49-F238E27FC236}">
              <a16:creationId xmlns:a16="http://schemas.microsoft.com/office/drawing/2014/main" id="{CC71257E-920B-8A4A-A118-BDFC236A9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00" name="Рисунок 4099">
          <a:extLst>
            <a:ext uri="{FF2B5EF4-FFF2-40B4-BE49-F238E27FC236}">
              <a16:creationId xmlns:a16="http://schemas.microsoft.com/office/drawing/2014/main" id="{3B984903-DD7F-7B43-808E-E7D9059D1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01" name="Рисунок 4100">
          <a:extLst>
            <a:ext uri="{FF2B5EF4-FFF2-40B4-BE49-F238E27FC236}">
              <a16:creationId xmlns:a16="http://schemas.microsoft.com/office/drawing/2014/main" id="{BCBFE509-7811-3847-9318-57BDB1CE3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02" name="Рисунок 4101">
          <a:extLst>
            <a:ext uri="{FF2B5EF4-FFF2-40B4-BE49-F238E27FC236}">
              <a16:creationId xmlns:a16="http://schemas.microsoft.com/office/drawing/2014/main" id="{E549B75F-91A7-F04A-89D7-7F5F1F3A6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03" name="Рисунок 4102">
          <a:extLst>
            <a:ext uri="{FF2B5EF4-FFF2-40B4-BE49-F238E27FC236}">
              <a16:creationId xmlns:a16="http://schemas.microsoft.com/office/drawing/2014/main" id="{B950F56D-9472-9A44-A036-3C2DFE417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04" name="Рисунок 4103">
          <a:extLst>
            <a:ext uri="{FF2B5EF4-FFF2-40B4-BE49-F238E27FC236}">
              <a16:creationId xmlns:a16="http://schemas.microsoft.com/office/drawing/2014/main" id="{6FAA0813-E1BA-234B-A4FC-3B0DB6D60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05" name="Рисунок 4104">
          <a:extLst>
            <a:ext uri="{FF2B5EF4-FFF2-40B4-BE49-F238E27FC236}">
              <a16:creationId xmlns:a16="http://schemas.microsoft.com/office/drawing/2014/main" id="{D686F922-9EF8-6945-8B0B-83F7F2000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06" name="Рисунок 4105">
          <a:extLst>
            <a:ext uri="{FF2B5EF4-FFF2-40B4-BE49-F238E27FC236}">
              <a16:creationId xmlns:a16="http://schemas.microsoft.com/office/drawing/2014/main" id="{0134CB48-0267-BF47-80FA-D5FD2EF78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07" name="Рисунок 4106">
          <a:extLst>
            <a:ext uri="{FF2B5EF4-FFF2-40B4-BE49-F238E27FC236}">
              <a16:creationId xmlns:a16="http://schemas.microsoft.com/office/drawing/2014/main" id="{8E9CDF2F-F7C6-0542-B835-6BBAA3A5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08" name="Рисунок 4107">
          <a:extLst>
            <a:ext uri="{FF2B5EF4-FFF2-40B4-BE49-F238E27FC236}">
              <a16:creationId xmlns:a16="http://schemas.microsoft.com/office/drawing/2014/main" id="{AC32E71B-9543-6240-81A1-7D326E856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09" name="Рисунок 4108">
          <a:extLst>
            <a:ext uri="{FF2B5EF4-FFF2-40B4-BE49-F238E27FC236}">
              <a16:creationId xmlns:a16="http://schemas.microsoft.com/office/drawing/2014/main" id="{0D40E0D3-9E39-E24A-87DD-F27713D2D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10" name="Рисунок 4109">
          <a:extLst>
            <a:ext uri="{FF2B5EF4-FFF2-40B4-BE49-F238E27FC236}">
              <a16:creationId xmlns:a16="http://schemas.microsoft.com/office/drawing/2014/main" id="{F91958DD-5F0A-9B4D-B4D2-3756620C8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9322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0</xdr:colOff>
      <xdr:row>9</xdr:row>
      <xdr:rowOff>0</xdr:rowOff>
    </xdr:from>
    <xdr:to>
      <xdr:col>18</xdr:col>
      <xdr:colOff>12700</xdr:colOff>
      <xdr:row>9</xdr:row>
      <xdr:rowOff>12700</xdr:rowOff>
    </xdr:to>
    <xdr:pic>
      <xdr:nvPicPr>
        <xdr:cNvPr id="4111" name="Рисунок 4110">
          <a:extLst>
            <a:ext uri="{FF2B5EF4-FFF2-40B4-BE49-F238E27FC236}">
              <a16:creationId xmlns:a16="http://schemas.microsoft.com/office/drawing/2014/main" id="{DF78B620-E7BF-DD45-E61C-ECB33665E7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73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18</xdr:col>
      <xdr:colOff>12700</xdr:colOff>
      <xdr:row>10</xdr:row>
      <xdr:rowOff>12700</xdr:rowOff>
    </xdr:to>
    <xdr:pic>
      <xdr:nvPicPr>
        <xdr:cNvPr id="4112" name="Рисунок 4111">
          <a:extLst>
            <a:ext uri="{FF2B5EF4-FFF2-40B4-BE49-F238E27FC236}">
              <a16:creationId xmlns:a16="http://schemas.microsoft.com/office/drawing/2014/main" id="{BB6F19A6-06B8-EA0E-0D95-DB5E06232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196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18</xdr:col>
      <xdr:colOff>12700</xdr:colOff>
      <xdr:row>11</xdr:row>
      <xdr:rowOff>12700</xdr:rowOff>
    </xdr:to>
    <xdr:pic>
      <xdr:nvPicPr>
        <xdr:cNvPr id="4113" name="Рисунок 4112">
          <a:extLst>
            <a:ext uri="{FF2B5EF4-FFF2-40B4-BE49-F238E27FC236}">
              <a16:creationId xmlns:a16="http://schemas.microsoft.com/office/drawing/2014/main" id="{CEC388C9-C850-E8A1-DDAB-B7A5B95A9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349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18</xdr:col>
      <xdr:colOff>12700</xdr:colOff>
      <xdr:row>12</xdr:row>
      <xdr:rowOff>12700</xdr:rowOff>
    </xdr:to>
    <xdr:pic>
      <xdr:nvPicPr>
        <xdr:cNvPr id="4114" name="Рисунок 4113">
          <a:extLst>
            <a:ext uri="{FF2B5EF4-FFF2-40B4-BE49-F238E27FC236}">
              <a16:creationId xmlns:a16="http://schemas.microsoft.com/office/drawing/2014/main" id="{154DCAB2-088B-CD54-44CB-013031C31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2578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18</xdr:col>
      <xdr:colOff>12700</xdr:colOff>
      <xdr:row>13</xdr:row>
      <xdr:rowOff>12700</xdr:rowOff>
    </xdr:to>
    <xdr:pic>
      <xdr:nvPicPr>
        <xdr:cNvPr id="4115" name="Рисунок 4114">
          <a:extLst>
            <a:ext uri="{FF2B5EF4-FFF2-40B4-BE49-F238E27FC236}">
              <a16:creationId xmlns:a16="http://schemas.microsoft.com/office/drawing/2014/main" id="{F049AAD6-EE3B-B880-7F52-6B6CEDC1D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00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18</xdr:col>
      <xdr:colOff>12700</xdr:colOff>
      <xdr:row>14</xdr:row>
      <xdr:rowOff>12700</xdr:rowOff>
    </xdr:to>
    <xdr:pic>
      <xdr:nvPicPr>
        <xdr:cNvPr id="4116" name="Рисунок 4115">
          <a:extLst>
            <a:ext uri="{FF2B5EF4-FFF2-40B4-BE49-F238E27FC236}">
              <a16:creationId xmlns:a16="http://schemas.microsoft.com/office/drawing/2014/main" id="{61243307-3FBF-5A52-650A-74A740E0C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44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18</xdr:col>
      <xdr:colOff>12700</xdr:colOff>
      <xdr:row>15</xdr:row>
      <xdr:rowOff>12700</xdr:rowOff>
    </xdr:to>
    <xdr:pic>
      <xdr:nvPicPr>
        <xdr:cNvPr id="4117" name="Рисунок 4116">
          <a:extLst>
            <a:ext uri="{FF2B5EF4-FFF2-40B4-BE49-F238E27FC236}">
              <a16:creationId xmlns:a16="http://schemas.microsoft.com/office/drawing/2014/main" id="{CD4100B5-4198-CA5A-AC2A-C00B1F51E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367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16</xdr:row>
      <xdr:rowOff>0</xdr:rowOff>
    </xdr:from>
    <xdr:to>
      <xdr:col>18</xdr:col>
      <xdr:colOff>12700</xdr:colOff>
      <xdr:row>16</xdr:row>
      <xdr:rowOff>12700</xdr:rowOff>
    </xdr:to>
    <xdr:pic>
      <xdr:nvPicPr>
        <xdr:cNvPr id="4118" name="Рисунок 4117">
          <a:extLst>
            <a:ext uri="{FF2B5EF4-FFF2-40B4-BE49-F238E27FC236}">
              <a16:creationId xmlns:a16="http://schemas.microsoft.com/office/drawing/2014/main" id="{DE4EA7BC-D8E5-3DC6-BDDB-1759E2E2B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10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17</xdr:row>
      <xdr:rowOff>0</xdr:rowOff>
    </xdr:from>
    <xdr:to>
      <xdr:col>18</xdr:col>
      <xdr:colOff>12700</xdr:colOff>
      <xdr:row>17</xdr:row>
      <xdr:rowOff>12700</xdr:rowOff>
    </xdr:to>
    <xdr:pic>
      <xdr:nvPicPr>
        <xdr:cNvPr id="4119" name="Рисунок 4118">
          <a:extLst>
            <a:ext uri="{FF2B5EF4-FFF2-40B4-BE49-F238E27FC236}">
              <a16:creationId xmlns:a16="http://schemas.microsoft.com/office/drawing/2014/main" id="{EA8D15D9-D1A5-424B-8395-A6C37A205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749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18</xdr:col>
      <xdr:colOff>12700</xdr:colOff>
      <xdr:row>18</xdr:row>
      <xdr:rowOff>12700</xdr:rowOff>
    </xdr:to>
    <xdr:pic>
      <xdr:nvPicPr>
        <xdr:cNvPr id="4120" name="Рисунок 4119">
          <a:extLst>
            <a:ext uri="{FF2B5EF4-FFF2-40B4-BE49-F238E27FC236}">
              <a16:creationId xmlns:a16="http://schemas.microsoft.com/office/drawing/2014/main" id="{1C2F356D-DB63-D147-2A32-674620147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4978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18</xdr:col>
      <xdr:colOff>12700</xdr:colOff>
      <xdr:row>19</xdr:row>
      <xdr:rowOff>12700</xdr:rowOff>
    </xdr:to>
    <xdr:pic>
      <xdr:nvPicPr>
        <xdr:cNvPr id="4121" name="Рисунок 4120">
          <a:extLst>
            <a:ext uri="{FF2B5EF4-FFF2-40B4-BE49-F238E27FC236}">
              <a16:creationId xmlns:a16="http://schemas.microsoft.com/office/drawing/2014/main" id="{C0C843CF-DFBE-C65B-CD73-FECB7BF213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520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12700</xdr:colOff>
      <xdr:row>20</xdr:row>
      <xdr:rowOff>12700</xdr:rowOff>
    </xdr:to>
    <xdr:pic>
      <xdr:nvPicPr>
        <xdr:cNvPr id="4122" name="Рисунок 4121">
          <a:extLst>
            <a:ext uri="{FF2B5EF4-FFF2-40B4-BE49-F238E27FC236}">
              <a16:creationId xmlns:a16="http://schemas.microsoft.com/office/drawing/2014/main" id="{B2964A05-2029-938E-F784-68F4517B6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5435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3" name="Рисунок 4122">
          <a:extLst>
            <a:ext uri="{FF2B5EF4-FFF2-40B4-BE49-F238E27FC236}">
              <a16:creationId xmlns:a16="http://schemas.microsoft.com/office/drawing/2014/main" id="{69E533C9-3E87-024E-AA0E-811BB3B06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4" name="Рисунок 4123">
          <a:extLst>
            <a:ext uri="{FF2B5EF4-FFF2-40B4-BE49-F238E27FC236}">
              <a16:creationId xmlns:a16="http://schemas.microsoft.com/office/drawing/2014/main" id="{8340DC06-C150-B243-827B-6842B2149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5" name="Рисунок 4124">
          <a:extLst>
            <a:ext uri="{FF2B5EF4-FFF2-40B4-BE49-F238E27FC236}">
              <a16:creationId xmlns:a16="http://schemas.microsoft.com/office/drawing/2014/main" id="{550FBCE9-4E10-724E-96AF-1BD53860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10</xdr:row>
      <xdr:rowOff>0</xdr:rowOff>
    </xdr:from>
    <xdr:ext cx="12700" cy="12700"/>
    <xdr:pic>
      <xdr:nvPicPr>
        <xdr:cNvPr id="4126" name="Рисунок 4125">
          <a:extLst>
            <a:ext uri="{FF2B5EF4-FFF2-40B4-BE49-F238E27FC236}">
              <a16:creationId xmlns:a16="http://schemas.microsoft.com/office/drawing/2014/main" id="{B48ED3B5-AFE6-F24C-B5FB-4047FD214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7" name="Рисунок 4126">
          <a:extLst>
            <a:ext uri="{FF2B5EF4-FFF2-40B4-BE49-F238E27FC236}">
              <a16:creationId xmlns:a16="http://schemas.microsoft.com/office/drawing/2014/main" id="{5A2D2CFF-10C4-FA42-BE55-B0BDA1DE7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8" name="Рисунок 4127">
          <a:extLst>
            <a:ext uri="{FF2B5EF4-FFF2-40B4-BE49-F238E27FC236}">
              <a16:creationId xmlns:a16="http://schemas.microsoft.com/office/drawing/2014/main" id="{E279C200-F51B-9F48-A880-540FCDDEB1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29" name="Рисунок 4128">
          <a:extLst>
            <a:ext uri="{FF2B5EF4-FFF2-40B4-BE49-F238E27FC236}">
              <a16:creationId xmlns:a16="http://schemas.microsoft.com/office/drawing/2014/main" id="{4FD97DB0-A92A-6340-844E-A72417D0B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11</xdr:row>
      <xdr:rowOff>0</xdr:rowOff>
    </xdr:from>
    <xdr:ext cx="12700" cy="12700"/>
    <xdr:pic>
      <xdr:nvPicPr>
        <xdr:cNvPr id="4130" name="Рисунок 4129">
          <a:extLst>
            <a:ext uri="{FF2B5EF4-FFF2-40B4-BE49-F238E27FC236}">
              <a16:creationId xmlns:a16="http://schemas.microsoft.com/office/drawing/2014/main" id="{B1E13C35-05BC-CB4D-BCD0-C02746FAB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1" name="Рисунок 4130">
          <a:extLst>
            <a:ext uri="{FF2B5EF4-FFF2-40B4-BE49-F238E27FC236}">
              <a16:creationId xmlns:a16="http://schemas.microsoft.com/office/drawing/2014/main" id="{1C7DEBC8-FF80-AB4D-AC38-A5D14071D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2" name="Рисунок 4131">
          <a:extLst>
            <a:ext uri="{FF2B5EF4-FFF2-40B4-BE49-F238E27FC236}">
              <a16:creationId xmlns:a16="http://schemas.microsoft.com/office/drawing/2014/main" id="{116940AC-1028-634A-B47E-82C4ADE25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3" name="Рисунок 4132">
          <a:extLst>
            <a:ext uri="{FF2B5EF4-FFF2-40B4-BE49-F238E27FC236}">
              <a16:creationId xmlns:a16="http://schemas.microsoft.com/office/drawing/2014/main" id="{0C20480E-855F-0E4B-AEF7-09EB76A653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12</xdr:row>
      <xdr:rowOff>0</xdr:rowOff>
    </xdr:from>
    <xdr:ext cx="12700" cy="12700"/>
    <xdr:pic>
      <xdr:nvPicPr>
        <xdr:cNvPr id="4134" name="Рисунок 4133">
          <a:extLst>
            <a:ext uri="{FF2B5EF4-FFF2-40B4-BE49-F238E27FC236}">
              <a16:creationId xmlns:a16="http://schemas.microsoft.com/office/drawing/2014/main" id="{18F93C31-EB2C-464F-B7ED-385C99C88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5" name="Рисунок 4134">
          <a:extLst>
            <a:ext uri="{FF2B5EF4-FFF2-40B4-BE49-F238E27FC236}">
              <a16:creationId xmlns:a16="http://schemas.microsoft.com/office/drawing/2014/main" id="{E0880D20-997F-6245-B533-7905DFABEC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6" name="Рисунок 4135">
          <a:extLst>
            <a:ext uri="{FF2B5EF4-FFF2-40B4-BE49-F238E27FC236}">
              <a16:creationId xmlns:a16="http://schemas.microsoft.com/office/drawing/2014/main" id="{CCA9AA03-FB49-0746-987A-96BB2F8D0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7" name="Рисунок 4136">
          <a:extLst>
            <a:ext uri="{FF2B5EF4-FFF2-40B4-BE49-F238E27FC236}">
              <a16:creationId xmlns:a16="http://schemas.microsoft.com/office/drawing/2014/main" id="{91E35D1E-07D9-C14D-BA23-336C309E9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13</xdr:row>
      <xdr:rowOff>0</xdr:rowOff>
    </xdr:from>
    <xdr:ext cx="12700" cy="12700"/>
    <xdr:pic>
      <xdr:nvPicPr>
        <xdr:cNvPr id="4138" name="Рисунок 4137">
          <a:extLst>
            <a:ext uri="{FF2B5EF4-FFF2-40B4-BE49-F238E27FC236}">
              <a16:creationId xmlns:a16="http://schemas.microsoft.com/office/drawing/2014/main" id="{B6B1E0E5-0BE1-F541-B7D0-32FCCDC4F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39" name="Рисунок 4138">
          <a:extLst>
            <a:ext uri="{FF2B5EF4-FFF2-40B4-BE49-F238E27FC236}">
              <a16:creationId xmlns:a16="http://schemas.microsoft.com/office/drawing/2014/main" id="{C6E91970-B21F-2A4E-B504-6F640C754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0" name="Рисунок 4139">
          <a:extLst>
            <a:ext uri="{FF2B5EF4-FFF2-40B4-BE49-F238E27FC236}">
              <a16:creationId xmlns:a16="http://schemas.microsoft.com/office/drawing/2014/main" id="{9C241C91-91F0-954F-BD58-3D6225889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1" name="Рисунок 4140">
          <a:extLst>
            <a:ext uri="{FF2B5EF4-FFF2-40B4-BE49-F238E27FC236}">
              <a16:creationId xmlns:a16="http://schemas.microsoft.com/office/drawing/2014/main" id="{3D0EE82E-55D9-4341-A7EE-3DD556195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14</xdr:row>
      <xdr:rowOff>0</xdr:rowOff>
    </xdr:from>
    <xdr:ext cx="12700" cy="12700"/>
    <xdr:pic>
      <xdr:nvPicPr>
        <xdr:cNvPr id="4142" name="Рисунок 4141">
          <a:extLst>
            <a:ext uri="{FF2B5EF4-FFF2-40B4-BE49-F238E27FC236}">
              <a16:creationId xmlns:a16="http://schemas.microsoft.com/office/drawing/2014/main" id="{F013E3C5-4543-F545-83A7-5858DE89A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3" name="Рисунок 4142">
          <a:extLst>
            <a:ext uri="{FF2B5EF4-FFF2-40B4-BE49-F238E27FC236}">
              <a16:creationId xmlns:a16="http://schemas.microsoft.com/office/drawing/2014/main" id="{57B83413-5AB3-EF4F-BDA0-87551349C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4" name="Рисунок 4143">
          <a:extLst>
            <a:ext uri="{FF2B5EF4-FFF2-40B4-BE49-F238E27FC236}">
              <a16:creationId xmlns:a16="http://schemas.microsoft.com/office/drawing/2014/main" id="{5D461688-A647-1445-AADC-D977736CC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5" name="Рисунок 4144">
          <a:extLst>
            <a:ext uri="{FF2B5EF4-FFF2-40B4-BE49-F238E27FC236}">
              <a16:creationId xmlns:a16="http://schemas.microsoft.com/office/drawing/2014/main" id="{0F8DA3C8-6DE4-9E4B-93B9-7580C478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15</xdr:row>
      <xdr:rowOff>0</xdr:rowOff>
    </xdr:from>
    <xdr:ext cx="12700" cy="12700"/>
    <xdr:pic>
      <xdr:nvPicPr>
        <xdr:cNvPr id="4146" name="Рисунок 4145">
          <a:extLst>
            <a:ext uri="{FF2B5EF4-FFF2-40B4-BE49-F238E27FC236}">
              <a16:creationId xmlns:a16="http://schemas.microsoft.com/office/drawing/2014/main" id="{EEE5E244-6DDD-E145-8646-C5B64DF11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7" name="Рисунок 4146">
          <a:extLst>
            <a:ext uri="{FF2B5EF4-FFF2-40B4-BE49-F238E27FC236}">
              <a16:creationId xmlns:a16="http://schemas.microsoft.com/office/drawing/2014/main" id="{F323965B-36AC-3641-A6B7-0378F8396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8" name="Рисунок 4147">
          <a:extLst>
            <a:ext uri="{FF2B5EF4-FFF2-40B4-BE49-F238E27FC236}">
              <a16:creationId xmlns:a16="http://schemas.microsoft.com/office/drawing/2014/main" id="{921234A6-C821-5340-B152-C9447CAD8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49" name="Рисунок 4148">
          <a:extLst>
            <a:ext uri="{FF2B5EF4-FFF2-40B4-BE49-F238E27FC236}">
              <a16:creationId xmlns:a16="http://schemas.microsoft.com/office/drawing/2014/main" id="{2E152477-4DF4-4A45-9795-DF6D2F491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16</xdr:row>
      <xdr:rowOff>0</xdr:rowOff>
    </xdr:from>
    <xdr:ext cx="12700" cy="12700"/>
    <xdr:pic>
      <xdr:nvPicPr>
        <xdr:cNvPr id="4150" name="Рисунок 4149">
          <a:extLst>
            <a:ext uri="{FF2B5EF4-FFF2-40B4-BE49-F238E27FC236}">
              <a16:creationId xmlns:a16="http://schemas.microsoft.com/office/drawing/2014/main" id="{61A118E2-CC43-C849-BC3B-435083B4B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1" name="Рисунок 4150">
          <a:extLst>
            <a:ext uri="{FF2B5EF4-FFF2-40B4-BE49-F238E27FC236}">
              <a16:creationId xmlns:a16="http://schemas.microsoft.com/office/drawing/2014/main" id="{17DF46A6-D7B9-7B4D-BB39-882B7C959B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2" name="Рисунок 4151">
          <a:extLst>
            <a:ext uri="{FF2B5EF4-FFF2-40B4-BE49-F238E27FC236}">
              <a16:creationId xmlns:a16="http://schemas.microsoft.com/office/drawing/2014/main" id="{AF29153E-3A70-3B43-892A-7F7B30D010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3" name="Рисунок 4152">
          <a:extLst>
            <a:ext uri="{FF2B5EF4-FFF2-40B4-BE49-F238E27FC236}">
              <a16:creationId xmlns:a16="http://schemas.microsoft.com/office/drawing/2014/main" id="{4578B7F3-6165-064F-A1D8-F8B6F5893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17</xdr:row>
      <xdr:rowOff>0</xdr:rowOff>
    </xdr:from>
    <xdr:ext cx="12700" cy="12700"/>
    <xdr:pic>
      <xdr:nvPicPr>
        <xdr:cNvPr id="4154" name="Рисунок 4153">
          <a:extLst>
            <a:ext uri="{FF2B5EF4-FFF2-40B4-BE49-F238E27FC236}">
              <a16:creationId xmlns:a16="http://schemas.microsoft.com/office/drawing/2014/main" id="{7F121124-F5AE-E84D-8824-74AA85827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5" name="Рисунок 4154">
          <a:extLst>
            <a:ext uri="{FF2B5EF4-FFF2-40B4-BE49-F238E27FC236}">
              <a16:creationId xmlns:a16="http://schemas.microsoft.com/office/drawing/2014/main" id="{302D446F-3005-5B4A-A8FE-607D0BC45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6" name="Рисунок 4155">
          <a:extLst>
            <a:ext uri="{FF2B5EF4-FFF2-40B4-BE49-F238E27FC236}">
              <a16:creationId xmlns:a16="http://schemas.microsoft.com/office/drawing/2014/main" id="{9098273E-1D8F-6A4A-B2CA-15B1169B4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7" name="Рисунок 4156">
          <a:extLst>
            <a:ext uri="{FF2B5EF4-FFF2-40B4-BE49-F238E27FC236}">
              <a16:creationId xmlns:a16="http://schemas.microsoft.com/office/drawing/2014/main" id="{7AB3057B-1FC3-1F42-9502-724A0B840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18</xdr:row>
      <xdr:rowOff>0</xdr:rowOff>
    </xdr:from>
    <xdr:ext cx="12700" cy="12700"/>
    <xdr:pic>
      <xdr:nvPicPr>
        <xdr:cNvPr id="4158" name="Рисунок 4157">
          <a:extLst>
            <a:ext uri="{FF2B5EF4-FFF2-40B4-BE49-F238E27FC236}">
              <a16:creationId xmlns:a16="http://schemas.microsoft.com/office/drawing/2014/main" id="{F206E8C6-A772-9743-8AA5-0F72D4D98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59" name="Рисунок 4158">
          <a:extLst>
            <a:ext uri="{FF2B5EF4-FFF2-40B4-BE49-F238E27FC236}">
              <a16:creationId xmlns:a16="http://schemas.microsoft.com/office/drawing/2014/main" id="{785F2157-F9C7-6045-9E9A-023BEE7CB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0" name="Рисунок 4159">
          <a:extLst>
            <a:ext uri="{FF2B5EF4-FFF2-40B4-BE49-F238E27FC236}">
              <a16:creationId xmlns:a16="http://schemas.microsoft.com/office/drawing/2014/main" id="{03E81981-5064-AB4D-9BEE-A153F1F2F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1" name="Рисунок 4160">
          <a:extLst>
            <a:ext uri="{FF2B5EF4-FFF2-40B4-BE49-F238E27FC236}">
              <a16:creationId xmlns:a16="http://schemas.microsoft.com/office/drawing/2014/main" id="{8345EF0F-BBE4-8847-94F0-EBA4D9830D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19</xdr:row>
      <xdr:rowOff>0</xdr:rowOff>
    </xdr:from>
    <xdr:ext cx="12700" cy="12700"/>
    <xdr:pic>
      <xdr:nvPicPr>
        <xdr:cNvPr id="4162" name="Рисунок 4161">
          <a:extLst>
            <a:ext uri="{FF2B5EF4-FFF2-40B4-BE49-F238E27FC236}">
              <a16:creationId xmlns:a16="http://schemas.microsoft.com/office/drawing/2014/main" id="{C8B10275-9917-1A47-ABCE-B906B02C9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3" name="Рисунок 4162">
          <a:extLst>
            <a:ext uri="{FF2B5EF4-FFF2-40B4-BE49-F238E27FC236}">
              <a16:creationId xmlns:a16="http://schemas.microsoft.com/office/drawing/2014/main" id="{45E099D3-5389-4F47-BA2D-BA53E588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4" name="Рисунок 4163">
          <a:extLst>
            <a:ext uri="{FF2B5EF4-FFF2-40B4-BE49-F238E27FC236}">
              <a16:creationId xmlns:a16="http://schemas.microsoft.com/office/drawing/2014/main" id="{E5DD8A07-681C-A14A-B665-EE2062D26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5" name="Рисунок 4164">
          <a:extLst>
            <a:ext uri="{FF2B5EF4-FFF2-40B4-BE49-F238E27FC236}">
              <a16:creationId xmlns:a16="http://schemas.microsoft.com/office/drawing/2014/main" id="{03E7D410-2B0B-7540-A334-E10D1B828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20</xdr:row>
      <xdr:rowOff>0</xdr:rowOff>
    </xdr:from>
    <xdr:ext cx="12700" cy="12700"/>
    <xdr:pic>
      <xdr:nvPicPr>
        <xdr:cNvPr id="4166" name="Рисунок 4165">
          <a:extLst>
            <a:ext uri="{FF2B5EF4-FFF2-40B4-BE49-F238E27FC236}">
              <a16:creationId xmlns:a16="http://schemas.microsoft.com/office/drawing/2014/main" id="{E5F89146-70E6-3842-A311-C9DD840A0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176508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12</xdr:col>
      <xdr:colOff>0</xdr:colOff>
      <xdr:row>24</xdr:row>
      <xdr:rowOff>0</xdr:rowOff>
    </xdr:from>
    <xdr:to>
      <xdr:col>18</xdr:col>
      <xdr:colOff>12700</xdr:colOff>
      <xdr:row>24</xdr:row>
      <xdr:rowOff>12700</xdr:rowOff>
    </xdr:to>
    <xdr:pic>
      <xdr:nvPicPr>
        <xdr:cNvPr id="4167" name="Рисунок 4166">
          <a:extLst>
            <a:ext uri="{FF2B5EF4-FFF2-40B4-BE49-F238E27FC236}">
              <a16:creationId xmlns:a16="http://schemas.microsoft.com/office/drawing/2014/main" id="{6560942D-2532-2A6D-1245-4EE53375A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337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18</xdr:col>
      <xdr:colOff>12700</xdr:colOff>
      <xdr:row>25</xdr:row>
      <xdr:rowOff>12700</xdr:rowOff>
    </xdr:to>
    <xdr:pic>
      <xdr:nvPicPr>
        <xdr:cNvPr id="4168" name="Рисунок 4167">
          <a:extLst>
            <a:ext uri="{FF2B5EF4-FFF2-40B4-BE49-F238E27FC236}">
              <a16:creationId xmlns:a16="http://schemas.microsoft.com/office/drawing/2014/main" id="{68512355-1397-9D0A-A805-7F10A8264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565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18</xdr:col>
      <xdr:colOff>12700</xdr:colOff>
      <xdr:row>26</xdr:row>
      <xdr:rowOff>12700</xdr:rowOff>
    </xdr:to>
    <xdr:pic>
      <xdr:nvPicPr>
        <xdr:cNvPr id="4169" name="Рисунок 4168">
          <a:extLst>
            <a:ext uri="{FF2B5EF4-FFF2-40B4-BE49-F238E27FC236}">
              <a16:creationId xmlns:a16="http://schemas.microsoft.com/office/drawing/2014/main" id="{C11FE089-E986-9734-EEE7-03B15C5E8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6794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27</xdr:row>
      <xdr:rowOff>0</xdr:rowOff>
    </xdr:from>
    <xdr:to>
      <xdr:col>18</xdr:col>
      <xdr:colOff>12700</xdr:colOff>
      <xdr:row>27</xdr:row>
      <xdr:rowOff>12700</xdr:rowOff>
    </xdr:to>
    <xdr:pic>
      <xdr:nvPicPr>
        <xdr:cNvPr id="4170" name="Рисунок 4169">
          <a:extLst>
            <a:ext uri="{FF2B5EF4-FFF2-40B4-BE49-F238E27FC236}">
              <a16:creationId xmlns:a16="http://schemas.microsoft.com/office/drawing/2014/main" id="{2B16A3FC-D0F2-7DBA-6777-4E6FFA7121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023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18</xdr:col>
      <xdr:colOff>12700</xdr:colOff>
      <xdr:row>28</xdr:row>
      <xdr:rowOff>12700</xdr:rowOff>
    </xdr:to>
    <xdr:pic>
      <xdr:nvPicPr>
        <xdr:cNvPr id="4171" name="Рисунок 4170">
          <a:extLst>
            <a:ext uri="{FF2B5EF4-FFF2-40B4-BE49-F238E27FC236}">
              <a16:creationId xmlns:a16="http://schemas.microsoft.com/office/drawing/2014/main" id="{6E5DD871-8A54-5DF0-B527-81F80DAC8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251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29</xdr:row>
      <xdr:rowOff>0</xdr:rowOff>
    </xdr:from>
    <xdr:to>
      <xdr:col>18</xdr:col>
      <xdr:colOff>12700</xdr:colOff>
      <xdr:row>29</xdr:row>
      <xdr:rowOff>12700</xdr:rowOff>
    </xdr:to>
    <xdr:pic>
      <xdr:nvPicPr>
        <xdr:cNvPr id="4172" name="Рисунок 4171">
          <a:extLst>
            <a:ext uri="{FF2B5EF4-FFF2-40B4-BE49-F238E27FC236}">
              <a16:creationId xmlns:a16="http://schemas.microsoft.com/office/drawing/2014/main" id="{626C9EA4-51C9-9DAA-256F-DE38ED6730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48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18</xdr:col>
      <xdr:colOff>12700</xdr:colOff>
      <xdr:row>30</xdr:row>
      <xdr:rowOff>12700</xdr:rowOff>
    </xdr:to>
    <xdr:pic>
      <xdr:nvPicPr>
        <xdr:cNvPr id="4173" name="Рисунок 4172">
          <a:extLst>
            <a:ext uri="{FF2B5EF4-FFF2-40B4-BE49-F238E27FC236}">
              <a16:creationId xmlns:a16="http://schemas.microsoft.com/office/drawing/2014/main" id="{BCF8898E-CF81-DBE0-21D2-B1A7855FF3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70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18</xdr:col>
      <xdr:colOff>12700</xdr:colOff>
      <xdr:row>31</xdr:row>
      <xdr:rowOff>12700</xdr:rowOff>
    </xdr:to>
    <xdr:pic>
      <xdr:nvPicPr>
        <xdr:cNvPr id="4174" name="Рисунок 4173">
          <a:extLst>
            <a:ext uri="{FF2B5EF4-FFF2-40B4-BE49-F238E27FC236}">
              <a16:creationId xmlns:a16="http://schemas.microsoft.com/office/drawing/2014/main" id="{D1B041C4-377C-5505-6311-52A98B2E9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7937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18</xdr:col>
      <xdr:colOff>12700</xdr:colOff>
      <xdr:row>32</xdr:row>
      <xdr:rowOff>12700</xdr:rowOff>
    </xdr:to>
    <xdr:pic>
      <xdr:nvPicPr>
        <xdr:cNvPr id="4175" name="Рисунок 4174">
          <a:extLst>
            <a:ext uri="{FF2B5EF4-FFF2-40B4-BE49-F238E27FC236}">
              <a16:creationId xmlns:a16="http://schemas.microsoft.com/office/drawing/2014/main" id="{1B7B21ED-CDDA-D6BB-659C-D51790F18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16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18</xdr:col>
      <xdr:colOff>12700</xdr:colOff>
      <xdr:row>33</xdr:row>
      <xdr:rowOff>12700</xdr:rowOff>
    </xdr:to>
    <xdr:pic>
      <xdr:nvPicPr>
        <xdr:cNvPr id="4176" name="Рисунок 4175">
          <a:extLst>
            <a:ext uri="{FF2B5EF4-FFF2-40B4-BE49-F238E27FC236}">
              <a16:creationId xmlns:a16="http://schemas.microsoft.com/office/drawing/2014/main" id="{7E94CD15-7E7F-6CCB-989F-81A24BA24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394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18</xdr:col>
      <xdr:colOff>12700</xdr:colOff>
      <xdr:row>34</xdr:row>
      <xdr:rowOff>12700</xdr:rowOff>
    </xdr:to>
    <xdr:pic>
      <xdr:nvPicPr>
        <xdr:cNvPr id="4177" name="Рисунок 4176">
          <a:extLst>
            <a:ext uri="{FF2B5EF4-FFF2-40B4-BE49-F238E27FC236}">
              <a16:creationId xmlns:a16="http://schemas.microsoft.com/office/drawing/2014/main" id="{2BAD0106-5268-8A60-1809-6F22601562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623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18</xdr:col>
      <xdr:colOff>12700</xdr:colOff>
      <xdr:row>35</xdr:row>
      <xdr:rowOff>12700</xdr:rowOff>
    </xdr:to>
    <xdr:pic>
      <xdr:nvPicPr>
        <xdr:cNvPr id="4178" name="Рисунок 4177">
          <a:extLst>
            <a:ext uri="{FF2B5EF4-FFF2-40B4-BE49-F238E27FC236}">
              <a16:creationId xmlns:a16="http://schemas.microsoft.com/office/drawing/2014/main" id="{3D6715ED-31B7-FC15-0D53-994DE4729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67900" y="8851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12</xdr:col>
      <xdr:colOff>0</xdr:colOff>
      <xdr:row>25</xdr:row>
      <xdr:rowOff>0</xdr:rowOff>
    </xdr:from>
    <xdr:ext cx="12700" cy="12700"/>
    <xdr:pic>
      <xdr:nvPicPr>
        <xdr:cNvPr id="4179" name="Рисунок 4178">
          <a:extLst>
            <a:ext uri="{FF2B5EF4-FFF2-40B4-BE49-F238E27FC236}">
              <a16:creationId xmlns:a16="http://schemas.microsoft.com/office/drawing/2014/main" id="{55581621-253C-444D-826F-E93DB0B80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26</xdr:row>
      <xdr:rowOff>0</xdr:rowOff>
    </xdr:from>
    <xdr:ext cx="12700" cy="12700"/>
    <xdr:pic>
      <xdr:nvPicPr>
        <xdr:cNvPr id="4180" name="Рисунок 4179">
          <a:extLst>
            <a:ext uri="{FF2B5EF4-FFF2-40B4-BE49-F238E27FC236}">
              <a16:creationId xmlns:a16="http://schemas.microsoft.com/office/drawing/2014/main" id="{12927F1B-971C-3A4E-8287-942DCFC7B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27</xdr:row>
      <xdr:rowOff>0</xdr:rowOff>
    </xdr:from>
    <xdr:ext cx="12700" cy="12700"/>
    <xdr:pic>
      <xdr:nvPicPr>
        <xdr:cNvPr id="4181" name="Рисунок 4180">
          <a:extLst>
            <a:ext uri="{FF2B5EF4-FFF2-40B4-BE49-F238E27FC236}">
              <a16:creationId xmlns:a16="http://schemas.microsoft.com/office/drawing/2014/main" id="{22BB7D19-65FA-B244-947E-DC61ECFE69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28</xdr:row>
      <xdr:rowOff>0</xdr:rowOff>
    </xdr:from>
    <xdr:ext cx="12700" cy="12700"/>
    <xdr:pic>
      <xdr:nvPicPr>
        <xdr:cNvPr id="4182" name="Рисунок 4181">
          <a:extLst>
            <a:ext uri="{FF2B5EF4-FFF2-40B4-BE49-F238E27FC236}">
              <a16:creationId xmlns:a16="http://schemas.microsoft.com/office/drawing/2014/main" id="{76F38D30-8DF3-7E42-A065-3671494C3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29</xdr:row>
      <xdr:rowOff>0</xdr:rowOff>
    </xdr:from>
    <xdr:ext cx="12700" cy="12700"/>
    <xdr:pic>
      <xdr:nvPicPr>
        <xdr:cNvPr id="4183" name="Рисунок 4182">
          <a:extLst>
            <a:ext uri="{FF2B5EF4-FFF2-40B4-BE49-F238E27FC236}">
              <a16:creationId xmlns:a16="http://schemas.microsoft.com/office/drawing/2014/main" id="{82878281-A28E-3741-BD4E-8D6449909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30</xdr:row>
      <xdr:rowOff>0</xdr:rowOff>
    </xdr:from>
    <xdr:ext cx="12700" cy="12700"/>
    <xdr:pic>
      <xdr:nvPicPr>
        <xdr:cNvPr id="4184" name="Рисунок 4183">
          <a:extLst>
            <a:ext uri="{FF2B5EF4-FFF2-40B4-BE49-F238E27FC236}">
              <a16:creationId xmlns:a16="http://schemas.microsoft.com/office/drawing/2014/main" id="{E0F23E71-E333-1D49-A722-EF40A3D01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31</xdr:row>
      <xdr:rowOff>0</xdr:rowOff>
    </xdr:from>
    <xdr:ext cx="12700" cy="12700"/>
    <xdr:pic>
      <xdr:nvPicPr>
        <xdr:cNvPr id="4185" name="Рисунок 4184">
          <a:extLst>
            <a:ext uri="{FF2B5EF4-FFF2-40B4-BE49-F238E27FC236}">
              <a16:creationId xmlns:a16="http://schemas.microsoft.com/office/drawing/2014/main" id="{29EC2994-E43F-4440-A3E7-0C492BD73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32</xdr:row>
      <xdr:rowOff>0</xdr:rowOff>
    </xdr:from>
    <xdr:ext cx="12700" cy="12700"/>
    <xdr:pic>
      <xdr:nvPicPr>
        <xdr:cNvPr id="4186" name="Рисунок 4185">
          <a:extLst>
            <a:ext uri="{FF2B5EF4-FFF2-40B4-BE49-F238E27FC236}">
              <a16:creationId xmlns:a16="http://schemas.microsoft.com/office/drawing/2014/main" id="{032E800B-FF23-5149-BD74-EC79790152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33</xdr:row>
      <xdr:rowOff>0</xdr:rowOff>
    </xdr:from>
    <xdr:ext cx="12700" cy="12700"/>
    <xdr:pic>
      <xdr:nvPicPr>
        <xdr:cNvPr id="4187" name="Рисунок 4186">
          <a:extLst>
            <a:ext uri="{FF2B5EF4-FFF2-40B4-BE49-F238E27FC236}">
              <a16:creationId xmlns:a16="http://schemas.microsoft.com/office/drawing/2014/main" id="{4A61818B-E00D-A348-9BAE-295F2CFC6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34</xdr:row>
      <xdr:rowOff>0</xdr:rowOff>
    </xdr:from>
    <xdr:ext cx="12700" cy="12700"/>
    <xdr:pic>
      <xdr:nvPicPr>
        <xdr:cNvPr id="4188" name="Рисунок 4187">
          <a:extLst>
            <a:ext uri="{FF2B5EF4-FFF2-40B4-BE49-F238E27FC236}">
              <a16:creationId xmlns:a16="http://schemas.microsoft.com/office/drawing/2014/main" id="{CB4D050E-ECD2-A640-AC88-119889F22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35</xdr:row>
      <xdr:rowOff>0</xdr:rowOff>
    </xdr:from>
    <xdr:ext cx="12700" cy="12700"/>
    <xdr:pic>
      <xdr:nvPicPr>
        <xdr:cNvPr id="4189" name="Рисунок 4188">
          <a:extLst>
            <a:ext uri="{FF2B5EF4-FFF2-40B4-BE49-F238E27FC236}">
              <a16:creationId xmlns:a16="http://schemas.microsoft.com/office/drawing/2014/main" id="{025F01BA-8798-194A-8ED6-D543FCFB19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80169" y="6328475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st" refreshedDate="44849.473945949074" createdVersion="6" refreshedVersion="6" minRefreshableVersion="3" recordCount="26" xr:uid="{00000000-000A-0000-FFFF-FFFF00000000}">
  <cacheSource type="worksheet">
    <worksheetSource ref="A63:G89" sheet="Автоматизированный расчет"/>
  </cacheSource>
  <cacheFields count="7">
    <cacheField name="Операция/Скрипт" numFmtId="0">
      <sharedItems/>
    </cacheField>
    <cacheField name="Запросы" numFmtId="0">
      <sharedItems count="9">
        <s v="Главная страница"/>
        <s v="Логин"/>
        <s v="Переход на стр. Поиска"/>
        <s v="Заполнение полей и поиск"/>
        <s v="Выбор рейса"/>
        <s v="Покупка"/>
        <s v="Логаут"/>
        <s v="Просмотр путевых листов"/>
        <s v="Удаление"/>
      </sharedItems>
    </cacheField>
    <cacheField name="Vus" numFmtId="1">
      <sharedItems containsSemiMixedTypes="0" containsString="0" containsNumber="1" minValue="0.95833333333333337" maxValue="1.9633333333333336"/>
    </cacheField>
    <cacheField name="Pacing" numFmtId="0">
      <sharedItems containsSemiMixedTypes="0" containsString="0" containsNumber="1" containsInteger="1" minValue="25" maxValue="180"/>
    </cacheField>
    <cacheField name="Кол-во одним Vu" numFmtId="1">
      <sharedItems containsSemiMixedTypes="0" containsString="0" containsNumber="1" minValue="0.33333333333333331" maxValue="2.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6.6666666666666679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5074.088293287037" createdVersion="8" refreshedVersion="8" minRefreshableVersion="3" recordCount="29" xr:uid="{4A935A07-815A-E546-AD59-370724AA4061}">
  <cacheSource type="worksheet">
    <worksheetSource ref="A1:H30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37" maxValue="180"/>
    </cacheField>
    <cacheField name="одним пользователем в минуту" numFmtId="2">
      <sharedItems containsSemiMixedTypes="0" containsString="0" containsNumber="1" minValue="0.33333333333333331" maxValue="1.6216216216216217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12" maxValue="61.538461538461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Покупка билета"/>
    <x v="0"/>
    <n v="1.9633333333333336"/>
    <n v="57"/>
    <n v="1.0526315789473684"/>
    <n v="20"/>
    <n v="41.333333333333336"/>
  </r>
  <r>
    <s v="Покупка билета"/>
    <x v="1"/>
    <n v="1.9633333333333336"/>
    <n v="57"/>
    <n v="1.0526315789473684"/>
    <n v="20"/>
    <n v="41.333333333333336"/>
  </r>
  <r>
    <s v="Покупка билета"/>
    <x v="2"/>
    <n v="1.9633333333333336"/>
    <n v="57"/>
    <n v="1.0526315789473684"/>
    <n v="20"/>
    <n v="41.333333333333336"/>
  </r>
  <r>
    <s v="Покупка билета"/>
    <x v="3"/>
    <n v="1.9633333333333336"/>
    <n v="57"/>
    <n v="1.0526315789473684"/>
    <n v="20"/>
    <n v="41.333333333333336"/>
  </r>
  <r>
    <s v="Покупка билета"/>
    <x v="4"/>
    <n v="1.9633333333333336"/>
    <n v="57"/>
    <n v="1.0526315789473684"/>
    <n v="20"/>
    <n v="41.333333333333336"/>
  </r>
  <r>
    <s v="Покупка билета"/>
    <x v="5"/>
    <n v="1.9633333333333336"/>
    <n v="57"/>
    <n v="1.0526315789473684"/>
    <n v="20"/>
    <n v="41.333333333333336"/>
  </r>
  <r>
    <s v="Покупка билета"/>
    <x v="6"/>
    <n v="1.9633333333333336"/>
    <n v="57"/>
    <n v="1.0526315789473684"/>
    <n v="20"/>
    <n v="41.333333333333336"/>
  </r>
  <r>
    <s v="Логин и логаут"/>
    <x v="0"/>
    <n v="1.0416666666666667"/>
    <n v="25"/>
    <n v="2.4"/>
    <n v="20"/>
    <n v="50"/>
  </r>
  <r>
    <s v="Логин и логаут"/>
    <x v="1"/>
    <n v="1.0416666666666667"/>
    <n v="25"/>
    <n v="2.4"/>
    <n v="20"/>
    <n v="50"/>
  </r>
  <r>
    <s v="Логин и логаут"/>
    <x v="6"/>
    <n v="1.0416666666666667"/>
    <n v="25"/>
    <n v="2.4"/>
    <n v="20"/>
    <n v="50"/>
  </r>
  <r>
    <s v="Удаление брони"/>
    <x v="0"/>
    <n v="0.95833333333333337"/>
    <n v="115"/>
    <n v="0.52173913043478259"/>
    <n v="20"/>
    <n v="10"/>
  </r>
  <r>
    <s v="Удаление брони"/>
    <x v="1"/>
    <n v="0.95833333333333337"/>
    <n v="115"/>
    <n v="0.52173913043478259"/>
    <n v="20"/>
    <n v="10"/>
  </r>
  <r>
    <s v="Удаление брони"/>
    <x v="7"/>
    <n v="0.95833333333333337"/>
    <n v="115"/>
    <n v="0.52173913043478259"/>
    <n v="20"/>
    <n v="10"/>
  </r>
  <r>
    <s v="Удаление брони"/>
    <x v="8"/>
    <n v="0.95833333333333337"/>
    <n v="115"/>
    <n v="0.52173913043478259"/>
    <n v="20"/>
    <n v="10"/>
  </r>
  <r>
    <s v="Удаление брони"/>
    <x v="6"/>
    <n v="0.95833333333333337"/>
    <n v="115"/>
    <n v="0.52173913043478259"/>
    <n v="20"/>
    <n v="10"/>
  </r>
  <r>
    <s v="Поиск билета"/>
    <x v="0"/>
    <n v="1.0000000000000002"/>
    <n v="180"/>
    <n v="0.33333333333333331"/>
    <n v="20"/>
    <n v="6.6666666666666679"/>
  </r>
  <r>
    <s v="Поиск билета"/>
    <x v="0"/>
    <n v="1.0000000000000002"/>
    <n v="180"/>
    <n v="0.33333333333333331"/>
    <n v="20"/>
    <n v="6.6666666666666679"/>
  </r>
  <r>
    <s v="Поиск билета"/>
    <x v="1"/>
    <n v="1.0000000000000002"/>
    <n v="180"/>
    <n v="0.33333333333333331"/>
    <n v="20"/>
    <n v="6.6666666666666679"/>
  </r>
  <r>
    <s v="Поиск билета"/>
    <x v="2"/>
    <n v="1.0000000000000002"/>
    <n v="180"/>
    <n v="0.33333333333333331"/>
    <n v="20"/>
    <n v="6.6666666666666679"/>
  </r>
  <r>
    <s v="Поиск билета"/>
    <x v="3"/>
    <n v="1.0000000000000002"/>
    <n v="180"/>
    <n v="0.33333333333333331"/>
    <n v="20"/>
    <n v="6.6666666666666679"/>
  </r>
  <r>
    <s v="Поиск билета"/>
    <x v="4"/>
    <n v="1.0000000000000002"/>
    <n v="180"/>
    <n v="0.33333333333333331"/>
    <n v="20"/>
    <n v="6.6666666666666679"/>
  </r>
  <r>
    <s v="Поиск билета"/>
    <x v="6"/>
    <n v="1.0000000000000002"/>
    <n v="180"/>
    <n v="0.33333333333333331"/>
    <n v="20"/>
    <n v="6.6666666666666679"/>
  </r>
  <r>
    <s v="Просмотр текущих бронирований"/>
    <x v="0"/>
    <n v="1"/>
    <n v="30"/>
    <n v="2"/>
    <n v="20"/>
    <n v="40"/>
  </r>
  <r>
    <s v="Просмотр текущих бронирований"/>
    <x v="1"/>
    <n v="1"/>
    <n v="30"/>
    <n v="2"/>
    <n v="20"/>
    <n v="40"/>
  </r>
  <r>
    <s v="Просмотр текущих бронирований"/>
    <x v="7"/>
    <n v="1"/>
    <n v="30"/>
    <n v="2"/>
    <n v="20"/>
    <n v="40"/>
  </r>
  <r>
    <s v="Просмотр текущих бронирований"/>
    <x v="6"/>
    <n v="1"/>
    <n v="30"/>
    <n v="2"/>
    <n v="20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s v="Покупка билета"/>
    <x v="0"/>
    <n v="1"/>
    <n v="2"/>
    <n v="39"/>
    <n v="1.5384615384615385"/>
    <n v="20"/>
    <n v="61.53846153846154"/>
  </r>
  <r>
    <s v="Покупка билета"/>
    <x v="1"/>
    <n v="1"/>
    <n v="2"/>
    <n v="39"/>
    <n v="1.5384615384615385"/>
    <n v="20"/>
    <n v="61.53846153846154"/>
  </r>
  <r>
    <s v="Покупка билета"/>
    <x v="2"/>
    <n v="1"/>
    <n v="2"/>
    <n v="39"/>
    <n v="1.5384615384615385"/>
    <n v="20"/>
    <n v="61.53846153846154"/>
  </r>
  <r>
    <s v="Покупка билета"/>
    <x v="3"/>
    <n v="1"/>
    <n v="2"/>
    <n v="39"/>
    <n v="1.5384615384615385"/>
    <n v="20"/>
    <n v="61.53846153846154"/>
  </r>
  <r>
    <s v="Покупка билета"/>
    <x v="4"/>
    <n v="1"/>
    <n v="2"/>
    <n v="39"/>
    <n v="1.5384615384615385"/>
    <n v="20"/>
    <n v="61.53846153846154"/>
  </r>
  <r>
    <s v="Покупка билета"/>
    <x v="5"/>
    <n v="1"/>
    <n v="2"/>
    <n v="39"/>
    <n v="1.5384615384615385"/>
    <n v="20"/>
    <n v="61.53846153846154"/>
  </r>
  <r>
    <s v="Покупка билета"/>
    <x v="6"/>
    <n v="1"/>
    <n v="2"/>
    <n v="39"/>
    <n v="1.5384615384615385"/>
    <n v="20"/>
    <n v="61.53846153846154"/>
  </r>
  <r>
    <s v="Покупка билета"/>
    <x v="7"/>
    <n v="1"/>
    <n v="2"/>
    <n v="39"/>
    <n v="1.5384615384615385"/>
    <n v="20"/>
    <n v="61.53846153846154"/>
  </r>
  <r>
    <s v="Удаление бронирования "/>
    <x v="0"/>
    <n v="1"/>
    <n v="1"/>
    <n v="52"/>
    <n v="1.1538461538461537"/>
    <n v="20"/>
    <n v="23.076923076923073"/>
  </r>
  <r>
    <s v="Удаление бронирования "/>
    <x v="1"/>
    <n v="1"/>
    <n v="1"/>
    <n v="52"/>
    <n v="1.1538461538461537"/>
    <n v="20"/>
    <n v="23.076923076923073"/>
  </r>
  <r>
    <s v="Удаление бронирования "/>
    <x v="6"/>
    <n v="1"/>
    <n v="1"/>
    <n v="52"/>
    <n v="1.1538461538461537"/>
    <n v="20"/>
    <n v="23.076923076923073"/>
  </r>
  <r>
    <s v="Удаление бронирования "/>
    <x v="8"/>
    <n v="1"/>
    <n v="1"/>
    <n v="52"/>
    <n v="1.1538461538461537"/>
    <n v="20"/>
    <n v="23.076923076923073"/>
  </r>
  <r>
    <s v="Удаление бронирования "/>
    <x v="7"/>
    <n v="1"/>
    <n v="1"/>
    <n v="52"/>
    <n v="1.1538461538461537"/>
    <n v="20"/>
    <n v="23.076923076923073"/>
  </r>
  <r>
    <s v="Регистрация новых пользователей"/>
    <x v="0"/>
    <n v="1"/>
    <n v="1"/>
    <n v="37"/>
    <n v="1.6216216216216217"/>
    <n v="20"/>
    <n v="32.432432432432435"/>
  </r>
  <r>
    <s v="Регистрация новых пользователей"/>
    <x v="9"/>
    <n v="1"/>
    <n v="1"/>
    <n v="37"/>
    <n v="1.6216216216216217"/>
    <n v="20"/>
    <n v="32.432432432432435"/>
  </r>
  <r>
    <s v="Регистрация новых пользователей"/>
    <x v="10"/>
    <n v="1"/>
    <n v="1"/>
    <n v="37"/>
    <n v="1.6216216216216217"/>
    <n v="20"/>
    <n v="32.432432432432435"/>
  </r>
  <r>
    <s v="Регистрация новых пользователей"/>
    <x v="11"/>
    <n v="1"/>
    <n v="1"/>
    <n v="37"/>
    <n v="1.6216216216216217"/>
    <n v="20"/>
    <n v="32.432432432432435"/>
  </r>
  <r>
    <s v="Поиск билета без покупки"/>
    <x v="0"/>
    <n v="1"/>
    <n v="3"/>
    <n v="130"/>
    <n v="0.46153846153846156"/>
    <n v="20"/>
    <n v="27.692307692307693"/>
  </r>
  <r>
    <s v="Поиск билета без покупки"/>
    <x v="1"/>
    <n v="1"/>
    <n v="3"/>
    <n v="130"/>
    <n v="0.46153846153846156"/>
    <n v="20"/>
    <n v="27.692307692307693"/>
  </r>
  <r>
    <s v="Поиск билета без покупки"/>
    <x v="2"/>
    <n v="1"/>
    <n v="3"/>
    <n v="130"/>
    <n v="0.46153846153846156"/>
    <n v="20"/>
    <n v="27.692307692307693"/>
  </r>
  <r>
    <s v="Поиск билета без покупки"/>
    <x v="3"/>
    <n v="1"/>
    <n v="3"/>
    <n v="130"/>
    <n v="0.46153846153846156"/>
    <n v="20"/>
    <n v="27.692307692307693"/>
  </r>
  <r>
    <s v="Поиск билета без покупки"/>
    <x v="4"/>
    <n v="1"/>
    <n v="3"/>
    <n v="130"/>
    <n v="0.46153846153846156"/>
    <n v="20"/>
    <n v="27.692307692307693"/>
  </r>
  <r>
    <s v="Поиск билета без покупки"/>
    <x v="7"/>
    <n v="1"/>
    <n v="3"/>
    <n v="130"/>
    <n v="0.46153846153846156"/>
    <n v="20"/>
    <n v="27.692307692307693"/>
  </r>
  <r>
    <s v="логин"/>
    <x v="0"/>
    <n v="1"/>
    <n v="2"/>
    <n v="180"/>
    <n v="0.33333333333333331"/>
    <n v="20"/>
    <n v="13.333333333333332"/>
  </r>
  <r>
    <s v="логин"/>
    <x v="1"/>
    <n v="1"/>
    <n v="2"/>
    <n v="180"/>
    <n v="0.33333333333333331"/>
    <n v="20"/>
    <n v="13.333333333333332"/>
  </r>
  <r>
    <s v="логин"/>
    <x v="6"/>
    <n v="1"/>
    <n v="2"/>
    <n v="180"/>
    <n v="0.33333333333333331"/>
    <n v="20"/>
    <n v="13.333333333333332"/>
  </r>
  <r>
    <s v="логин"/>
    <x v="2"/>
    <n v="1"/>
    <n v="2"/>
    <n v="180"/>
    <n v="0.33333333333333331"/>
    <n v="20"/>
    <n v="13.333333333333332"/>
  </r>
  <r>
    <s v="логин/логаут"/>
    <x v="0"/>
    <n v="1"/>
    <n v="1"/>
    <n v="100"/>
    <n v="0.6"/>
    <n v="20"/>
    <n v="12"/>
  </r>
  <r>
    <s v="логин/логаут"/>
    <x v="1"/>
    <n v="1"/>
    <n v="1"/>
    <n v="100"/>
    <n v="0.6"/>
    <n v="20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580AD7-EE91-DC47-B0F6-5B8F6275F4C1}" name="Сводная таблица2" cacheId="81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7"/>
        <item x="3"/>
        <item x="5"/>
        <item x="8"/>
        <item x="6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0">
      <pivotArea outline="0" collapsedLevelsAreSubtotals="1" fieldPosition="0"/>
    </format>
    <format dxfId="1">
      <pivotArea outline="0" collapsedLevelsAreSubtotals="1" fieldPosition="0"/>
    </format>
    <format dxfId="2">
      <pivotArea outline="0" collapsedLevelsAreSubtotals="1" fieldPosition="0"/>
    </format>
    <format dxfId="3">
      <pivotArea outline="0" collapsedLevelsAreSubtotals="1" fieldPosition="0"/>
    </format>
    <format dxfId="4">
      <pivotArea outline="0" collapsedLevelsAreSubtotals="1" fieldPosition="0"/>
    </format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25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I63:J73" firstHeaderRow="1" firstDataRow="1" firstDataCol="1"/>
  <pivotFields count="7">
    <pivotField showAll="0"/>
    <pivotField axis="axisRow" showAll="0">
      <items count="10">
        <item x="4"/>
        <item x="0"/>
        <item x="3"/>
        <item x="6"/>
        <item x="1"/>
        <item x="2"/>
        <item x="5"/>
        <item x="7"/>
        <item x="8"/>
        <item t="default"/>
      </items>
    </pivotField>
    <pivotField numFmtId="1" showAll="0"/>
    <pivotField showAll="0"/>
    <pivotField numFmtId="1" showAll="0"/>
    <pivotField showAll="0"/>
    <pivotField dataField="1" numFmtId="1"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Сумма по полю Итого" fld="6" baseField="1" baseItem="0"/>
  </dataFields>
  <formats count="6">
    <format dxfId="12">
      <pivotArea collapsedLevelsAreSubtotals="1" fieldPosition="0">
        <references count="1">
          <reference field="1" count="0"/>
        </references>
      </pivotArea>
    </format>
    <format dxfId="11">
      <pivotArea collapsedLevelsAreSubtotals="1" fieldPosition="0">
        <references count="1">
          <reference field="1" count="0"/>
        </references>
      </pivotArea>
    </format>
    <format dxfId="10">
      <pivotArea dataOnly="0" labelOnly="1" fieldPosition="0">
        <references count="1">
          <reference field="1" count="1">
            <x v="4"/>
          </reference>
        </references>
      </pivotArea>
    </format>
    <format dxfId="9">
      <pivotArea dataOnly="0" labelOnly="1" fieldPosition="0">
        <references count="1">
          <reference field="1" count="1">
            <x v="3"/>
          </reference>
        </references>
      </pivotArea>
    </format>
    <format dxfId="8">
      <pivotArea dataOnly="0" labelOnly="1" fieldPosition="0">
        <references count="1">
          <reference field="1" count="1">
            <x v="6"/>
          </reference>
        </references>
      </pivotArea>
    </format>
    <format dxfId="7">
      <pivotArea dataOnly="0" labelOnly="1" fieldPosition="0">
        <references count="1">
          <reference field="1" count="1"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.mail.ru/inbox/0:16850461920374851948:0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.mail.ru/inbox/0:16850640371008579354:0/" TargetMode="External"/><Relationship Id="rId13" Type="http://schemas.openxmlformats.org/officeDocument/2006/relationships/hyperlink" Target="https://e.mail.ru/inbox/0:16850640371008579354:0/" TargetMode="External"/><Relationship Id="rId18" Type="http://schemas.openxmlformats.org/officeDocument/2006/relationships/hyperlink" Target="https://e.mail.ru/inbox/0:16850640371008579354:0/" TargetMode="External"/><Relationship Id="rId3" Type="http://schemas.openxmlformats.org/officeDocument/2006/relationships/hyperlink" Target="https://e.mail.ru/inbox/0:16850640371008579354:0/" TargetMode="External"/><Relationship Id="rId21" Type="http://schemas.openxmlformats.org/officeDocument/2006/relationships/hyperlink" Target="https://e.mail.ru/inbox/0:16850640371008579354:0/" TargetMode="External"/><Relationship Id="rId7" Type="http://schemas.openxmlformats.org/officeDocument/2006/relationships/hyperlink" Target="https://e.mail.ru/inbox/0:16850640371008579354:0/" TargetMode="External"/><Relationship Id="rId12" Type="http://schemas.openxmlformats.org/officeDocument/2006/relationships/hyperlink" Target="https://e.mail.ru/inbox/0:16850640371008579354:0/" TargetMode="External"/><Relationship Id="rId17" Type="http://schemas.openxmlformats.org/officeDocument/2006/relationships/hyperlink" Target="https://e.mail.ru/inbox/0:16850640371008579354:0/" TargetMode="External"/><Relationship Id="rId2" Type="http://schemas.openxmlformats.org/officeDocument/2006/relationships/hyperlink" Target="https://e.mail.ru/inbox/0:16850640371008579354:0/" TargetMode="External"/><Relationship Id="rId16" Type="http://schemas.openxmlformats.org/officeDocument/2006/relationships/hyperlink" Target="https://e.mail.ru/inbox/0:16850640371008579354:0/" TargetMode="External"/><Relationship Id="rId20" Type="http://schemas.openxmlformats.org/officeDocument/2006/relationships/hyperlink" Target="https://e.mail.ru/inbox/0:16850640371008579354:0/" TargetMode="External"/><Relationship Id="rId1" Type="http://schemas.openxmlformats.org/officeDocument/2006/relationships/hyperlink" Target="https://e.mail.ru/inbox/0:16850640371008579354:0/" TargetMode="External"/><Relationship Id="rId6" Type="http://schemas.openxmlformats.org/officeDocument/2006/relationships/hyperlink" Target="https://e.mail.ru/inbox/0:16850640371008579354:0/" TargetMode="External"/><Relationship Id="rId11" Type="http://schemas.openxmlformats.org/officeDocument/2006/relationships/hyperlink" Target="https://e.mail.ru/inbox/0:16850640371008579354:0/" TargetMode="External"/><Relationship Id="rId5" Type="http://schemas.openxmlformats.org/officeDocument/2006/relationships/hyperlink" Target="https://e.mail.ru/inbox/0:16850640371008579354:0/" TargetMode="External"/><Relationship Id="rId15" Type="http://schemas.openxmlformats.org/officeDocument/2006/relationships/hyperlink" Target="https://e.mail.ru/inbox/0:16850640371008579354:0/" TargetMode="External"/><Relationship Id="rId10" Type="http://schemas.openxmlformats.org/officeDocument/2006/relationships/hyperlink" Target="https://e.mail.ru/inbox/0:16850640371008579354:0/" TargetMode="External"/><Relationship Id="rId19" Type="http://schemas.openxmlformats.org/officeDocument/2006/relationships/hyperlink" Target="https://e.mail.ru/inbox/0:16850640371008579354:0/" TargetMode="External"/><Relationship Id="rId4" Type="http://schemas.openxmlformats.org/officeDocument/2006/relationships/hyperlink" Target="https://e.mail.ru/inbox/0:16850640371008579354:0/" TargetMode="External"/><Relationship Id="rId9" Type="http://schemas.openxmlformats.org/officeDocument/2006/relationships/hyperlink" Target="https://e.mail.ru/inbox/0:16850640371008579354:0/" TargetMode="External"/><Relationship Id="rId14" Type="http://schemas.openxmlformats.org/officeDocument/2006/relationships/hyperlink" Target="https://e.mail.ru/inbox/0:16850640371008579354:0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e.mail.ru/inbox/0:16852487820497712840:0/" TargetMode="External"/><Relationship Id="rId13" Type="http://schemas.openxmlformats.org/officeDocument/2006/relationships/hyperlink" Target="https://e.mail.ru/inbox/0:16855619320204754294:0/" TargetMode="External"/><Relationship Id="rId18" Type="http://schemas.openxmlformats.org/officeDocument/2006/relationships/hyperlink" Target="https://e.mail.ru/inbox/0:16855619320204754294:0/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https://e.mail.ru/inbox/0:16852487820497712840:0/" TargetMode="External"/><Relationship Id="rId21" Type="http://schemas.openxmlformats.org/officeDocument/2006/relationships/hyperlink" Target="https://e.mail.ru/inbox/0:16855619320204754294:0/" TargetMode="External"/><Relationship Id="rId7" Type="http://schemas.openxmlformats.org/officeDocument/2006/relationships/hyperlink" Target="https://e.mail.ru/inbox/0:16852487820497712840:0/" TargetMode="External"/><Relationship Id="rId12" Type="http://schemas.openxmlformats.org/officeDocument/2006/relationships/hyperlink" Target="https://e.mail.ru/inbox/0:16852487820497712840:0/" TargetMode="External"/><Relationship Id="rId17" Type="http://schemas.openxmlformats.org/officeDocument/2006/relationships/hyperlink" Target="https://e.mail.ru/inbox/0:16855619320204754294:0/" TargetMode="External"/><Relationship Id="rId25" Type="http://schemas.openxmlformats.org/officeDocument/2006/relationships/printerSettings" Target="../printerSettings/printerSettings2.bin"/><Relationship Id="rId2" Type="http://schemas.openxmlformats.org/officeDocument/2006/relationships/hyperlink" Target="https://e.mail.ru/inbox/0:16852487820497712840:0/" TargetMode="External"/><Relationship Id="rId16" Type="http://schemas.openxmlformats.org/officeDocument/2006/relationships/hyperlink" Target="https://e.mail.ru/inbox/0:16855619320204754294:0/" TargetMode="External"/><Relationship Id="rId20" Type="http://schemas.openxmlformats.org/officeDocument/2006/relationships/hyperlink" Target="https://e.mail.ru/inbox/0:16855619320204754294:0/" TargetMode="External"/><Relationship Id="rId1" Type="http://schemas.openxmlformats.org/officeDocument/2006/relationships/hyperlink" Target="https://e.mail.ru/inbox/0:16852487820497712840:0/" TargetMode="External"/><Relationship Id="rId6" Type="http://schemas.openxmlformats.org/officeDocument/2006/relationships/hyperlink" Target="https://e.mail.ru/inbox/0:16852487820497712840:0/" TargetMode="External"/><Relationship Id="rId11" Type="http://schemas.openxmlformats.org/officeDocument/2006/relationships/hyperlink" Target="https://e.mail.ru/inbox/0:16852487820497712840:0/" TargetMode="External"/><Relationship Id="rId24" Type="http://schemas.openxmlformats.org/officeDocument/2006/relationships/hyperlink" Target="https://e.mail.ru/inbox/0:16855619320204754294:0/" TargetMode="External"/><Relationship Id="rId5" Type="http://schemas.openxmlformats.org/officeDocument/2006/relationships/hyperlink" Target="https://e.mail.ru/inbox/0:16852487820497712840:0/" TargetMode="External"/><Relationship Id="rId15" Type="http://schemas.openxmlformats.org/officeDocument/2006/relationships/hyperlink" Target="https://e.mail.ru/inbox/0:16855619320204754294:0/" TargetMode="External"/><Relationship Id="rId23" Type="http://schemas.openxmlformats.org/officeDocument/2006/relationships/hyperlink" Target="https://e.mail.ru/inbox/0:16855619320204754294:0/" TargetMode="External"/><Relationship Id="rId10" Type="http://schemas.openxmlformats.org/officeDocument/2006/relationships/hyperlink" Target="https://e.mail.ru/inbox/0:16852487820497712840:0/" TargetMode="External"/><Relationship Id="rId19" Type="http://schemas.openxmlformats.org/officeDocument/2006/relationships/hyperlink" Target="https://e.mail.ru/inbox/0:16855619320204754294:0/" TargetMode="External"/><Relationship Id="rId4" Type="http://schemas.openxmlformats.org/officeDocument/2006/relationships/hyperlink" Target="https://e.mail.ru/inbox/0:16852487820497712840:0/" TargetMode="External"/><Relationship Id="rId9" Type="http://schemas.openxmlformats.org/officeDocument/2006/relationships/hyperlink" Target="https://e.mail.ru/inbox/0:16852487820497712840:0/" TargetMode="External"/><Relationship Id="rId14" Type="http://schemas.openxmlformats.org/officeDocument/2006/relationships/hyperlink" Target="https://e.mail.ru/inbox/0:16855619320204754294:0/" TargetMode="External"/><Relationship Id="rId22" Type="http://schemas.openxmlformats.org/officeDocument/2006/relationships/hyperlink" Target="https://e.mail.ru/inbox/0:16855619320204754294: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9"/>
  <sheetViews>
    <sheetView tabSelected="1" topLeftCell="L1" zoomScaleNormal="80" workbookViewId="0">
      <selection activeCell="F45" sqref="F45"/>
    </sheetView>
  </sheetViews>
  <sheetFormatPr baseColWidth="10" defaultColWidth="11.5" defaultRowHeight="15" x14ac:dyDescent="0.2"/>
  <cols>
    <col min="1" max="1" width="31.6640625" customWidth="1"/>
    <col min="2" max="2" width="31.5" bestFit="1" customWidth="1"/>
    <col min="3" max="3" width="18.1640625" customWidth="1"/>
    <col min="4" max="4" width="17.83203125" customWidth="1"/>
    <col min="5" max="5" width="19.1640625" bestFit="1" customWidth="1"/>
    <col min="6" max="6" width="21" customWidth="1"/>
    <col min="7" max="7" width="18.6640625" bestFit="1" customWidth="1"/>
    <col min="8" max="8" width="17" customWidth="1"/>
    <col min="9" max="9" width="40.6640625" bestFit="1" customWidth="1"/>
    <col min="10" max="10" width="18.6640625" bestFit="1" customWidth="1"/>
    <col min="11" max="11" width="18.1640625" customWidth="1"/>
    <col min="12" max="12" width="26.6640625" customWidth="1"/>
    <col min="13" max="13" width="35.1640625" bestFit="1" customWidth="1"/>
    <col min="14" max="14" width="17.83203125" customWidth="1"/>
    <col min="15" max="15" width="23.83203125" customWidth="1"/>
    <col min="16" max="16" width="23.5" bestFit="1" customWidth="1"/>
    <col min="17" max="17" width="26" customWidth="1"/>
    <col min="18" max="18" width="10.5" customWidth="1"/>
    <col min="19" max="19" width="34.1640625" bestFit="1" customWidth="1"/>
    <col min="20" max="20" width="12.33203125" customWidth="1"/>
  </cols>
  <sheetData>
    <row r="1" spans="1:23" ht="16" thickBot="1" x14ac:dyDescent="0.25">
      <c r="A1" t="s">
        <v>14</v>
      </c>
      <c r="B1" t="s">
        <v>15</v>
      </c>
      <c r="C1" t="s">
        <v>16</v>
      </c>
      <c r="D1" t="s">
        <v>20</v>
      </c>
      <c r="E1" t="s">
        <v>30</v>
      </c>
      <c r="F1" t="s">
        <v>31</v>
      </c>
      <c r="G1" t="s">
        <v>32</v>
      </c>
      <c r="H1" t="s">
        <v>4</v>
      </c>
      <c r="I1" s="2" t="s">
        <v>17</v>
      </c>
      <c r="J1" t="s">
        <v>29</v>
      </c>
      <c r="M1" s="37" t="s">
        <v>19</v>
      </c>
      <c r="N1" s="38" t="s">
        <v>21</v>
      </c>
      <c r="O1" s="38" t="s">
        <v>22</v>
      </c>
      <c r="P1" s="38" t="s">
        <v>77</v>
      </c>
      <c r="Q1" s="38" t="s">
        <v>23</v>
      </c>
      <c r="R1" s="38" t="s">
        <v>20</v>
      </c>
      <c r="S1" s="49" t="s">
        <v>27</v>
      </c>
      <c r="T1" s="50" t="s">
        <v>24</v>
      </c>
      <c r="U1" s="50" t="s">
        <v>25</v>
      </c>
      <c r="V1" s="50" t="s">
        <v>26</v>
      </c>
      <c r="W1" s="21" t="s">
        <v>28</v>
      </c>
    </row>
    <row r="2" spans="1:23" x14ac:dyDescent="0.2">
      <c r="A2" s="10" t="s">
        <v>5</v>
      </c>
      <c r="B2" s="10" t="s">
        <v>40</v>
      </c>
      <c r="C2" s="33">
        <v>1</v>
      </c>
      <c r="D2" s="35">
        <f t="shared" ref="D2:D27" si="0">VLOOKUP(A2,$M$1:$X$8,6,FALSE)</f>
        <v>2</v>
      </c>
      <c r="E2">
        <f>VLOOKUP(A2,$M$1:$X$8,5,FALSE)</f>
        <v>39</v>
      </c>
      <c r="F2" s="5">
        <f>60/E2*C2</f>
        <v>1.5384615384615385</v>
      </c>
      <c r="G2">
        <f>VLOOKUP(A2,$M$1:$X$8,9,FALSE)</f>
        <v>20</v>
      </c>
      <c r="H2" s="4">
        <f>D2*F2*G2</f>
        <v>61.53846153846154</v>
      </c>
      <c r="I2" s="3" t="s">
        <v>0</v>
      </c>
      <c r="J2" s="4">
        <v>137.64102564102564</v>
      </c>
      <c r="M2" s="40" t="s">
        <v>5</v>
      </c>
      <c r="N2" s="6">
        <v>10.007999999999999</v>
      </c>
      <c r="O2" s="29">
        <v>20</v>
      </c>
      <c r="P2" s="30">
        <f>N2+O2</f>
        <v>30.007999999999999</v>
      </c>
      <c r="Q2" s="13">
        <v>39</v>
      </c>
      <c r="R2" s="47">
        <v>2</v>
      </c>
      <c r="S2" s="48">
        <f t="shared" ref="S2:S7" si="1">R2/W$2</f>
        <v>0.2</v>
      </c>
      <c r="T2" s="51">
        <f t="shared" ref="T2:T7" si="2">60/(Q2)</f>
        <v>1.5384615384615385</v>
      </c>
      <c r="U2" s="52">
        <v>20</v>
      </c>
      <c r="V2" s="53">
        <f>ROUND(R2*T2*U2,0)</f>
        <v>62</v>
      </c>
      <c r="W2" s="19">
        <f>SUM(R2:R7)</f>
        <v>10</v>
      </c>
    </row>
    <row r="3" spans="1:23" x14ac:dyDescent="0.2">
      <c r="A3" s="10" t="s">
        <v>5</v>
      </c>
      <c r="B3" s="10" t="s">
        <v>0</v>
      </c>
      <c r="C3" s="33">
        <v>1</v>
      </c>
      <c r="D3" s="36">
        <f t="shared" si="0"/>
        <v>2</v>
      </c>
      <c r="E3">
        <f t="shared" ref="E3:E30" si="3">VLOOKUP(A3,$M$1:$X$8,5,FALSE)</f>
        <v>39</v>
      </c>
      <c r="F3" s="5">
        <f t="shared" ref="F3:F30" si="4">60/E3*C3</f>
        <v>1.5384615384615385</v>
      </c>
      <c r="G3">
        <f t="shared" ref="G3:G30" si="5">VLOOKUP(A3,$M$1:$X$8,9,FALSE)</f>
        <v>20</v>
      </c>
      <c r="H3" s="4">
        <f t="shared" ref="H3:H30" si="6">D3*F3*G3</f>
        <v>61.53846153846154</v>
      </c>
      <c r="I3" s="3" t="s">
        <v>8</v>
      </c>
      <c r="J3" s="4">
        <v>89.230769230769226</v>
      </c>
      <c r="M3" s="40" t="s">
        <v>6</v>
      </c>
      <c r="N3" s="6">
        <v>9.2189999999999994</v>
      </c>
      <c r="O3" s="29">
        <v>20.0014</v>
      </c>
      <c r="P3" s="30">
        <f t="shared" ref="P3:P7" si="7">N3+O3</f>
        <v>29.220399999999998</v>
      </c>
      <c r="Q3" s="13">
        <v>52</v>
      </c>
      <c r="R3" s="47">
        <v>1</v>
      </c>
      <c r="S3" s="48">
        <f t="shared" si="1"/>
        <v>0.1</v>
      </c>
      <c r="T3" s="51">
        <f t="shared" si="2"/>
        <v>1.1538461538461537</v>
      </c>
      <c r="U3" s="52">
        <v>20</v>
      </c>
      <c r="V3" s="53">
        <f t="shared" ref="V3:V7" si="8">ROUND(R3*T3*U3,0)</f>
        <v>23</v>
      </c>
      <c r="W3" s="19"/>
    </row>
    <row r="4" spans="1:23" x14ac:dyDescent="0.2">
      <c r="A4" s="10" t="s">
        <v>5</v>
      </c>
      <c r="B4" s="10" t="s">
        <v>54</v>
      </c>
      <c r="C4" s="33">
        <v>1</v>
      </c>
      <c r="D4" s="36">
        <f t="shared" si="0"/>
        <v>2</v>
      </c>
      <c r="E4">
        <f t="shared" si="3"/>
        <v>39</v>
      </c>
      <c r="F4" s="5">
        <f t="shared" si="4"/>
        <v>1.5384615384615385</v>
      </c>
      <c r="G4">
        <f t="shared" si="5"/>
        <v>20</v>
      </c>
      <c r="H4" s="4">
        <f t="shared" si="6"/>
        <v>61.53846153846154</v>
      </c>
      <c r="I4" s="3" t="s">
        <v>3</v>
      </c>
      <c r="J4" s="4">
        <v>112.30769230769231</v>
      </c>
      <c r="M4" s="40" t="s">
        <v>39</v>
      </c>
      <c r="N4" s="6">
        <v>14.712</v>
      </c>
      <c r="O4" s="29">
        <v>15</v>
      </c>
      <c r="P4" s="30">
        <f t="shared" si="7"/>
        <v>29.712</v>
      </c>
      <c r="Q4" s="13">
        <v>37</v>
      </c>
      <c r="R4" s="47">
        <v>1</v>
      </c>
      <c r="S4" s="48">
        <f t="shared" si="1"/>
        <v>0.1</v>
      </c>
      <c r="T4" s="51">
        <f t="shared" si="2"/>
        <v>1.6216216216216217</v>
      </c>
      <c r="U4" s="52">
        <v>20</v>
      </c>
      <c r="V4" s="53">
        <f t="shared" si="8"/>
        <v>32</v>
      </c>
      <c r="W4" s="19"/>
    </row>
    <row r="5" spans="1:23" ht="16" thickBot="1" x14ac:dyDescent="0.25">
      <c r="A5" s="10" t="s">
        <v>5</v>
      </c>
      <c r="B5" s="10" t="s">
        <v>7</v>
      </c>
      <c r="C5" s="33">
        <v>1</v>
      </c>
      <c r="D5" s="36">
        <f t="shared" si="0"/>
        <v>2</v>
      </c>
      <c r="E5">
        <f t="shared" si="3"/>
        <v>39</v>
      </c>
      <c r="F5" s="5">
        <f t="shared" si="4"/>
        <v>1.5384615384615385</v>
      </c>
      <c r="G5">
        <f t="shared" si="5"/>
        <v>20</v>
      </c>
      <c r="H5" s="4">
        <f t="shared" si="6"/>
        <v>61.53846153846154</v>
      </c>
      <c r="I5" s="3" t="s">
        <v>7</v>
      </c>
      <c r="J5" s="4">
        <v>89.230769230769226</v>
      </c>
      <c r="M5" s="40" t="s">
        <v>44</v>
      </c>
      <c r="N5" s="62">
        <v>20.135000000000002</v>
      </c>
      <c r="O5" s="29">
        <v>15</v>
      </c>
      <c r="P5" s="30">
        <f t="shared" si="7"/>
        <v>35.135000000000005</v>
      </c>
      <c r="Q5" s="13">
        <v>130</v>
      </c>
      <c r="R5" s="47">
        <v>3</v>
      </c>
      <c r="S5" s="48">
        <f t="shared" si="1"/>
        <v>0.3</v>
      </c>
      <c r="T5" s="51">
        <f t="shared" si="2"/>
        <v>0.46153846153846156</v>
      </c>
      <c r="U5" s="52">
        <v>20</v>
      </c>
      <c r="V5" s="53">
        <f t="shared" si="8"/>
        <v>28</v>
      </c>
      <c r="W5" s="19"/>
    </row>
    <row r="6" spans="1:23" x14ac:dyDescent="0.2">
      <c r="A6" s="10" t="s">
        <v>5</v>
      </c>
      <c r="B6" s="10" t="s">
        <v>8</v>
      </c>
      <c r="C6" s="33">
        <v>1</v>
      </c>
      <c r="D6" s="36">
        <f t="shared" si="0"/>
        <v>2</v>
      </c>
      <c r="E6">
        <f t="shared" si="3"/>
        <v>39</v>
      </c>
      <c r="F6" s="5">
        <f t="shared" si="4"/>
        <v>1.5384615384615385</v>
      </c>
      <c r="G6">
        <f t="shared" si="5"/>
        <v>20</v>
      </c>
      <c r="H6" s="4">
        <f t="shared" si="6"/>
        <v>61.53846153846154</v>
      </c>
      <c r="I6" s="3" t="s">
        <v>1</v>
      </c>
      <c r="J6" s="4">
        <v>61.53846153846154</v>
      </c>
      <c r="M6" s="40" t="s">
        <v>80</v>
      </c>
      <c r="N6" s="6">
        <v>9.2379999999999995</v>
      </c>
      <c r="O6" s="29">
        <v>4</v>
      </c>
      <c r="P6" s="30">
        <f t="shared" si="7"/>
        <v>13.238</v>
      </c>
      <c r="Q6" s="13">
        <v>180</v>
      </c>
      <c r="R6" s="47">
        <v>2</v>
      </c>
      <c r="S6" s="48">
        <f t="shared" si="1"/>
        <v>0.2</v>
      </c>
      <c r="T6" s="51">
        <f t="shared" si="2"/>
        <v>0.33333333333333331</v>
      </c>
      <c r="U6" s="52">
        <v>20</v>
      </c>
      <c r="V6" s="53">
        <f t="shared" si="8"/>
        <v>13</v>
      </c>
      <c r="W6" s="19"/>
    </row>
    <row r="7" spans="1:23" x14ac:dyDescent="0.2">
      <c r="A7" s="10" t="s">
        <v>5</v>
      </c>
      <c r="B7" s="10" t="s">
        <v>1</v>
      </c>
      <c r="C7" s="33">
        <v>1</v>
      </c>
      <c r="D7" s="36">
        <f t="shared" si="0"/>
        <v>2</v>
      </c>
      <c r="E7">
        <f t="shared" si="3"/>
        <v>39</v>
      </c>
      <c r="F7" s="5">
        <f t="shared" si="4"/>
        <v>1.5384615384615385</v>
      </c>
      <c r="G7">
        <f t="shared" si="5"/>
        <v>20</v>
      </c>
      <c r="H7" s="4">
        <f t="shared" si="6"/>
        <v>61.53846153846154</v>
      </c>
      <c r="I7" s="3" t="s">
        <v>9</v>
      </c>
      <c r="J7" s="4">
        <v>23.076923076923073</v>
      </c>
      <c r="M7" s="63" t="s">
        <v>81</v>
      </c>
      <c r="N7" s="6">
        <v>10</v>
      </c>
      <c r="O7" s="31">
        <v>20</v>
      </c>
      <c r="P7" s="30">
        <f t="shared" si="7"/>
        <v>30</v>
      </c>
      <c r="Q7" s="13">
        <v>100</v>
      </c>
      <c r="R7" s="47">
        <v>1</v>
      </c>
      <c r="S7" s="48">
        <f t="shared" si="1"/>
        <v>0.1</v>
      </c>
      <c r="T7" s="51">
        <f t="shared" si="2"/>
        <v>0.6</v>
      </c>
      <c r="U7" s="52">
        <v>20</v>
      </c>
      <c r="V7" s="53">
        <f t="shared" si="8"/>
        <v>12</v>
      </c>
      <c r="W7" s="19"/>
    </row>
    <row r="8" spans="1:23" ht="16" thickBot="1" x14ac:dyDescent="0.25">
      <c r="A8" s="10" t="s">
        <v>5</v>
      </c>
      <c r="B8" s="10" t="s">
        <v>2</v>
      </c>
      <c r="C8" s="33">
        <v>1</v>
      </c>
      <c r="D8" s="64">
        <f t="shared" si="0"/>
        <v>2</v>
      </c>
      <c r="E8">
        <f t="shared" si="3"/>
        <v>39</v>
      </c>
      <c r="F8" s="5">
        <f t="shared" si="4"/>
        <v>1.5384615384615385</v>
      </c>
      <c r="G8">
        <f t="shared" si="5"/>
        <v>20</v>
      </c>
      <c r="H8" s="4">
        <f t="shared" si="6"/>
        <v>61.53846153846154</v>
      </c>
      <c r="I8" s="3" t="s">
        <v>2</v>
      </c>
      <c r="J8" s="4">
        <v>97.948717948717942</v>
      </c>
      <c r="M8" s="44"/>
      <c r="N8" s="45"/>
      <c r="O8" s="45"/>
      <c r="P8" s="45"/>
      <c r="Q8" s="45"/>
      <c r="R8" s="45">
        <f>SUM(R2:R7)</f>
        <v>10</v>
      </c>
      <c r="S8" s="54">
        <f>SUM(S2:S7)</f>
        <v>0.99999999999999989</v>
      </c>
      <c r="T8" s="45"/>
      <c r="U8" s="45"/>
      <c r="V8" s="45"/>
      <c r="W8" s="20"/>
    </row>
    <row r="9" spans="1:23" ht="16" thickBot="1" x14ac:dyDescent="0.25">
      <c r="A9" s="10" t="s">
        <v>5</v>
      </c>
      <c r="B9" s="10" t="s">
        <v>3</v>
      </c>
      <c r="C9" s="33">
        <v>1</v>
      </c>
      <c r="D9" s="34">
        <f>VLOOKUP(A9,$M$1:$X$8,6,FALSE)</f>
        <v>2</v>
      </c>
      <c r="E9">
        <f t="shared" si="3"/>
        <v>39</v>
      </c>
      <c r="F9" s="5">
        <f t="shared" si="4"/>
        <v>1.5384615384615385</v>
      </c>
      <c r="G9">
        <f t="shared" si="5"/>
        <v>20</v>
      </c>
      <c r="H9" s="4">
        <f t="shared" si="6"/>
        <v>61.53846153846154</v>
      </c>
      <c r="I9" s="3" t="s">
        <v>40</v>
      </c>
      <c r="J9" s="4">
        <v>170.07345807345808</v>
      </c>
    </row>
    <row r="10" spans="1:23" x14ac:dyDescent="0.2">
      <c r="A10" s="10" t="s">
        <v>6</v>
      </c>
      <c r="B10" s="10" t="s">
        <v>40</v>
      </c>
      <c r="C10" s="33">
        <v>1</v>
      </c>
      <c r="D10" s="36">
        <f>VLOOKUP(A10,$M$1:$X$8,6,FALSE)</f>
        <v>1</v>
      </c>
      <c r="E10">
        <f t="shared" si="3"/>
        <v>52</v>
      </c>
      <c r="F10" s="5">
        <f t="shared" si="4"/>
        <v>1.1538461538461537</v>
      </c>
      <c r="G10">
        <f t="shared" si="5"/>
        <v>20</v>
      </c>
      <c r="H10" s="4">
        <f t="shared" si="6"/>
        <v>23.076923076923073</v>
      </c>
      <c r="I10" s="3" t="s">
        <v>42</v>
      </c>
      <c r="J10" s="4">
        <v>32.432432432432435</v>
      </c>
    </row>
    <row r="11" spans="1:23" ht="19" x14ac:dyDescent="0.2">
      <c r="A11" s="10" t="s">
        <v>6</v>
      </c>
      <c r="B11" s="10" t="s">
        <v>0</v>
      </c>
      <c r="C11" s="33">
        <v>1</v>
      </c>
      <c r="D11" s="36">
        <f>VLOOKUP(A11,$M$1:$X$8,6,FALSE)</f>
        <v>1</v>
      </c>
      <c r="E11">
        <f t="shared" si="3"/>
        <v>52</v>
      </c>
      <c r="F11" s="5">
        <f t="shared" si="4"/>
        <v>1.1538461538461537</v>
      </c>
      <c r="G11">
        <f t="shared" si="5"/>
        <v>20</v>
      </c>
      <c r="H11" s="4">
        <f t="shared" si="6"/>
        <v>23.076923076923073</v>
      </c>
      <c r="I11" s="3" t="s">
        <v>41</v>
      </c>
      <c r="J11" s="4">
        <v>32.432432432432435</v>
      </c>
      <c r="L11" s="78"/>
      <c r="M11" s="79"/>
      <c r="N11" s="80"/>
      <c r="O11" s="81"/>
      <c r="P11" s="71"/>
    </row>
    <row r="12" spans="1:23" ht="18" x14ac:dyDescent="0.2">
      <c r="A12" s="10" t="s">
        <v>6</v>
      </c>
      <c r="B12" s="10" t="s">
        <v>2</v>
      </c>
      <c r="C12" s="33">
        <v>1</v>
      </c>
      <c r="D12" s="36">
        <f>VLOOKUP(A12,$M$1:$X$8,6,FALSE)</f>
        <v>1</v>
      </c>
      <c r="E12">
        <f t="shared" si="3"/>
        <v>52</v>
      </c>
      <c r="F12" s="5">
        <f t="shared" si="4"/>
        <v>1.1538461538461537</v>
      </c>
      <c r="G12">
        <f t="shared" si="5"/>
        <v>20</v>
      </c>
      <c r="H12" s="4">
        <f t="shared" si="6"/>
        <v>23.076923076923073</v>
      </c>
      <c r="I12" s="3" t="s">
        <v>43</v>
      </c>
      <c r="J12" s="4">
        <v>32.432432432432435</v>
      </c>
      <c r="L12" s="82"/>
      <c r="M12" s="79"/>
      <c r="N12" s="80"/>
      <c r="O12" s="81"/>
      <c r="P12" s="71"/>
    </row>
    <row r="13" spans="1:23" ht="18" x14ac:dyDescent="0.2">
      <c r="A13" s="10" t="s">
        <v>6</v>
      </c>
      <c r="B13" s="10" t="s">
        <v>9</v>
      </c>
      <c r="C13" s="33">
        <v>1</v>
      </c>
      <c r="D13" s="36">
        <f>VLOOKUP(A13,$M$1:$X$8,6,FALSE)</f>
        <v>1</v>
      </c>
      <c r="E13">
        <f t="shared" si="3"/>
        <v>52</v>
      </c>
      <c r="F13" s="5">
        <f t="shared" si="4"/>
        <v>1.1538461538461537</v>
      </c>
      <c r="G13">
        <f t="shared" si="5"/>
        <v>20</v>
      </c>
      <c r="H13" s="4">
        <f t="shared" si="6"/>
        <v>23.076923076923073</v>
      </c>
      <c r="I13" s="3" t="s">
        <v>54</v>
      </c>
      <c r="J13" s="4">
        <v>102.56410256410255</v>
      </c>
      <c r="L13" s="82"/>
      <c r="M13" s="79"/>
      <c r="N13" s="80"/>
      <c r="O13" s="81"/>
      <c r="P13" s="71"/>
    </row>
    <row r="14" spans="1:23" ht="19" thickBot="1" x14ac:dyDescent="0.25">
      <c r="A14" s="10" t="s">
        <v>6</v>
      </c>
      <c r="B14" s="10" t="s">
        <v>3</v>
      </c>
      <c r="C14" s="33">
        <v>1</v>
      </c>
      <c r="D14" s="34">
        <f>VLOOKUP(A14,$M$1:$X$8,6,FALSE)</f>
        <v>1</v>
      </c>
      <c r="E14">
        <f t="shared" si="3"/>
        <v>52</v>
      </c>
      <c r="F14" s="5">
        <f t="shared" si="4"/>
        <v>1.1538461538461537</v>
      </c>
      <c r="G14">
        <f t="shared" si="5"/>
        <v>20</v>
      </c>
      <c r="H14" s="4">
        <f t="shared" si="6"/>
        <v>23.076923076923073</v>
      </c>
      <c r="I14" s="3" t="s">
        <v>18</v>
      </c>
      <c r="J14" s="4">
        <v>980.90921690921675</v>
      </c>
      <c r="L14" s="82"/>
      <c r="M14" s="79"/>
      <c r="N14" s="80"/>
      <c r="O14" s="81"/>
      <c r="P14" s="71"/>
    </row>
    <row r="15" spans="1:23" ht="18" x14ac:dyDescent="0.2">
      <c r="A15" s="10" t="s">
        <v>39</v>
      </c>
      <c r="B15" s="10" t="s">
        <v>40</v>
      </c>
      <c r="C15" s="33">
        <v>1</v>
      </c>
      <c r="D15" s="36">
        <f>VLOOKUP(A15,$M$1:$X$8,6,FALSE)</f>
        <v>1</v>
      </c>
      <c r="E15">
        <f t="shared" si="3"/>
        <v>37</v>
      </c>
      <c r="F15" s="5">
        <f t="shared" si="4"/>
        <v>1.6216216216216217</v>
      </c>
      <c r="G15">
        <f t="shared" si="5"/>
        <v>20</v>
      </c>
      <c r="H15" s="4">
        <f t="shared" si="6"/>
        <v>32.432432432432435</v>
      </c>
      <c r="L15" s="82"/>
      <c r="M15" s="79"/>
      <c r="N15" s="80"/>
      <c r="O15" s="81"/>
      <c r="P15" s="71"/>
    </row>
    <row r="16" spans="1:23" ht="18" x14ac:dyDescent="0.2">
      <c r="A16" s="10" t="s">
        <v>39</v>
      </c>
      <c r="B16" s="10" t="s">
        <v>42</v>
      </c>
      <c r="C16" s="33">
        <v>1</v>
      </c>
      <c r="D16" s="36">
        <f>VLOOKUP(A16,$M$1:$X$8,6,FALSE)</f>
        <v>1</v>
      </c>
      <c r="E16">
        <f t="shared" si="3"/>
        <v>37</v>
      </c>
      <c r="F16" s="5">
        <f t="shared" si="4"/>
        <v>1.6216216216216217</v>
      </c>
      <c r="G16">
        <f t="shared" si="5"/>
        <v>20</v>
      </c>
      <c r="H16" s="4">
        <f t="shared" si="6"/>
        <v>32.432432432432435</v>
      </c>
      <c r="L16" s="82"/>
      <c r="M16" s="79"/>
      <c r="N16" s="80"/>
      <c r="O16" s="81"/>
      <c r="P16" s="71"/>
    </row>
    <row r="17" spans="1:16" ht="18" x14ac:dyDescent="0.2">
      <c r="A17" s="10" t="s">
        <v>39</v>
      </c>
      <c r="B17" s="10" t="s">
        <v>41</v>
      </c>
      <c r="C17" s="33">
        <v>1</v>
      </c>
      <c r="D17" s="36">
        <f>VLOOKUP(A17,$M$1:$X$8,6,FALSE)</f>
        <v>1</v>
      </c>
      <c r="E17">
        <f t="shared" si="3"/>
        <v>37</v>
      </c>
      <c r="F17" s="5">
        <f t="shared" si="4"/>
        <v>1.6216216216216217</v>
      </c>
      <c r="G17">
        <f t="shared" si="5"/>
        <v>20</v>
      </c>
      <c r="H17" s="4">
        <f t="shared" si="6"/>
        <v>32.432432432432435</v>
      </c>
      <c r="L17" s="82"/>
      <c r="M17" s="79"/>
      <c r="N17" s="80"/>
      <c r="O17" s="81"/>
      <c r="P17" s="71"/>
    </row>
    <row r="18" spans="1:16" ht="19" thickBot="1" x14ac:dyDescent="0.25">
      <c r="A18" s="10" t="s">
        <v>39</v>
      </c>
      <c r="B18" s="10" t="s">
        <v>43</v>
      </c>
      <c r="C18" s="33">
        <v>1</v>
      </c>
      <c r="D18" s="36">
        <f>VLOOKUP(A18,$M$1:$X$8,6,FALSE)</f>
        <v>1</v>
      </c>
      <c r="E18">
        <f t="shared" si="3"/>
        <v>37</v>
      </c>
      <c r="F18" s="5">
        <f t="shared" si="4"/>
        <v>1.6216216216216217</v>
      </c>
      <c r="G18">
        <f t="shared" si="5"/>
        <v>20</v>
      </c>
      <c r="H18" s="4">
        <f t="shared" si="6"/>
        <v>32.432432432432435</v>
      </c>
      <c r="L18" s="82"/>
      <c r="M18" s="79"/>
      <c r="N18" s="80"/>
      <c r="O18" s="81"/>
      <c r="P18" s="71"/>
    </row>
    <row r="19" spans="1:16" ht="18" x14ac:dyDescent="0.2">
      <c r="A19" s="10" t="s">
        <v>44</v>
      </c>
      <c r="B19" s="10" t="s">
        <v>40</v>
      </c>
      <c r="C19" s="33">
        <v>1</v>
      </c>
      <c r="D19" s="35">
        <f>VLOOKUP(A19,$M$1:$X$8,6,FALSE)</f>
        <v>3</v>
      </c>
      <c r="E19">
        <f t="shared" si="3"/>
        <v>130</v>
      </c>
      <c r="F19" s="5">
        <f t="shared" si="4"/>
        <v>0.46153846153846156</v>
      </c>
      <c r="G19">
        <f t="shared" si="5"/>
        <v>20</v>
      </c>
      <c r="H19" s="4">
        <f t="shared" si="6"/>
        <v>27.692307692307693</v>
      </c>
      <c r="L19" s="82"/>
      <c r="M19" s="79"/>
      <c r="N19" s="80"/>
      <c r="O19" s="81"/>
      <c r="P19" s="71"/>
    </row>
    <row r="20" spans="1:16" ht="18" x14ac:dyDescent="0.2">
      <c r="A20" s="10" t="s">
        <v>44</v>
      </c>
      <c r="B20" s="10" t="s">
        <v>0</v>
      </c>
      <c r="C20" s="33">
        <v>1</v>
      </c>
      <c r="D20" s="36">
        <f>VLOOKUP(A20,$M$1:$X$8,6,FALSE)</f>
        <v>3</v>
      </c>
      <c r="E20">
        <f t="shared" si="3"/>
        <v>130</v>
      </c>
      <c r="F20" s="5">
        <f t="shared" si="4"/>
        <v>0.46153846153846156</v>
      </c>
      <c r="G20">
        <f t="shared" si="5"/>
        <v>20</v>
      </c>
      <c r="H20" s="4">
        <f t="shared" si="6"/>
        <v>27.692307692307693</v>
      </c>
      <c r="L20" s="82"/>
      <c r="M20" s="79"/>
      <c r="N20" s="80"/>
      <c r="O20" s="81"/>
      <c r="P20" s="71"/>
    </row>
    <row r="21" spans="1:16" ht="18" x14ac:dyDescent="0.2">
      <c r="A21" s="65" t="s">
        <v>44</v>
      </c>
      <c r="B21" s="65" t="s">
        <v>54</v>
      </c>
      <c r="C21" s="66">
        <v>1</v>
      </c>
      <c r="D21" s="36">
        <f>VLOOKUP(A21,$M$1:$X$8,6,FALSE)</f>
        <v>3</v>
      </c>
      <c r="E21">
        <f t="shared" si="3"/>
        <v>130</v>
      </c>
      <c r="F21" s="5">
        <f t="shared" si="4"/>
        <v>0.46153846153846156</v>
      </c>
      <c r="G21">
        <f t="shared" si="5"/>
        <v>20</v>
      </c>
      <c r="H21" s="4">
        <f t="shared" si="6"/>
        <v>27.692307692307693</v>
      </c>
      <c r="L21" s="82"/>
      <c r="M21" s="79"/>
      <c r="N21" s="80"/>
      <c r="O21" s="81"/>
      <c r="P21" s="71"/>
    </row>
    <row r="22" spans="1:16" ht="18" x14ac:dyDescent="0.2">
      <c r="A22" s="10" t="s">
        <v>44</v>
      </c>
      <c r="B22" s="10" t="s">
        <v>7</v>
      </c>
      <c r="C22" s="33">
        <v>1</v>
      </c>
      <c r="D22" s="36">
        <f>VLOOKUP(A22,$M$1:$X$8,6,FALSE)</f>
        <v>3</v>
      </c>
      <c r="E22">
        <f t="shared" si="3"/>
        <v>130</v>
      </c>
      <c r="F22" s="5">
        <f t="shared" si="4"/>
        <v>0.46153846153846156</v>
      </c>
      <c r="G22">
        <f t="shared" si="5"/>
        <v>20</v>
      </c>
      <c r="H22" s="4">
        <f t="shared" si="6"/>
        <v>27.692307692307693</v>
      </c>
      <c r="L22" s="82"/>
      <c r="M22" s="79"/>
      <c r="N22" s="80"/>
      <c r="O22" s="81"/>
      <c r="P22" s="71"/>
    </row>
    <row r="23" spans="1:16" x14ac:dyDescent="0.2">
      <c r="A23" s="10" t="s">
        <v>44</v>
      </c>
      <c r="B23" s="10" t="s">
        <v>8</v>
      </c>
      <c r="C23" s="33">
        <v>1</v>
      </c>
      <c r="D23" s="36">
        <f>VLOOKUP(A23,$M$1:$X$8,6,FALSE)</f>
        <v>3</v>
      </c>
      <c r="E23">
        <f t="shared" si="3"/>
        <v>130</v>
      </c>
      <c r="F23" s="5">
        <f t="shared" si="4"/>
        <v>0.46153846153846156</v>
      </c>
      <c r="G23">
        <f t="shared" si="5"/>
        <v>20</v>
      </c>
      <c r="H23" s="4">
        <f t="shared" si="6"/>
        <v>27.692307692307693</v>
      </c>
      <c r="L23" s="71"/>
      <c r="M23" s="71"/>
      <c r="N23" s="71"/>
      <c r="O23" s="71"/>
      <c r="P23" s="71"/>
    </row>
    <row r="24" spans="1:16" ht="16" thickBot="1" x14ac:dyDescent="0.25">
      <c r="A24" s="10" t="s">
        <v>44</v>
      </c>
      <c r="B24" s="10" t="s">
        <v>3</v>
      </c>
      <c r="C24" s="33">
        <v>1</v>
      </c>
      <c r="D24" s="36">
        <f>VLOOKUP(A24,$M$1:$X$8,6,FALSE)</f>
        <v>3</v>
      </c>
      <c r="E24">
        <f t="shared" si="3"/>
        <v>130</v>
      </c>
      <c r="F24" s="5">
        <f t="shared" si="4"/>
        <v>0.46153846153846156</v>
      </c>
      <c r="G24">
        <f t="shared" si="5"/>
        <v>20</v>
      </c>
      <c r="H24" s="4">
        <f t="shared" si="6"/>
        <v>27.692307692307693</v>
      </c>
      <c r="L24" s="80"/>
      <c r="M24" s="71"/>
    </row>
    <row r="25" spans="1:16" x14ac:dyDescent="0.2">
      <c r="A25" s="10" t="s">
        <v>80</v>
      </c>
      <c r="B25" s="10" t="s">
        <v>40</v>
      </c>
      <c r="C25" s="33">
        <v>1</v>
      </c>
      <c r="D25" s="35">
        <f>VLOOKUP(A25,$M$1:$X$8,6,FALSE)</f>
        <v>2</v>
      </c>
      <c r="E25">
        <f t="shared" si="3"/>
        <v>180</v>
      </c>
      <c r="F25" s="5">
        <f t="shared" si="4"/>
        <v>0.33333333333333331</v>
      </c>
      <c r="G25">
        <f t="shared" si="5"/>
        <v>20</v>
      </c>
      <c r="H25" s="4">
        <f t="shared" si="6"/>
        <v>13.333333333333332</v>
      </c>
      <c r="L25" s="80"/>
      <c r="M25" s="71"/>
    </row>
    <row r="26" spans="1:16" x14ac:dyDescent="0.2">
      <c r="A26" s="10" t="s">
        <v>80</v>
      </c>
      <c r="B26" s="10" t="s">
        <v>0</v>
      </c>
      <c r="C26" s="33">
        <v>1</v>
      </c>
      <c r="D26" s="36">
        <f>VLOOKUP(A26,$M$1:$X$8,6,FALSE)</f>
        <v>2</v>
      </c>
      <c r="E26">
        <f t="shared" si="3"/>
        <v>180</v>
      </c>
      <c r="F26" s="5">
        <f t="shared" si="4"/>
        <v>0.33333333333333331</v>
      </c>
      <c r="G26">
        <f t="shared" si="5"/>
        <v>20</v>
      </c>
      <c r="H26" s="4">
        <f t="shared" si="6"/>
        <v>13.333333333333332</v>
      </c>
      <c r="L26" s="80"/>
      <c r="M26" s="71"/>
    </row>
    <row r="27" spans="1:16" x14ac:dyDescent="0.2">
      <c r="A27" s="65" t="s">
        <v>80</v>
      </c>
      <c r="B27" s="65" t="s">
        <v>2</v>
      </c>
      <c r="C27" s="66">
        <v>1</v>
      </c>
      <c r="D27" s="36">
        <f>VLOOKUP(A27,$M$1:$X$8,6,FALSE)</f>
        <v>2</v>
      </c>
      <c r="E27">
        <f t="shared" si="3"/>
        <v>180</v>
      </c>
      <c r="F27" s="5">
        <f t="shared" si="4"/>
        <v>0.33333333333333331</v>
      </c>
      <c r="G27">
        <f t="shared" si="5"/>
        <v>20</v>
      </c>
      <c r="H27" s="4">
        <f t="shared" si="6"/>
        <v>13.333333333333332</v>
      </c>
      <c r="L27" s="80"/>
      <c r="M27" s="71"/>
    </row>
    <row r="28" spans="1:16" ht="16" thickBot="1" x14ac:dyDescent="0.25">
      <c r="A28" s="10" t="s">
        <v>80</v>
      </c>
      <c r="B28" s="10" t="s">
        <v>54</v>
      </c>
      <c r="C28" s="33">
        <v>1</v>
      </c>
      <c r="D28" s="36">
        <f>VLOOKUP(A28,$M$1:$X$8,6,FALSE)</f>
        <v>2</v>
      </c>
      <c r="E28">
        <f t="shared" si="3"/>
        <v>180</v>
      </c>
      <c r="F28" s="5">
        <f t="shared" si="4"/>
        <v>0.33333333333333331</v>
      </c>
      <c r="G28">
        <f t="shared" si="5"/>
        <v>20</v>
      </c>
      <c r="H28" s="4">
        <f t="shared" si="6"/>
        <v>13.333333333333332</v>
      </c>
      <c r="L28" s="80"/>
      <c r="M28" s="71"/>
    </row>
    <row r="29" spans="1:16" x14ac:dyDescent="0.2">
      <c r="A29" s="10" t="s">
        <v>81</v>
      </c>
      <c r="B29" s="10" t="s">
        <v>40</v>
      </c>
      <c r="C29" s="33">
        <v>1</v>
      </c>
      <c r="D29" s="35">
        <f>VLOOKUP(A29,$M$1:$X$8,6,FALSE)</f>
        <v>1</v>
      </c>
      <c r="E29">
        <f t="shared" si="3"/>
        <v>100</v>
      </c>
      <c r="F29" s="5">
        <f t="shared" si="4"/>
        <v>0.6</v>
      </c>
      <c r="G29">
        <f t="shared" si="5"/>
        <v>20</v>
      </c>
      <c r="H29" s="4">
        <f t="shared" si="6"/>
        <v>12</v>
      </c>
      <c r="L29" s="80"/>
      <c r="M29" s="71"/>
    </row>
    <row r="30" spans="1:16" ht="16" thickBot="1" x14ac:dyDescent="0.25">
      <c r="A30" s="10" t="s">
        <v>81</v>
      </c>
      <c r="B30" s="10" t="s">
        <v>0</v>
      </c>
      <c r="C30" s="33">
        <v>1</v>
      </c>
      <c r="D30" s="34">
        <f>VLOOKUP(A30,$M$1:$X$8,6,FALSE)</f>
        <v>1</v>
      </c>
      <c r="E30">
        <f t="shared" si="3"/>
        <v>100</v>
      </c>
      <c r="F30" s="5">
        <f t="shared" si="4"/>
        <v>0.6</v>
      </c>
      <c r="G30">
        <f t="shared" si="5"/>
        <v>20</v>
      </c>
      <c r="H30" s="4">
        <f t="shared" si="6"/>
        <v>12</v>
      </c>
      <c r="L30" s="80"/>
      <c r="M30" s="71"/>
    </row>
    <row r="31" spans="1:16" x14ac:dyDescent="0.2">
      <c r="L31" s="80"/>
      <c r="M31" s="71"/>
    </row>
    <row r="32" spans="1:16" x14ac:dyDescent="0.2">
      <c r="A32" s="71"/>
      <c r="B32" s="71"/>
      <c r="C32" s="71"/>
      <c r="D32" s="71"/>
      <c r="L32" s="80"/>
      <c r="M32" s="71"/>
    </row>
    <row r="33" spans="1:13" x14ac:dyDescent="0.2">
      <c r="A33" s="71"/>
      <c r="B33" s="71"/>
      <c r="C33" s="71"/>
      <c r="D33" s="71"/>
      <c r="F33" s="5"/>
      <c r="H33" s="4"/>
      <c r="L33" s="80"/>
      <c r="M33" s="71"/>
    </row>
    <row r="34" spans="1:13" x14ac:dyDescent="0.2">
      <c r="L34" s="80"/>
      <c r="M34" s="71"/>
    </row>
    <row r="35" spans="1:13" x14ac:dyDescent="0.2">
      <c r="L35" s="80"/>
      <c r="M35" s="71"/>
    </row>
    <row r="36" spans="1:13" ht="16" thickBot="1" x14ac:dyDescent="0.25"/>
    <row r="37" spans="1:13" x14ac:dyDescent="0.2">
      <c r="A37" s="67" t="s">
        <v>56</v>
      </c>
      <c r="B37" s="68"/>
      <c r="C37" s="69" t="s">
        <v>79</v>
      </c>
      <c r="D37" s="61"/>
    </row>
    <row r="38" spans="1:13" ht="80" x14ac:dyDescent="0.25">
      <c r="A38" s="14" t="s">
        <v>55</v>
      </c>
      <c r="B38" s="55" t="s">
        <v>36</v>
      </c>
      <c r="C38" s="9" t="s">
        <v>34</v>
      </c>
      <c r="D38" s="9" t="s">
        <v>35</v>
      </c>
      <c r="E38" s="23"/>
      <c r="F38" s="59" t="s">
        <v>60</v>
      </c>
      <c r="G38" s="9" t="s">
        <v>33</v>
      </c>
      <c r="H38" s="9" t="s">
        <v>37</v>
      </c>
      <c r="I38" s="9" t="s">
        <v>38</v>
      </c>
    </row>
    <row r="39" spans="1:13" ht="20" x14ac:dyDescent="0.2">
      <c r="A39" s="14" t="s">
        <v>40</v>
      </c>
      <c r="B39" s="56">
        <v>520</v>
      </c>
      <c r="C39" s="30">
        <f>GETPIVOTDATA("Итого",$I$1,"transaction rq",A39)*3</f>
        <v>510.22037422037425</v>
      </c>
      <c r="D39" s="7">
        <f>1-B39/C39</f>
        <v>-1.9167454444697807E-2</v>
      </c>
      <c r="E39" s="22"/>
      <c r="F39" s="60" t="str">
        <f>VLOOKUP(A39,Соответствие!A:B,2,FALSE)</f>
        <v>loginPage</v>
      </c>
      <c r="G39" s="24">
        <f>C39/3</f>
        <v>170.07345807345808</v>
      </c>
      <c r="H39" s="10">
        <f>VLOOKUP(F39,SummaryReport!A:J,7,FALSE)</f>
        <v>175</v>
      </c>
      <c r="I39" s="8">
        <f t="shared" ref="I39:I50" si="9">1-G39/H39</f>
        <v>2.8151668151668141E-2</v>
      </c>
    </row>
    <row r="40" spans="1:13" ht="19" x14ac:dyDescent="0.2">
      <c r="A40" s="15" t="s">
        <v>0</v>
      </c>
      <c r="B40" s="56">
        <v>422</v>
      </c>
      <c r="C40" s="30">
        <f t="shared" ref="C40:C50" si="10">GETPIVOTDATA("Итого",$I$1,"transaction rq",A40)*3</f>
        <v>412.92307692307691</v>
      </c>
      <c r="D40" s="7">
        <f>1-B40/C40</f>
        <v>-2.1982116244411376E-2</v>
      </c>
      <c r="E40" s="22"/>
      <c r="F40" s="60" t="str">
        <f>VLOOKUP(A40,Соответствие!A:B,2,FALSE)</f>
        <v>login</v>
      </c>
      <c r="G40" s="24">
        <f t="shared" ref="G40:G50" si="11">C40/3</f>
        <v>137.64102564102564</v>
      </c>
      <c r="H40" s="10">
        <f>VLOOKUP(F40,SummaryReport!A:J,7,FALSE)</f>
        <v>142</v>
      </c>
      <c r="I40" s="8">
        <f t="shared" si="9"/>
        <v>3.069700252798846E-2</v>
      </c>
    </row>
    <row r="41" spans="1:13" ht="38" x14ac:dyDescent="0.2">
      <c r="A41" s="70" t="s">
        <v>54</v>
      </c>
      <c r="B41" s="56">
        <v>305</v>
      </c>
      <c r="C41" s="30">
        <f t="shared" si="10"/>
        <v>307.69230769230768</v>
      </c>
      <c r="D41" s="7">
        <f>1-B41/C41</f>
        <v>8.7499999999999245E-3</v>
      </c>
      <c r="E41" s="22"/>
      <c r="F41" s="60" t="str">
        <f>VLOOKUP(A41,Соответствие!A:B,2,FALSE)</f>
        <v>flights</v>
      </c>
      <c r="G41" s="24">
        <f t="shared" si="11"/>
        <v>102.56410256410255</v>
      </c>
      <c r="H41" s="10">
        <f>VLOOKUP(F41,SummaryReport!A:J,7,FALSE)</f>
        <v>106</v>
      </c>
      <c r="I41" s="8">
        <f t="shared" si="9"/>
        <v>3.2414126753749439E-2</v>
      </c>
    </row>
    <row r="42" spans="1:13" ht="38" x14ac:dyDescent="0.2">
      <c r="A42" s="15" t="s">
        <v>7</v>
      </c>
      <c r="B42" s="56">
        <v>282</v>
      </c>
      <c r="C42" s="30">
        <f t="shared" si="10"/>
        <v>267.69230769230768</v>
      </c>
      <c r="D42" s="7">
        <f t="shared" ref="D42:D51" si="12">1-B42/C42</f>
        <v>-5.3448275862069128E-2</v>
      </c>
      <c r="E42" s="22"/>
      <c r="F42" s="60" t="str">
        <f>VLOOKUP(A42,Соответствие!A:B,2,FALSE)</f>
        <v>typeData</v>
      </c>
      <c r="G42" s="24">
        <f t="shared" si="11"/>
        <v>89.230769230769226</v>
      </c>
      <c r="H42" s="10">
        <f>VLOOKUP(F42,SummaryReport!A:J,7,FALSE)</f>
        <v>92</v>
      </c>
      <c r="I42" s="8">
        <f t="shared" si="9"/>
        <v>3.0100334448160626E-2</v>
      </c>
    </row>
    <row r="43" spans="1:13" ht="19" x14ac:dyDescent="0.2">
      <c r="A43" s="15" t="s">
        <v>8</v>
      </c>
      <c r="B43" s="56">
        <v>270</v>
      </c>
      <c r="C43" s="30">
        <f t="shared" si="10"/>
        <v>267.69230769230768</v>
      </c>
      <c r="D43" s="7">
        <f t="shared" si="12"/>
        <v>-8.6206896551723755E-3</v>
      </c>
      <c r="E43" s="22"/>
      <c r="F43" s="60" t="str">
        <f>VLOOKUP(A43,Соответствие!A:B,2,FALSE)</f>
        <v>chooseFlight</v>
      </c>
      <c r="G43" s="24">
        <f t="shared" si="11"/>
        <v>89.230769230769226</v>
      </c>
      <c r="H43" s="10">
        <f>VLOOKUP(F43,SummaryReport!A:J,7,FALSE)</f>
        <v>92</v>
      </c>
      <c r="I43" s="8">
        <f t="shared" si="9"/>
        <v>3.0100334448160626E-2</v>
      </c>
    </row>
    <row r="44" spans="1:13" ht="19" x14ac:dyDescent="0.2">
      <c r="A44" s="15" t="s">
        <v>1</v>
      </c>
      <c r="B44" s="56">
        <v>175</v>
      </c>
      <c r="C44" s="30">
        <f t="shared" si="10"/>
        <v>184.61538461538461</v>
      </c>
      <c r="D44" s="7">
        <f t="shared" si="12"/>
        <v>5.208333333333337E-2</v>
      </c>
      <c r="E44" s="22"/>
      <c r="F44" s="60" t="str">
        <f>VLOOKUP(A44,Соответствие!A:B,2,FALSE)</f>
        <v>personalData</v>
      </c>
      <c r="G44" s="24">
        <f t="shared" si="11"/>
        <v>61.53846153846154</v>
      </c>
      <c r="H44" s="10">
        <f>VLOOKUP(F44,SummaryReport!A:J,7,FALSE)</f>
        <v>62</v>
      </c>
      <c r="I44" s="8">
        <f t="shared" si="9"/>
        <v>7.4441687344912744E-3</v>
      </c>
    </row>
    <row r="45" spans="1:13" ht="19" x14ac:dyDescent="0.2">
      <c r="A45" s="15" t="s">
        <v>2</v>
      </c>
      <c r="B45" s="56">
        <v>280</v>
      </c>
      <c r="C45" s="30">
        <f t="shared" si="10"/>
        <v>293.84615384615381</v>
      </c>
      <c r="D45" s="7">
        <f t="shared" si="12"/>
        <v>4.7120418848167422E-2</v>
      </c>
      <c r="E45" s="32"/>
      <c r="F45" s="60" t="str">
        <f>VLOOKUP(A45,Соответствие!A:B,2,FALSE)</f>
        <v>checkItinerary</v>
      </c>
      <c r="G45" s="24">
        <f t="shared" si="11"/>
        <v>97.948717948717942</v>
      </c>
      <c r="H45" s="10">
        <f>VLOOKUP(F45,SummaryReport!A:J,7,FALSE)</f>
        <v>100</v>
      </c>
      <c r="I45" s="8">
        <f t="shared" si="9"/>
        <v>2.0512820512820551E-2</v>
      </c>
    </row>
    <row r="46" spans="1:13" ht="19" x14ac:dyDescent="0.2">
      <c r="A46" s="15" t="s">
        <v>9</v>
      </c>
      <c r="B46" s="56">
        <v>73</v>
      </c>
      <c r="C46" s="30">
        <f t="shared" si="10"/>
        <v>69.230769230769226</v>
      </c>
      <c r="D46" s="7">
        <f t="shared" si="12"/>
        <v>-5.4444444444444517E-2</v>
      </c>
      <c r="E46" s="22"/>
      <c r="F46" s="60" t="str">
        <f>VLOOKUP(A46,Соответствие!A:B,2,FALSE)</f>
        <v>deleteTicket</v>
      </c>
      <c r="G46" s="24">
        <f t="shared" si="11"/>
        <v>23.076923076923077</v>
      </c>
      <c r="H46" s="10">
        <f>VLOOKUP(F46,SummaryReport!A:J,7,FALSE)</f>
        <v>24</v>
      </c>
      <c r="I46" s="8">
        <f t="shared" si="9"/>
        <v>3.8461538461538436E-2</v>
      </c>
    </row>
    <row r="47" spans="1:13" ht="19" x14ac:dyDescent="0.2">
      <c r="A47" s="15" t="s">
        <v>3</v>
      </c>
      <c r="B47" s="56">
        <v>326</v>
      </c>
      <c r="C47" s="30">
        <f t="shared" si="10"/>
        <v>336.92307692307691</v>
      </c>
      <c r="D47" s="7">
        <f t="shared" si="12"/>
        <v>3.2420091324200873E-2</v>
      </c>
      <c r="E47" s="22"/>
      <c r="F47" s="60" t="str">
        <f>VLOOKUP(A47,Соответствие!A:B,2,FALSE)</f>
        <v>signOut</v>
      </c>
      <c r="G47" s="24">
        <f t="shared" si="11"/>
        <v>112.30769230769231</v>
      </c>
      <c r="H47" s="10">
        <f>VLOOKUP(F47,SummaryReport!A:J,7,FALSE)</f>
        <v>116</v>
      </c>
      <c r="I47" s="8">
        <f t="shared" si="9"/>
        <v>3.1830238726790472E-2</v>
      </c>
    </row>
    <row r="48" spans="1:13" ht="38" x14ac:dyDescent="0.2">
      <c r="A48" s="15" t="s">
        <v>42</v>
      </c>
      <c r="B48" s="56">
        <v>97</v>
      </c>
      <c r="C48" s="30">
        <f t="shared" si="10"/>
        <v>97.297297297297305</v>
      </c>
      <c r="D48" s="7">
        <f t="shared" si="12"/>
        <v>3.0555555555555891E-3</v>
      </c>
      <c r="E48" s="22"/>
      <c r="F48" s="60" t="str">
        <f>VLOOKUP(A48,Соответствие!A:B,2,FALSE)</f>
        <v>signUpPage</v>
      </c>
      <c r="G48" s="24">
        <f t="shared" si="11"/>
        <v>32.432432432432435</v>
      </c>
      <c r="H48" s="10">
        <f>VLOOKUP(F48,SummaryReport!A:J,7,FALSE)</f>
        <v>33</v>
      </c>
      <c r="I48" s="8">
        <f t="shared" si="9"/>
        <v>1.7199017199017064E-2</v>
      </c>
    </row>
    <row r="49" spans="1:10" ht="38" x14ac:dyDescent="0.2">
      <c r="A49" s="15" t="s">
        <v>41</v>
      </c>
      <c r="B49" s="56">
        <v>97</v>
      </c>
      <c r="C49" s="30">
        <f t="shared" si="10"/>
        <v>97.297297297297305</v>
      </c>
      <c r="D49" s="7">
        <f t="shared" si="12"/>
        <v>3.0555555555555891E-3</v>
      </c>
      <c r="E49" s="22"/>
      <c r="F49" s="60" t="str">
        <f>VLOOKUP(A49,Соответствие!A:B,2,FALSE)</f>
        <v>registrationData</v>
      </c>
      <c r="G49" s="24">
        <f t="shared" si="11"/>
        <v>32.432432432432435</v>
      </c>
      <c r="H49" s="10">
        <f>VLOOKUP(F49,SummaryReport!A:J,7,FALSE)</f>
        <v>33</v>
      </c>
      <c r="I49" s="8">
        <f t="shared" si="9"/>
        <v>1.7199017199017064E-2</v>
      </c>
    </row>
    <row r="50" spans="1:10" ht="38" x14ac:dyDescent="0.2">
      <c r="A50" s="15" t="s">
        <v>43</v>
      </c>
      <c r="B50" s="56">
        <v>97</v>
      </c>
      <c r="C50" s="30">
        <f t="shared" si="10"/>
        <v>97.297297297297305</v>
      </c>
      <c r="D50" s="7">
        <f t="shared" si="12"/>
        <v>3.0555555555555891E-3</v>
      </c>
      <c r="E50" s="22"/>
      <c r="F50" s="60" t="str">
        <f>VLOOKUP(A50,Соответствие!A:B,2,FALSE)</f>
        <v>pageAfterRegistaration</v>
      </c>
      <c r="G50" s="24">
        <f t="shared" si="11"/>
        <v>32.432432432432435</v>
      </c>
      <c r="H50" s="10">
        <f>VLOOKUP(F50,SummaryReport!A:J,7,FALSE)</f>
        <v>33</v>
      </c>
      <c r="I50" s="8">
        <f t="shared" si="9"/>
        <v>1.7199017199017064E-2</v>
      </c>
    </row>
    <row r="51" spans="1:10" ht="20" thickBot="1" x14ac:dyDescent="0.25">
      <c r="A51" s="16" t="s">
        <v>4</v>
      </c>
      <c r="B51" s="57">
        <f>SUM(B39:B50)</f>
        <v>2944</v>
      </c>
      <c r="C51" s="58">
        <f>SUM(C39:C50)</f>
        <v>2942.7276507276511</v>
      </c>
      <c r="D51" s="7">
        <f t="shared" si="12"/>
        <v>-4.3237071974178143E-4</v>
      </c>
      <c r="G51" s="75">
        <f>SUM(G39:G50)</f>
        <v>980.90921690921664</v>
      </c>
      <c r="H51">
        <f>SUM(H39:H50)</f>
        <v>1008</v>
      </c>
    </row>
    <row r="52" spans="1:10" ht="16" thickBot="1" x14ac:dyDescent="0.25">
      <c r="I52" s="11"/>
    </row>
    <row r="53" spans="1:10" x14ac:dyDescent="0.2">
      <c r="A53" s="37"/>
      <c r="B53" s="38"/>
      <c r="C53" s="39" t="s">
        <v>53</v>
      </c>
      <c r="D53" s="39"/>
      <c r="E53" s="39"/>
      <c r="F53" s="39"/>
      <c r="G53" s="39"/>
      <c r="H53" s="39"/>
      <c r="I53" s="21"/>
    </row>
    <row r="54" spans="1:10" x14ac:dyDescent="0.2">
      <c r="A54" s="40"/>
      <c r="B54" t="s">
        <v>62</v>
      </c>
      <c r="C54" t="s">
        <v>52</v>
      </c>
      <c r="D54" t="s">
        <v>48</v>
      </c>
      <c r="E54" t="s">
        <v>50</v>
      </c>
      <c r="F54" t="s">
        <v>49</v>
      </c>
      <c r="G54" t="s">
        <v>51</v>
      </c>
      <c r="H54" t="s">
        <v>61</v>
      </c>
      <c r="I54" s="19"/>
    </row>
    <row r="55" spans="1:10" x14ac:dyDescent="0.2">
      <c r="A55" s="41" t="s">
        <v>5</v>
      </c>
      <c r="B55" s="26">
        <f>510/3</f>
        <v>170</v>
      </c>
      <c r="C55" s="13">
        <v>57</v>
      </c>
      <c r="D55" s="12">
        <f>60/C55</f>
        <v>1.0526315789473684</v>
      </c>
      <c r="E55" s="18">
        <v>20</v>
      </c>
      <c r="F55" s="42">
        <f>B55/(D55*E55)</f>
        <v>8.0750000000000011</v>
      </c>
      <c r="G55" s="4">
        <f>ROUND(F55,0)</f>
        <v>8</v>
      </c>
      <c r="H55" s="4">
        <f>G55*D55*E55</f>
        <v>168.42105263157893</v>
      </c>
      <c r="I55" s="43">
        <f>1-B55/H55</f>
        <v>-9.3750000000001332E-3</v>
      </c>
    </row>
    <row r="56" spans="1:10" x14ac:dyDescent="0.2">
      <c r="A56" s="41" t="s">
        <v>70</v>
      </c>
      <c r="B56" s="26">
        <f>150/3</f>
        <v>50</v>
      </c>
      <c r="C56" s="13">
        <v>25</v>
      </c>
      <c r="D56" s="12">
        <f>60/C56</f>
        <v>2.4</v>
      </c>
      <c r="E56" s="18">
        <v>20</v>
      </c>
      <c r="F56" s="42">
        <f>B56/(D56*E56)</f>
        <v>1.0416666666666667</v>
      </c>
      <c r="G56" s="4">
        <f>ROUND(F56,0)</f>
        <v>1</v>
      </c>
      <c r="H56" s="4">
        <f>G56*D56*E56</f>
        <v>48</v>
      </c>
      <c r="I56" s="43">
        <f>1-B56/H56</f>
        <v>-4.1666666666666741E-2</v>
      </c>
    </row>
    <row r="57" spans="1:10" x14ac:dyDescent="0.2">
      <c r="A57" s="41" t="s">
        <v>63</v>
      </c>
      <c r="B57" s="27">
        <f>30/3</f>
        <v>10</v>
      </c>
      <c r="C57" s="17">
        <v>115</v>
      </c>
      <c r="D57" s="12">
        <f>60/C57</f>
        <v>0.52173913043478259</v>
      </c>
      <c r="E57" s="18">
        <v>20</v>
      </c>
      <c r="F57" s="42">
        <f>B57/(D57*E57)</f>
        <v>0.95833333333333337</v>
      </c>
      <c r="G57" s="4">
        <v>1</v>
      </c>
      <c r="H57" s="4">
        <f>G57*D57*E57</f>
        <v>10.434782608695652</v>
      </c>
      <c r="I57" s="43">
        <f>1-B57/H57</f>
        <v>4.166666666666663E-2</v>
      </c>
    </row>
    <row r="58" spans="1:10" x14ac:dyDescent="0.2">
      <c r="A58" s="41" t="s">
        <v>46</v>
      </c>
      <c r="B58" s="26">
        <f>20/3</f>
        <v>6.666666666666667</v>
      </c>
      <c r="C58" s="13">
        <v>180</v>
      </c>
      <c r="D58" s="12">
        <f>60/C58</f>
        <v>0.33333333333333331</v>
      </c>
      <c r="E58" s="18">
        <v>20</v>
      </c>
      <c r="F58" s="42">
        <f>B58/(D58*E58)</f>
        <v>1.0000000000000002</v>
      </c>
      <c r="G58" s="4">
        <v>1</v>
      </c>
      <c r="H58" s="4">
        <f>G58*D58*E58</f>
        <v>6.6666666666666661</v>
      </c>
      <c r="I58" s="43">
        <f>1-B58/H58</f>
        <v>0</v>
      </c>
    </row>
    <row r="59" spans="1:10" x14ac:dyDescent="0.2">
      <c r="A59" s="41" t="s">
        <v>47</v>
      </c>
      <c r="B59" s="26">
        <f>120/3</f>
        <v>40</v>
      </c>
      <c r="C59" s="13">
        <v>30</v>
      </c>
      <c r="D59" s="12">
        <f>60/C59</f>
        <v>2</v>
      </c>
      <c r="E59" s="18">
        <v>20</v>
      </c>
      <c r="F59" s="42">
        <f>B59/(D59*E59)</f>
        <v>1</v>
      </c>
      <c r="G59" s="4">
        <f>ROUND(F59,0)</f>
        <v>1</v>
      </c>
      <c r="H59" s="4">
        <f>G59*D59*E59</f>
        <v>40</v>
      </c>
      <c r="I59" s="43">
        <f>1-B59/H59</f>
        <v>0</v>
      </c>
    </row>
    <row r="60" spans="1:10" ht="16" thickBot="1" x14ac:dyDescent="0.25">
      <c r="A60" s="44"/>
      <c r="B60" s="45"/>
      <c r="C60" s="45"/>
      <c r="D60" s="45"/>
      <c r="E60" s="45"/>
      <c r="F60" s="45"/>
      <c r="G60" s="46">
        <f>SUM(G55:G59)</f>
        <v>12</v>
      </c>
      <c r="H60" s="45"/>
      <c r="I60" s="20"/>
    </row>
    <row r="62" spans="1:10" ht="16" thickBot="1" x14ac:dyDescent="0.25"/>
    <row r="63" spans="1:10" x14ac:dyDescent="0.2">
      <c r="A63" s="37" t="s">
        <v>73</v>
      </c>
      <c r="B63" s="38" t="s">
        <v>74</v>
      </c>
      <c r="C63" s="38" t="s">
        <v>75</v>
      </c>
      <c r="D63" s="38" t="s">
        <v>23</v>
      </c>
      <c r="E63" s="38" t="s">
        <v>76</v>
      </c>
      <c r="F63" s="38" t="s">
        <v>32</v>
      </c>
      <c r="G63" s="38" t="s">
        <v>4</v>
      </c>
      <c r="H63" s="21"/>
      <c r="I63" s="2" t="s">
        <v>17</v>
      </c>
      <c r="J63" t="s">
        <v>29</v>
      </c>
    </row>
    <row r="64" spans="1:10" x14ac:dyDescent="0.2">
      <c r="A64" s="40" t="s">
        <v>5</v>
      </c>
      <c r="B64" t="s">
        <v>64</v>
      </c>
      <c r="C64" s="4">
        <f>VLOOKUP(A64,$A$55:$H$59,6,FALSE)</f>
        <v>8.0750000000000011</v>
      </c>
      <c r="D64">
        <f>VLOOKUP(A64,$A$55:$H$59,3,FALSE)</f>
        <v>57</v>
      </c>
      <c r="E64" s="4">
        <f>60/D64</f>
        <v>1.0526315789473684</v>
      </c>
      <c r="F64">
        <v>20</v>
      </c>
      <c r="G64" s="4">
        <f>C64*E64*F64</f>
        <v>170</v>
      </c>
      <c r="H64" s="19"/>
      <c r="I64" s="3" t="s">
        <v>67</v>
      </c>
      <c r="J64" s="4">
        <v>48</v>
      </c>
    </row>
    <row r="65" spans="1:10" x14ac:dyDescent="0.2">
      <c r="A65" s="40" t="s">
        <v>5</v>
      </c>
      <c r="B65" t="s">
        <v>45</v>
      </c>
      <c r="C65" s="4">
        <f>VLOOKUP(A65,$A$55:$H$59,6,FALSE)</f>
        <v>8.0750000000000011</v>
      </c>
      <c r="D65">
        <f>VLOOKUP(A65,$A$55:$H$59,3,FALSE)</f>
        <v>57</v>
      </c>
      <c r="E65" s="4">
        <f t="shared" ref="E65:E89" si="13">60/D65</f>
        <v>1.0526315789473684</v>
      </c>
      <c r="F65">
        <v>20</v>
      </c>
      <c r="G65" s="4">
        <f t="shared" ref="G65:G89" si="14">C65*E65*F65</f>
        <v>170</v>
      </c>
      <c r="H65" s="19"/>
      <c r="I65" s="3" t="s">
        <v>64</v>
      </c>
      <c r="J65" s="4">
        <v>154.66666666666669</v>
      </c>
    </row>
    <row r="66" spans="1:10" x14ac:dyDescent="0.2">
      <c r="A66" s="40" t="s">
        <v>5</v>
      </c>
      <c r="B66" t="s">
        <v>65</v>
      </c>
      <c r="C66" s="4">
        <f>VLOOKUP(A66,$A$55:$H$59,6,FALSE)</f>
        <v>8.0750000000000011</v>
      </c>
      <c r="D66">
        <f>VLOOKUP(A66,$A$55:$H$59,3,FALSE)</f>
        <v>57</v>
      </c>
      <c r="E66" s="4">
        <f t="shared" si="13"/>
        <v>1.0526315789473684</v>
      </c>
      <c r="F66">
        <v>20</v>
      </c>
      <c r="G66" s="4">
        <f t="shared" si="14"/>
        <v>170</v>
      </c>
      <c r="H66" s="19"/>
      <c r="I66" s="3" t="s">
        <v>66</v>
      </c>
      <c r="J66" s="4">
        <v>48</v>
      </c>
    </row>
    <row r="67" spans="1:10" x14ac:dyDescent="0.2">
      <c r="A67" s="40" t="s">
        <v>5</v>
      </c>
      <c r="B67" t="s">
        <v>66</v>
      </c>
      <c r="C67" s="4">
        <f>VLOOKUP(A67,$A$55:$H$59,6,FALSE)</f>
        <v>8.0750000000000011</v>
      </c>
      <c r="D67">
        <f>VLOOKUP(A67,$A$55:$H$59,3,FALSE)</f>
        <v>57</v>
      </c>
      <c r="E67" s="4">
        <f t="shared" si="13"/>
        <v>1.0526315789473684</v>
      </c>
      <c r="F67">
        <v>20</v>
      </c>
      <c r="G67" s="4">
        <f t="shared" si="14"/>
        <v>170</v>
      </c>
      <c r="H67" s="19"/>
      <c r="I67" s="28" t="s">
        <v>69</v>
      </c>
      <c r="J67" s="4">
        <v>148</v>
      </c>
    </row>
    <row r="68" spans="1:10" x14ac:dyDescent="0.2">
      <c r="A68" s="40" t="s">
        <v>5</v>
      </c>
      <c r="B68" t="s">
        <v>67</v>
      </c>
      <c r="C68" s="4">
        <f>VLOOKUP(A68,$A$55:$H$59,6,FALSE)</f>
        <v>8.0750000000000011</v>
      </c>
      <c r="D68">
        <f>VLOOKUP(A68,$A$55:$H$59,3,FALSE)</f>
        <v>57</v>
      </c>
      <c r="E68" s="4">
        <f t="shared" si="13"/>
        <v>1.0526315789473684</v>
      </c>
      <c r="F68">
        <v>20</v>
      </c>
      <c r="G68" s="4">
        <f t="shared" si="14"/>
        <v>170</v>
      </c>
      <c r="H68" s="19"/>
      <c r="I68" s="28" t="s">
        <v>45</v>
      </c>
      <c r="J68" s="4">
        <v>148</v>
      </c>
    </row>
    <row r="69" spans="1:10" x14ac:dyDescent="0.2">
      <c r="A69" s="40" t="s">
        <v>5</v>
      </c>
      <c r="B69" t="s">
        <v>68</v>
      </c>
      <c r="C69" s="4">
        <f>VLOOKUP(A69,$A$55:$H$59,6,FALSE)</f>
        <v>8.0750000000000011</v>
      </c>
      <c r="D69">
        <f>VLOOKUP(A69,$A$55:$H$59,3,FALSE)</f>
        <v>57</v>
      </c>
      <c r="E69" s="4">
        <f t="shared" si="13"/>
        <v>1.0526315789473684</v>
      </c>
      <c r="F69">
        <v>20</v>
      </c>
      <c r="G69" s="4">
        <f t="shared" si="14"/>
        <v>170</v>
      </c>
      <c r="H69" s="19"/>
      <c r="I69" s="3" t="s">
        <v>65</v>
      </c>
      <c r="J69" s="4">
        <v>48</v>
      </c>
    </row>
    <row r="70" spans="1:10" x14ac:dyDescent="0.2">
      <c r="A70" s="40" t="s">
        <v>5</v>
      </c>
      <c r="B70" t="s">
        <v>69</v>
      </c>
      <c r="C70" s="4">
        <f>VLOOKUP(A70,$A$55:$H$59,6,FALSE)</f>
        <v>8.0750000000000011</v>
      </c>
      <c r="D70">
        <f>VLOOKUP(A70,$A$55:$H$59,3,FALSE)</f>
        <v>57</v>
      </c>
      <c r="E70" s="4">
        <f t="shared" si="13"/>
        <v>1.0526315789473684</v>
      </c>
      <c r="F70">
        <v>20</v>
      </c>
      <c r="G70" s="4">
        <f t="shared" si="14"/>
        <v>170</v>
      </c>
      <c r="H70" s="19"/>
      <c r="I70" s="28" t="s">
        <v>68</v>
      </c>
      <c r="J70" s="4">
        <v>41.333333333333336</v>
      </c>
    </row>
    <row r="71" spans="1:10" x14ac:dyDescent="0.2">
      <c r="A71" s="40" t="s">
        <v>70</v>
      </c>
      <c r="B71" t="s">
        <v>64</v>
      </c>
      <c r="C71" s="4">
        <f>VLOOKUP(A71,$A$55:$H$59,6,FALSE)</f>
        <v>1.0416666666666667</v>
      </c>
      <c r="D71">
        <f>VLOOKUP(A71,$A$55:$H$59,3,FALSE)</f>
        <v>25</v>
      </c>
      <c r="E71" s="4">
        <f t="shared" si="13"/>
        <v>2.4</v>
      </c>
      <c r="F71">
        <v>20</v>
      </c>
      <c r="G71" s="4">
        <f t="shared" si="14"/>
        <v>50</v>
      </c>
      <c r="H71" s="19"/>
      <c r="I71" s="3" t="s">
        <v>71</v>
      </c>
      <c r="J71" s="4">
        <v>50</v>
      </c>
    </row>
    <row r="72" spans="1:10" x14ac:dyDescent="0.2">
      <c r="A72" s="40" t="s">
        <v>70</v>
      </c>
      <c r="B72" t="s">
        <v>45</v>
      </c>
      <c r="C72" s="4">
        <f>VLOOKUP(A72,$A$55:$H$59,6,FALSE)</f>
        <v>1.0416666666666667</v>
      </c>
      <c r="D72">
        <f>VLOOKUP(A72,$A$55:$H$59,3,FALSE)</f>
        <v>25</v>
      </c>
      <c r="E72" s="4">
        <f t="shared" si="13"/>
        <v>2.4</v>
      </c>
      <c r="F72">
        <v>20</v>
      </c>
      <c r="G72" s="4">
        <f t="shared" si="14"/>
        <v>50</v>
      </c>
      <c r="H72" s="19"/>
      <c r="I72" s="28" t="s">
        <v>72</v>
      </c>
      <c r="J72" s="4">
        <v>10</v>
      </c>
    </row>
    <row r="73" spans="1:10" x14ac:dyDescent="0.2">
      <c r="A73" s="40" t="s">
        <v>70</v>
      </c>
      <c r="B73" t="s">
        <v>69</v>
      </c>
      <c r="C73" s="4">
        <f>VLOOKUP(A73,$A$55:$H$59,6,FALSE)</f>
        <v>1.0416666666666667</v>
      </c>
      <c r="D73">
        <f>VLOOKUP(A73,$A$55:$H$59,3,FALSE)</f>
        <v>25</v>
      </c>
      <c r="E73" s="4">
        <f t="shared" si="13"/>
        <v>2.4</v>
      </c>
      <c r="F73">
        <v>20</v>
      </c>
      <c r="G73" s="4">
        <f t="shared" si="14"/>
        <v>50</v>
      </c>
      <c r="H73" s="19"/>
      <c r="I73" s="3" t="s">
        <v>18</v>
      </c>
      <c r="J73">
        <v>696.00000000000011</v>
      </c>
    </row>
    <row r="74" spans="1:10" x14ac:dyDescent="0.2">
      <c r="A74" s="40" t="s">
        <v>63</v>
      </c>
      <c r="B74" t="s">
        <v>64</v>
      </c>
      <c r="C74" s="4">
        <f>VLOOKUP(A74,$A$55:$H$59,6,FALSE)</f>
        <v>0.95833333333333337</v>
      </c>
      <c r="D74">
        <f>VLOOKUP(A74,$A$55:$H$59,3,FALSE)</f>
        <v>115</v>
      </c>
      <c r="E74" s="4">
        <f t="shared" si="13"/>
        <v>0.52173913043478259</v>
      </c>
      <c r="F74">
        <v>20</v>
      </c>
      <c r="G74" s="4">
        <f t="shared" si="14"/>
        <v>10</v>
      </c>
      <c r="H74" s="19"/>
    </row>
    <row r="75" spans="1:10" x14ac:dyDescent="0.2">
      <c r="A75" s="40" t="s">
        <v>63</v>
      </c>
      <c r="B75" t="s">
        <v>45</v>
      </c>
      <c r="C75" s="4">
        <f>VLOOKUP(A75,$A$55:$H$59,6,FALSE)</f>
        <v>0.95833333333333337</v>
      </c>
      <c r="D75">
        <f>VLOOKUP(A75,$A$55:$H$59,3,FALSE)</f>
        <v>115</v>
      </c>
      <c r="E75" s="4">
        <f t="shared" si="13"/>
        <v>0.52173913043478259</v>
      </c>
      <c r="F75">
        <v>20</v>
      </c>
      <c r="G75" s="4">
        <f t="shared" si="14"/>
        <v>10</v>
      </c>
      <c r="H75" s="19"/>
    </row>
    <row r="76" spans="1:10" x14ac:dyDescent="0.2">
      <c r="A76" s="40" t="s">
        <v>63</v>
      </c>
      <c r="B76" t="s">
        <v>71</v>
      </c>
      <c r="C76" s="4">
        <f>VLOOKUP(A76,$A$55:$H$59,6,FALSE)</f>
        <v>0.95833333333333337</v>
      </c>
      <c r="D76">
        <f>VLOOKUP(A76,$A$55:$H$59,3,FALSE)</f>
        <v>115</v>
      </c>
      <c r="E76" s="4">
        <f t="shared" si="13"/>
        <v>0.52173913043478259</v>
      </c>
      <c r="F76">
        <v>20</v>
      </c>
      <c r="G76" s="4">
        <f t="shared" si="14"/>
        <v>10</v>
      </c>
      <c r="H76" s="19"/>
    </row>
    <row r="77" spans="1:10" x14ac:dyDescent="0.2">
      <c r="A77" s="40" t="s">
        <v>63</v>
      </c>
      <c r="B77" t="s">
        <v>72</v>
      </c>
      <c r="C77" s="4">
        <f>VLOOKUP(A77,$A$55:$H$59,6,FALSE)</f>
        <v>0.95833333333333337</v>
      </c>
      <c r="D77">
        <f>VLOOKUP(A77,$A$55:$H$59,3,FALSE)</f>
        <v>115</v>
      </c>
      <c r="E77" s="4">
        <f t="shared" si="13"/>
        <v>0.52173913043478259</v>
      </c>
      <c r="F77">
        <v>20</v>
      </c>
      <c r="G77" s="4">
        <f t="shared" si="14"/>
        <v>10</v>
      </c>
      <c r="H77" s="19"/>
    </row>
    <row r="78" spans="1:10" x14ac:dyDescent="0.2">
      <c r="A78" s="40" t="s">
        <v>63</v>
      </c>
      <c r="B78" t="s">
        <v>69</v>
      </c>
      <c r="C78" s="4">
        <f>VLOOKUP(A78,$A$55:$H$59,6,FALSE)</f>
        <v>0.95833333333333337</v>
      </c>
      <c r="D78">
        <f>VLOOKUP(A78,$A$55:$H$59,3,FALSE)</f>
        <v>115</v>
      </c>
      <c r="E78" s="4">
        <f t="shared" si="13"/>
        <v>0.52173913043478259</v>
      </c>
      <c r="F78">
        <v>20</v>
      </c>
      <c r="G78" s="4">
        <f t="shared" si="14"/>
        <v>10</v>
      </c>
      <c r="H78" s="19"/>
    </row>
    <row r="79" spans="1:10" x14ac:dyDescent="0.2">
      <c r="A79" s="40" t="s">
        <v>46</v>
      </c>
      <c r="B79" t="s">
        <v>64</v>
      </c>
      <c r="C79" s="4">
        <f>VLOOKUP(A79,$A$55:$H$59,6,FALSE)</f>
        <v>1.0000000000000002</v>
      </c>
      <c r="D79">
        <f>VLOOKUP(A79,$A$55:$H$59,3,FALSE)</f>
        <v>180</v>
      </c>
      <c r="E79" s="4">
        <f t="shared" si="13"/>
        <v>0.33333333333333331</v>
      </c>
      <c r="F79">
        <v>20</v>
      </c>
      <c r="G79" s="4">
        <f t="shared" si="14"/>
        <v>6.6666666666666679</v>
      </c>
      <c r="H79" s="19"/>
    </row>
    <row r="80" spans="1:10" x14ac:dyDescent="0.2">
      <c r="A80" s="40" t="s">
        <v>46</v>
      </c>
      <c r="B80" t="s">
        <v>64</v>
      </c>
      <c r="C80" s="4">
        <f>VLOOKUP(A80,$A$55:$H$59,6,FALSE)</f>
        <v>1.0000000000000002</v>
      </c>
      <c r="D80">
        <f>VLOOKUP(A80,$A$55:$H$59,3,FALSE)</f>
        <v>180</v>
      </c>
      <c r="E80" s="4">
        <f>60/D80</f>
        <v>0.33333333333333331</v>
      </c>
      <c r="F80">
        <v>20</v>
      </c>
      <c r="G80" s="4">
        <f t="shared" si="14"/>
        <v>6.6666666666666679</v>
      </c>
      <c r="H80" s="19"/>
    </row>
    <row r="81" spans="1:8" x14ac:dyDescent="0.2">
      <c r="A81" s="40" t="s">
        <v>46</v>
      </c>
      <c r="B81" t="s">
        <v>45</v>
      </c>
      <c r="C81" s="4">
        <f>VLOOKUP(A81,$A$55:$H$59,6,FALSE)</f>
        <v>1.0000000000000002</v>
      </c>
      <c r="D81">
        <f>VLOOKUP(A81,$A$55:$H$59,3,FALSE)</f>
        <v>180</v>
      </c>
      <c r="E81" s="4">
        <f t="shared" si="13"/>
        <v>0.33333333333333331</v>
      </c>
      <c r="F81">
        <v>20</v>
      </c>
      <c r="G81" s="4">
        <f t="shared" si="14"/>
        <v>6.6666666666666679</v>
      </c>
      <c r="H81" s="19"/>
    </row>
    <row r="82" spans="1:8" x14ac:dyDescent="0.2">
      <c r="A82" s="40" t="s">
        <v>46</v>
      </c>
      <c r="B82" t="s">
        <v>65</v>
      </c>
      <c r="C82" s="4">
        <f>VLOOKUP(A82,$A$55:$H$59,6,FALSE)</f>
        <v>1.0000000000000002</v>
      </c>
      <c r="D82">
        <f>VLOOKUP(A82,$A$55:$H$59,3,FALSE)</f>
        <v>180</v>
      </c>
      <c r="E82" s="4">
        <f t="shared" si="13"/>
        <v>0.33333333333333331</v>
      </c>
      <c r="F82">
        <v>20</v>
      </c>
      <c r="G82" s="4">
        <f t="shared" si="14"/>
        <v>6.6666666666666679</v>
      </c>
      <c r="H82" s="19"/>
    </row>
    <row r="83" spans="1:8" x14ac:dyDescent="0.2">
      <c r="A83" s="40" t="s">
        <v>46</v>
      </c>
      <c r="B83" t="s">
        <v>66</v>
      </c>
      <c r="C83" s="4">
        <f>VLOOKUP(A83,$A$55:$H$59,6,FALSE)</f>
        <v>1.0000000000000002</v>
      </c>
      <c r="D83">
        <f>VLOOKUP(A83,$A$55:$H$59,3,FALSE)</f>
        <v>180</v>
      </c>
      <c r="E83" s="4">
        <f t="shared" si="13"/>
        <v>0.33333333333333331</v>
      </c>
      <c r="F83">
        <v>20</v>
      </c>
      <c r="G83" s="4">
        <f t="shared" si="14"/>
        <v>6.6666666666666679</v>
      </c>
      <c r="H83" s="19"/>
    </row>
    <row r="84" spans="1:8" x14ac:dyDescent="0.2">
      <c r="A84" s="40" t="s">
        <v>46</v>
      </c>
      <c r="B84" t="s">
        <v>67</v>
      </c>
      <c r="C84" s="4">
        <f>VLOOKUP(A84,$A$55:$H$59,6,FALSE)</f>
        <v>1.0000000000000002</v>
      </c>
      <c r="D84">
        <f>VLOOKUP(A84,$A$55:$H$59,3,FALSE)</f>
        <v>180</v>
      </c>
      <c r="E84" s="4">
        <f t="shared" si="13"/>
        <v>0.33333333333333331</v>
      </c>
      <c r="F84">
        <v>20</v>
      </c>
      <c r="G84" s="4">
        <f t="shared" si="14"/>
        <v>6.6666666666666679</v>
      </c>
      <c r="H84" s="19"/>
    </row>
    <row r="85" spans="1:8" x14ac:dyDescent="0.2">
      <c r="A85" s="40" t="s">
        <v>46</v>
      </c>
      <c r="B85" t="s">
        <v>69</v>
      </c>
      <c r="C85" s="4">
        <f>VLOOKUP(A85,$A$55:$H$59,6,FALSE)</f>
        <v>1.0000000000000002</v>
      </c>
      <c r="D85">
        <f>VLOOKUP(A85,$A$55:$H$59,3,FALSE)</f>
        <v>180</v>
      </c>
      <c r="E85" s="4">
        <f t="shared" si="13"/>
        <v>0.33333333333333331</v>
      </c>
      <c r="F85">
        <v>20</v>
      </c>
      <c r="G85" s="4">
        <f t="shared" si="14"/>
        <v>6.6666666666666679</v>
      </c>
      <c r="H85" s="19"/>
    </row>
    <row r="86" spans="1:8" x14ac:dyDescent="0.2">
      <c r="A86" s="40" t="s">
        <v>47</v>
      </c>
      <c r="B86" t="s">
        <v>64</v>
      </c>
      <c r="C86" s="4">
        <f>VLOOKUP(A86,$A$55:$H$59,6,FALSE)</f>
        <v>1</v>
      </c>
      <c r="D86">
        <f>VLOOKUP(A86,$A$55:$H$59,3,FALSE)</f>
        <v>30</v>
      </c>
      <c r="E86" s="4">
        <f t="shared" si="13"/>
        <v>2</v>
      </c>
      <c r="F86">
        <v>20</v>
      </c>
      <c r="G86" s="4">
        <f t="shared" si="14"/>
        <v>40</v>
      </c>
      <c r="H86" s="19"/>
    </row>
    <row r="87" spans="1:8" x14ac:dyDescent="0.2">
      <c r="A87" s="40" t="s">
        <v>47</v>
      </c>
      <c r="B87" t="s">
        <v>45</v>
      </c>
      <c r="C87" s="4">
        <f>VLOOKUP(A87,$A$55:$H$59,6,FALSE)</f>
        <v>1</v>
      </c>
      <c r="D87">
        <f>VLOOKUP(A87,$A$55:$H$59,3,FALSE)</f>
        <v>30</v>
      </c>
      <c r="E87" s="4">
        <f t="shared" si="13"/>
        <v>2</v>
      </c>
      <c r="F87">
        <v>20</v>
      </c>
      <c r="G87" s="4">
        <f t="shared" si="14"/>
        <v>40</v>
      </c>
      <c r="H87" s="19"/>
    </row>
    <row r="88" spans="1:8" x14ac:dyDescent="0.2">
      <c r="A88" s="40" t="s">
        <v>47</v>
      </c>
      <c r="B88" t="s">
        <v>71</v>
      </c>
      <c r="C88" s="4">
        <f>VLOOKUP(A88,$A$55:$H$59,6,FALSE)</f>
        <v>1</v>
      </c>
      <c r="D88">
        <f>VLOOKUP(A88,$A$55:$H$59,3,FALSE)</f>
        <v>30</v>
      </c>
      <c r="E88" s="4">
        <f t="shared" si="13"/>
        <v>2</v>
      </c>
      <c r="F88">
        <v>20</v>
      </c>
      <c r="G88" s="4">
        <f t="shared" si="14"/>
        <v>40</v>
      </c>
      <c r="H88" s="19"/>
    </row>
    <row r="89" spans="1:8" ht="16" thickBot="1" x14ac:dyDescent="0.25">
      <c r="A89" s="44" t="s">
        <v>47</v>
      </c>
      <c r="B89" s="45" t="s">
        <v>69</v>
      </c>
      <c r="C89" s="46">
        <f>VLOOKUP(A89,$A$55:$H$59,6,FALSE)</f>
        <v>1</v>
      </c>
      <c r="D89" s="45">
        <f>VLOOKUP(A89,$A$55:$H$59,3,FALSE)</f>
        <v>30</v>
      </c>
      <c r="E89" s="46">
        <f t="shared" si="13"/>
        <v>2</v>
      </c>
      <c r="F89" s="45">
        <v>20</v>
      </c>
      <c r="G89" s="46">
        <f t="shared" si="14"/>
        <v>40</v>
      </c>
      <c r="H89" s="20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75" workbookViewId="0">
      <selection activeCell="A4" sqref="A4"/>
    </sheetView>
  </sheetViews>
  <sheetFormatPr baseColWidth="10" defaultColWidth="8.83203125" defaultRowHeight="15" x14ac:dyDescent="0.2"/>
  <cols>
    <col min="1" max="1" width="47.5" bestFit="1" customWidth="1"/>
    <col min="2" max="2" width="17.6640625" bestFit="1" customWidth="1"/>
  </cols>
  <sheetData>
    <row r="1" spans="1:2" x14ac:dyDescent="0.2">
      <c r="A1" s="25" t="s">
        <v>57</v>
      </c>
      <c r="B1" s="25" t="s">
        <v>58</v>
      </c>
    </row>
    <row r="2" spans="1:2" x14ac:dyDescent="0.2">
      <c r="A2" s="60" t="str">
        <f>'Автоматизированный расчет'!A39</f>
        <v>Главная Welcome страница</v>
      </c>
      <c r="B2" s="60" t="s">
        <v>82</v>
      </c>
    </row>
    <row r="3" spans="1:2" x14ac:dyDescent="0.2">
      <c r="A3" s="60" t="str">
        <f>'Автоматизированный расчет'!A40</f>
        <v>Вход в систему</v>
      </c>
      <c r="B3" s="60" t="s">
        <v>11</v>
      </c>
    </row>
    <row r="4" spans="1:2" x14ac:dyDescent="0.2">
      <c r="A4" s="60" t="str">
        <f>'Автоматизированный расчет'!A41</f>
        <v>Переход на страницу поиска билетов</v>
      </c>
      <c r="B4" s="60" t="s">
        <v>83</v>
      </c>
    </row>
    <row r="5" spans="1:2" x14ac:dyDescent="0.2">
      <c r="A5" s="60" t="str">
        <f>'Автоматизированный расчет'!A42</f>
        <v xml:space="preserve">Заполнение полей для поиска билета </v>
      </c>
      <c r="B5" s="60" t="s">
        <v>84</v>
      </c>
    </row>
    <row r="6" spans="1:2" x14ac:dyDescent="0.2">
      <c r="A6" s="60" t="str">
        <f>'Автоматизированный расчет'!A43</f>
        <v xml:space="preserve">Выбор рейса из найденных </v>
      </c>
      <c r="B6" s="60" t="s">
        <v>85</v>
      </c>
    </row>
    <row r="7" spans="1:2" x14ac:dyDescent="0.2">
      <c r="A7" s="60" t="str">
        <f>'Автоматизированный расчет'!A44</f>
        <v>Оплата билета</v>
      </c>
      <c r="B7" s="60" t="s">
        <v>86</v>
      </c>
    </row>
    <row r="8" spans="1:2" x14ac:dyDescent="0.2">
      <c r="A8" s="60" t="str">
        <f>'Автоматизированный расчет'!A45</f>
        <v>Просмотр квитанций</v>
      </c>
      <c r="B8" s="60" t="s">
        <v>87</v>
      </c>
    </row>
    <row r="9" spans="1:2" x14ac:dyDescent="0.2">
      <c r="A9" s="60" t="str">
        <f>'Автоматизированный расчет'!A46</f>
        <v xml:space="preserve">Отмена бронирования </v>
      </c>
      <c r="B9" s="60" t="s">
        <v>88</v>
      </c>
    </row>
    <row r="10" spans="1:2" x14ac:dyDescent="0.2">
      <c r="A10" s="60" t="str">
        <f>'Автоматизированный расчет'!A47</f>
        <v>Выход из системы</v>
      </c>
      <c r="B10" s="60" t="s">
        <v>89</v>
      </c>
    </row>
    <row r="11" spans="1:2" x14ac:dyDescent="0.2">
      <c r="A11" s="60" t="str">
        <f>'Автоматизированный расчет'!A48</f>
        <v>Перход на страницу регистрации</v>
      </c>
      <c r="B11" s="60" t="s">
        <v>91</v>
      </c>
    </row>
    <row r="12" spans="1:2" x14ac:dyDescent="0.2">
      <c r="A12" s="60" t="str">
        <f>'Автоматизированный расчет'!A49</f>
        <v>Заполнение полей регистарции</v>
      </c>
      <c r="B12" s="60" t="s">
        <v>90</v>
      </c>
    </row>
    <row r="13" spans="1:2" x14ac:dyDescent="0.2">
      <c r="A13" s="60" t="str">
        <f>'Автоматизированный расчет'!A50</f>
        <v>Переход на следуюущий эран после регистарции</v>
      </c>
      <c r="B13" s="73" t="s">
        <v>101</v>
      </c>
    </row>
  </sheetData>
  <hyperlinks>
    <hyperlink ref="B13" r:id="rId1" location="mailruanchor_" display="https://e.mail.ru/inbox/0:16850461920374851948:0/ - mailruanchor_" xr:uid="{B82380E5-0B4F-4F4E-9DC5-807A1F9B13E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4"/>
  <sheetViews>
    <sheetView workbookViewId="0">
      <selection activeCell="F7" sqref="F7"/>
    </sheetView>
  </sheetViews>
  <sheetFormatPr baseColWidth="10" defaultColWidth="8.83203125" defaultRowHeight="15" x14ac:dyDescent="0.2"/>
  <cols>
    <col min="1" max="1" width="36.5" bestFit="1" customWidth="1"/>
    <col min="3" max="3" width="14.33203125" customWidth="1"/>
    <col min="4" max="4" width="10.33203125" bestFit="1" customWidth="1"/>
    <col min="5" max="5" width="11.83203125" bestFit="1" customWidth="1"/>
    <col min="6" max="6" width="16.33203125" bestFit="1" customWidth="1"/>
    <col min="7" max="7" width="12.6640625" bestFit="1" customWidth="1"/>
    <col min="8" max="8" width="6.83203125" bestFit="1" customWidth="1"/>
  </cols>
  <sheetData>
    <row r="1" spans="1:10" ht="17" x14ac:dyDescent="0.2">
      <c r="A1" s="76" t="s">
        <v>92</v>
      </c>
      <c r="B1" s="76" t="s">
        <v>93</v>
      </c>
      <c r="C1" s="76" t="s">
        <v>94</v>
      </c>
      <c r="D1" s="76" t="s">
        <v>95</v>
      </c>
      <c r="E1" s="76" t="s">
        <v>96</v>
      </c>
      <c r="F1" s="76" t="s">
        <v>97</v>
      </c>
      <c r="G1" s="76" t="s">
        <v>98</v>
      </c>
      <c r="H1" s="76" t="s">
        <v>99</v>
      </c>
      <c r="I1" s="76" t="s">
        <v>100</v>
      </c>
      <c r="J1" s="72"/>
    </row>
    <row r="2" spans="1:10" ht="18" x14ac:dyDescent="0.2">
      <c r="A2" s="73" t="s">
        <v>78</v>
      </c>
      <c r="B2" s="77">
        <v>0.53400000000000003</v>
      </c>
      <c r="C2" s="77">
        <v>1.8839999999999999</v>
      </c>
      <c r="D2" s="77">
        <v>4.1879999999999997</v>
      </c>
      <c r="E2" s="77">
        <v>0.76200000000000001</v>
      </c>
      <c r="F2" s="77">
        <v>2.802</v>
      </c>
      <c r="G2" s="77">
        <v>175</v>
      </c>
      <c r="H2" s="77">
        <v>0</v>
      </c>
      <c r="I2" s="77">
        <v>0</v>
      </c>
      <c r="J2" s="74"/>
    </row>
    <row r="3" spans="1:10" ht="18" x14ac:dyDescent="0.2">
      <c r="A3" s="73" t="s">
        <v>87</v>
      </c>
      <c r="B3" s="77">
        <v>0.28100000000000003</v>
      </c>
      <c r="C3" s="77">
        <v>0.57199999999999995</v>
      </c>
      <c r="D3" s="77">
        <v>1.1020000000000001</v>
      </c>
      <c r="E3" s="77">
        <v>0.18</v>
      </c>
      <c r="F3" s="77">
        <v>0.73599999999999999</v>
      </c>
      <c r="G3" s="77">
        <v>100</v>
      </c>
      <c r="H3" s="77">
        <v>0</v>
      </c>
      <c r="I3" s="77">
        <v>0</v>
      </c>
      <c r="J3" s="74"/>
    </row>
    <row r="4" spans="1:10" ht="18" x14ac:dyDescent="0.2">
      <c r="A4" s="73" t="s">
        <v>85</v>
      </c>
      <c r="B4" s="77">
        <v>0.16</v>
      </c>
      <c r="C4" s="77">
        <v>0.17</v>
      </c>
      <c r="D4" s="77">
        <v>0.21199999999999999</v>
      </c>
      <c r="E4" s="77">
        <v>1.0999999999999999E-2</v>
      </c>
      <c r="F4" s="77">
        <v>0.17899999999999999</v>
      </c>
      <c r="G4" s="77">
        <v>92</v>
      </c>
      <c r="H4" s="77">
        <v>0</v>
      </c>
      <c r="I4" s="77">
        <v>0</v>
      </c>
      <c r="J4" s="74"/>
    </row>
    <row r="5" spans="1:10" ht="18" x14ac:dyDescent="0.2">
      <c r="A5" s="73" t="s">
        <v>88</v>
      </c>
      <c r="B5" s="77">
        <v>0.16800000000000001</v>
      </c>
      <c r="C5" s="77">
        <v>0.19</v>
      </c>
      <c r="D5" s="77">
        <v>0.23599999999999999</v>
      </c>
      <c r="E5" s="77">
        <v>1.7000000000000001E-2</v>
      </c>
      <c r="F5" s="77">
        <v>0.21299999999999999</v>
      </c>
      <c r="G5" s="77">
        <v>24</v>
      </c>
      <c r="H5" s="77">
        <v>0</v>
      </c>
      <c r="I5" s="77">
        <v>0</v>
      </c>
      <c r="J5" s="74"/>
    </row>
    <row r="6" spans="1:10" ht="18" x14ac:dyDescent="0.2">
      <c r="A6" s="73" t="s">
        <v>83</v>
      </c>
      <c r="B6" s="77">
        <v>0.31</v>
      </c>
      <c r="C6" s="77">
        <v>0.39300000000000002</v>
      </c>
      <c r="D6" s="77">
        <v>0.64900000000000002</v>
      </c>
      <c r="E6" s="77">
        <v>7.0999999999999994E-2</v>
      </c>
      <c r="F6" s="77">
        <v>0.44900000000000001</v>
      </c>
      <c r="G6" s="77">
        <v>106</v>
      </c>
      <c r="H6" s="77">
        <v>0</v>
      </c>
      <c r="I6" s="77">
        <v>0</v>
      </c>
      <c r="J6" s="74"/>
    </row>
    <row r="7" spans="1:10" ht="18" x14ac:dyDescent="0.2">
      <c r="A7" s="73" t="s">
        <v>11</v>
      </c>
      <c r="B7" s="77">
        <v>0.27200000000000002</v>
      </c>
      <c r="C7" s="77">
        <v>0.45600000000000002</v>
      </c>
      <c r="D7" s="77">
        <v>1.607</v>
      </c>
      <c r="E7" s="77">
        <v>0.193</v>
      </c>
      <c r="F7" s="77">
        <v>0.61399999999999999</v>
      </c>
      <c r="G7" s="77">
        <v>142</v>
      </c>
      <c r="H7" s="77">
        <v>0</v>
      </c>
      <c r="I7" s="77">
        <v>0</v>
      </c>
      <c r="J7" s="74"/>
    </row>
    <row r="8" spans="1:10" ht="18" x14ac:dyDescent="0.2">
      <c r="A8" s="73" t="s">
        <v>82</v>
      </c>
      <c r="B8" s="77">
        <v>0.23699999999999999</v>
      </c>
      <c r="C8" s="77">
        <v>0.34899999999999998</v>
      </c>
      <c r="D8" s="77">
        <v>1.601</v>
      </c>
      <c r="E8" s="77">
        <v>0.17</v>
      </c>
      <c r="F8" s="77">
        <v>0.52700000000000002</v>
      </c>
      <c r="G8" s="77">
        <v>175</v>
      </c>
      <c r="H8" s="77">
        <v>0</v>
      </c>
      <c r="I8" s="77">
        <v>0</v>
      </c>
      <c r="J8" s="74"/>
    </row>
    <row r="9" spans="1:10" ht="18" x14ac:dyDescent="0.2">
      <c r="A9" s="73" t="s">
        <v>101</v>
      </c>
      <c r="B9" s="77">
        <v>0.25700000000000001</v>
      </c>
      <c r="C9" s="77">
        <v>0.30499999999999999</v>
      </c>
      <c r="D9" s="77">
        <v>0.39800000000000002</v>
      </c>
      <c r="E9" s="77">
        <v>3.5000000000000003E-2</v>
      </c>
      <c r="F9" s="77">
        <v>0.36099999999999999</v>
      </c>
      <c r="G9" s="77">
        <v>33</v>
      </c>
      <c r="H9" s="77">
        <v>0</v>
      </c>
      <c r="I9" s="77">
        <v>0</v>
      </c>
      <c r="J9" s="74"/>
    </row>
    <row r="10" spans="1:10" ht="18" x14ac:dyDescent="0.2">
      <c r="A10" s="73" t="s">
        <v>86</v>
      </c>
      <c r="B10" s="77">
        <v>0.16800000000000001</v>
      </c>
      <c r="C10" s="77">
        <v>0.184</v>
      </c>
      <c r="D10" s="77">
        <v>0.21199999999999999</v>
      </c>
      <c r="E10" s="77">
        <v>1.0999999999999999E-2</v>
      </c>
      <c r="F10" s="77">
        <v>0.20399999999999999</v>
      </c>
      <c r="G10" s="77">
        <v>62</v>
      </c>
      <c r="H10" s="77">
        <v>0</v>
      </c>
      <c r="I10" s="77">
        <v>0</v>
      </c>
      <c r="J10" s="74"/>
    </row>
    <row r="11" spans="1:10" ht="18" x14ac:dyDescent="0.2">
      <c r="A11" s="73" t="s">
        <v>90</v>
      </c>
      <c r="B11" s="77">
        <v>0.13700000000000001</v>
      </c>
      <c r="C11" s="77">
        <v>0.157</v>
      </c>
      <c r="D11" s="77">
        <v>0.19400000000000001</v>
      </c>
      <c r="E11" s="77">
        <v>1.6E-2</v>
      </c>
      <c r="F11" s="77">
        <v>0.191</v>
      </c>
      <c r="G11" s="77">
        <v>33</v>
      </c>
      <c r="H11" s="77">
        <v>0</v>
      </c>
      <c r="I11" s="77">
        <v>0</v>
      </c>
      <c r="J11" s="74"/>
    </row>
    <row r="12" spans="1:10" ht="18" x14ac:dyDescent="0.2">
      <c r="A12" s="73" t="s">
        <v>89</v>
      </c>
      <c r="B12" s="77">
        <v>0.23300000000000001</v>
      </c>
      <c r="C12" s="77">
        <v>0.26400000000000001</v>
      </c>
      <c r="D12" s="77">
        <v>0.34899999999999998</v>
      </c>
      <c r="E12" s="77">
        <v>2.1999999999999999E-2</v>
      </c>
      <c r="F12" s="77">
        <v>0.29199999999999998</v>
      </c>
      <c r="G12" s="77">
        <v>116</v>
      </c>
      <c r="H12" s="77">
        <v>0</v>
      </c>
      <c r="I12" s="77">
        <v>0</v>
      </c>
      <c r="J12" s="74"/>
    </row>
    <row r="13" spans="1:10" ht="18" x14ac:dyDescent="0.2">
      <c r="A13" s="73" t="s">
        <v>91</v>
      </c>
      <c r="B13" s="77">
        <v>0.16800000000000001</v>
      </c>
      <c r="C13" s="77">
        <v>0.217</v>
      </c>
      <c r="D13" s="77">
        <v>0.74</v>
      </c>
      <c r="E13" s="77">
        <v>0.13400000000000001</v>
      </c>
      <c r="F13" s="77">
        <v>0.221</v>
      </c>
      <c r="G13" s="77">
        <v>33</v>
      </c>
      <c r="H13" s="77">
        <v>0</v>
      </c>
      <c r="I13" s="77">
        <v>0</v>
      </c>
      <c r="J13" s="74"/>
    </row>
    <row r="14" spans="1:10" ht="18" x14ac:dyDescent="0.2">
      <c r="A14" s="73" t="s">
        <v>84</v>
      </c>
      <c r="B14" s="77">
        <v>0.151</v>
      </c>
      <c r="C14" s="77">
        <v>0.16300000000000001</v>
      </c>
      <c r="D14" s="77">
        <v>0.182</v>
      </c>
      <c r="E14" s="77">
        <v>7.0000000000000001E-3</v>
      </c>
      <c r="F14" s="77">
        <v>0.17199999999999999</v>
      </c>
      <c r="G14" s="77">
        <v>92</v>
      </c>
      <c r="H14" s="77">
        <v>0</v>
      </c>
      <c r="I14" s="77">
        <v>0</v>
      </c>
      <c r="J14" s="74"/>
    </row>
    <row r="15" spans="1:10" ht="18" x14ac:dyDescent="0.2">
      <c r="A15" s="73" t="s">
        <v>102</v>
      </c>
      <c r="B15" s="77">
        <v>2.1960000000000002</v>
      </c>
      <c r="C15" s="77">
        <v>2.5760000000000001</v>
      </c>
      <c r="D15" s="77">
        <v>3.9350000000000001</v>
      </c>
      <c r="E15" s="77">
        <v>0.313</v>
      </c>
      <c r="F15" s="77">
        <v>2.8149999999999999</v>
      </c>
      <c r="G15" s="77">
        <v>62</v>
      </c>
      <c r="H15" s="77">
        <v>0</v>
      </c>
      <c r="I15" s="77">
        <v>0</v>
      </c>
      <c r="J15" s="74"/>
    </row>
    <row r="16" spans="1:10" ht="18" x14ac:dyDescent="0.2">
      <c r="A16" s="73" t="s">
        <v>103</v>
      </c>
      <c r="B16" s="77">
        <v>1.2549999999999999</v>
      </c>
      <c r="C16" s="77">
        <v>1.7050000000000001</v>
      </c>
      <c r="D16" s="77">
        <v>4.1879999999999997</v>
      </c>
      <c r="E16" s="77">
        <v>0.621</v>
      </c>
      <c r="F16" s="77">
        <v>2.27</v>
      </c>
      <c r="G16" s="77">
        <v>24</v>
      </c>
      <c r="H16" s="77">
        <v>0</v>
      </c>
      <c r="I16" s="77">
        <v>0</v>
      </c>
      <c r="J16" s="74"/>
    </row>
    <row r="17" spans="1:10" ht="18" x14ac:dyDescent="0.2">
      <c r="A17" s="73" t="s">
        <v>104</v>
      </c>
      <c r="B17" s="77">
        <v>0.53400000000000003</v>
      </c>
      <c r="C17" s="77">
        <v>0.78300000000000003</v>
      </c>
      <c r="D17" s="77">
        <v>2.9140000000000001</v>
      </c>
      <c r="E17" s="77">
        <v>0.64400000000000002</v>
      </c>
      <c r="F17" s="77">
        <v>0.65</v>
      </c>
      <c r="G17" s="77">
        <v>12</v>
      </c>
      <c r="H17" s="77">
        <v>0</v>
      </c>
      <c r="I17" s="77">
        <v>0</v>
      </c>
      <c r="J17" s="74"/>
    </row>
    <row r="18" spans="1:10" ht="18" x14ac:dyDescent="0.2">
      <c r="A18" s="73" t="s">
        <v>105</v>
      </c>
      <c r="B18" s="77">
        <v>0.85299999999999998</v>
      </c>
      <c r="C18" s="77">
        <v>0.99199999999999999</v>
      </c>
      <c r="D18" s="77">
        <v>1.9379999999999999</v>
      </c>
      <c r="E18" s="77">
        <v>0.246</v>
      </c>
      <c r="F18" s="77">
        <v>1.069</v>
      </c>
      <c r="G18" s="77">
        <v>33</v>
      </c>
      <c r="H18" s="77">
        <v>0</v>
      </c>
      <c r="I18" s="77">
        <v>0</v>
      </c>
      <c r="J18" s="74"/>
    </row>
    <row r="19" spans="1:10" ht="18" x14ac:dyDescent="0.2">
      <c r="A19" s="73" t="s">
        <v>106</v>
      </c>
      <c r="B19" s="77">
        <v>1.776</v>
      </c>
      <c r="C19" s="77">
        <v>2.056</v>
      </c>
      <c r="D19" s="77">
        <v>2.9249999999999998</v>
      </c>
      <c r="E19" s="77">
        <v>0.33</v>
      </c>
      <c r="F19" s="77">
        <v>2.2040000000000002</v>
      </c>
      <c r="G19" s="77">
        <v>30</v>
      </c>
      <c r="H19" s="77">
        <v>0</v>
      </c>
      <c r="I19" s="77">
        <v>0</v>
      </c>
      <c r="J19" s="74"/>
    </row>
    <row r="20" spans="1:10" ht="18" x14ac:dyDescent="0.2">
      <c r="A20" s="73" t="s">
        <v>109</v>
      </c>
      <c r="B20" s="77">
        <v>1.3440000000000001</v>
      </c>
      <c r="C20" s="77">
        <v>1.8029999999999999</v>
      </c>
      <c r="D20" s="77">
        <v>2.8540000000000001</v>
      </c>
      <c r="E20" s="77">
        <v>0.52200000000000002</v>
      </c>
      <c r="F20" s="77">
        <v>2.8540000000000001</v>
      </c>
      <c r="G20" s="77">
        <v>14</v>
      </c>
      <c r="H20" s="77">
        <v>0</v>
      </c>
      <c r="I20" s="77">
        <v>0</v>
      </c>
      <c r="J20" s="74"/>
    </row>
    <row r="21" spans="1:10" ht="18" x14ac:dyDescent="0.2">
      <c r="A21" s="73" t="s">
        <v>107</v>
      </c>
      <c r="B21" s="77">
        <v>0</v>
      </c>
      <c r="C21" s="77">
        <v>0</v>
      </c>
      <c r="D21" s="77">
        <v>0</v>
      </c>
      <c r="E21" s="77">
        <v>0</v>
      </c>
      <c r="F21" s="77">
        <v>0</v>
      </c>
      <c r="G21" s="77">
        <v>10</v>
      </c>
      <c r="H21" s="77">
        <v>0</v>
      </c>
      <c r="I21" s="77">
        <v>0</v>
      </c>
      <c r="J21" s="74"/>
    </row>
    <row r="22" spans="1:10" ht="18" x14ac:dyDescent="0.2">
      <c r="A22" s="73" t="s">
        <v>108</v>
      </c>
      <c r="B22" s="77">
        <v>0</v>
      </c>
      <c r="C22" s="77">
        <v>1E-3</v>
      </c>
      <c r="D22" s="77">
        <v>2E-3</v>
      </c>
      <c r="E22" s="77">
        <v>1E-3</v>
      </c>
      <c r="F22" s="77">
        <v>2E-3</v>
      </c>
      <c r="G22" s="77">
        <v>10</v>
      </c>
      <c r="H22" s="77">
        <v>0</v>
      </c>
      <c r="I22" s="77">
        <v>0</v>
      </c>
      <c r="J22" s="74"/>
    </row>
    <row r="23" spans="1:10" ht="18" x14ac:dyDescent="0.2">
      <c r="J23" s="74"/>
    </row>
    <row r="24" spans="1:10" ht="18" x14ac:dyDescent="0.2">
      <c r="J24" s="74"/>
    </row>
  </sheetData>
  <hyperlinks>
    <hyperlink ref="A2" r:id="rId1" location="mailruanchor_" display="https://e.mail.ru/inbox/0:16850640371008579354:0/ - mailruanchor_" xr:uid="{1E6839AD-B701-884F-A467-6B8F63AF2212}"/>
    <hyperlink ref="A3" r:id="rId2" location="mailruanchor_" display="https://e.mail.ru/inbox/0:16850640371008579354:0/ - mailruanchor_" xr:uid="{5A9C3641-0D71-9548-81A2-09361830985F}"/>
    <hyperlink ref="A4" r:id="rId3" location="mailruanchor_" display="https://e.mail.ru/inbox/0:16850640371008579354:0/ - mailruanchor_" xr:uid="{D12B3A46-D2FE-1E44-A615-6220E8BDBF41}"/>
    <hyperlink ref="A5" r:id="rId4" location="mailruanchor_" display="https://e.mail.ru/inbox/0:16850640371008579354:0/ - mailruanchor_" xr:uid="{46415F54-9CD5-9641-A54E-119959FEDF1C}"/>
    <hyperlink ref="A6" r:id="rId5" location="mailruanchor_" display="https://e.mail.ru/inbox/0:16850640371008579354:0/ - mailruanchor_" xr:uid="{DD7DA462-2E57-4548-9EF6-98D635273310}"/>
    <hyperlink ref="A7" r:id="rId6" location="mailruanchor_" display="https://e.mail.ru/inbox/0:16850640371008579354:0/ - mailruanchor_" xr:uid="{589B873C-F352-1648-9C4D-2F248755DCAC}"/>
    <hyperlink ref="A8" r:id="rId7" location="mailruanchor_" display="https://e.mail.ru/inbox/0:16850640371008579354:0/ - mailruanchor_" xr:uid="{39B146D8-2633-D44F-B940-7D2F6E3DBDAB}"/>
    <hyperlink ref="A9" r:id="rId8" location="mailruanchor_" display="https://e.mail.ru/inbox/0:16850640371008579354:0/ - mailruanchor_" xr:uid="{3AAFFE29-60CF-9549-A8F5-1CAED7A6D3CF}"/>
    <hyperlink ref="A10" r:id="rId9" location="mailruanchor_" display="https://e.mail.ru/inbox/0:16850640371008579354:0/ - mailruanchor_" xr:uid="{69F9FF16-03EE-3C44-B2BB-206052F0D8F0}"/>
    <hyperlink ref="A11" r:id="rId10" location="mailruanchor_" display="https://e.mail.ru/inbox/0:16850640371008579354:0/ - mailruanchor_" xr:uid="{DD46F5B0-C976-CC4F-8340-45E9ABCFF9A0}"/>
    <hyperlink ref="A12" r:id="rId11" location="mailruanchor_" display="https://e.mail.ru/inbox/0:16850640371008579354:0/ - mailruanchor_" xr:uid="{ACB0162A-CED9-7D42-BF47-5F3626EAF712}"/>
    <hyperlink ref="A13" r:id="rId12" location="mailruanchor_" display="https://e.mail.ru/inbox/0:16850640371008579354:0/ - mailruanchor_" xr:uid="{734DBD66-9E1A-4E46-BBBD-07F180923B62}"/>
    <hyperlink ref="A14" r:id="rId13" location="mailruanchor_" display="https://e.mail.ru/inbox/0:16850640371008579354:0/ - mailruanchor_" xr:uid="{6CE2309C-8119-9A46-AC3D-EBAF036E53E6}"/>
    <hyperlink ref="A15" r:id="rId14" location="mailruanchor_" display="https://e.mail.ru/inbox/0:16850640371008579354:0/ - mailruanchor_" xr:uid="{E87DC269-5FC1-BC4B-ABDC-7AB2EC52A7FB}"/>
    <hyperlink ref="A16" r:id="rId15" location="mailruanchor_" display="https://e.mail.ru/inbox/0:16850640371008579354:0/ - mailruanchor_" xr:uid="{D8FD2C0D-15AB-B14D-9286-F6E3B9998BC8}"/>
    <hyperlink ref="A17" r:id="rId16" location="mailruanchor_" display="https://e.mail.ru/inbox/0:16850640371008579354:0/ - mailruanchor_" xr:uid="{FA0F804E-92AF-E848-A360-5D8134B53D19}"/>
    <hyperlink ref="A18" r:id="rId17" location="mailruanchor_" display="https://e.mail.ru/inbox/0:16850640371008579354:0/ - mailruanchor_" xr:uid="{D9D67B66-46C9-1B4E-A575-79404BB5E8BD}"/>
    <hyperlink ref="A19" r:id="rId18" location="mailruanchor_" display="https://e.mail.ru/inbox/0:16850640371008579354:0/ - mailruanchor_" xr:uid="{08EB5EAE-51C4-0143-9DBC-D585C1660BEB}"/>
    <hyperlink ref="A20" r:id="rId19" location="mailruanchor_" display="https://e.mail.ru/inbox/0:16850640371008579354:0/ - mailruanchor_" xr:uid="{81969112-0331-8242-8DBE-6994BD66FD69}"/>
    <hyperlink ref="A21" r:id="rId20" location="mailruanchor_" display="https://e.mail.ru/inbox/0:16850640371008579354:0/ - mailruanchor_" xr:uid="{DE0BCB2D-96DD-A64E-8578-2B8861F4FAE5}"/>
    <hyperlink ref="A22" r:id="rId21" location="mailruanchor_" display="https://e.mail.ru/inbox/0:16850640371008579354:0/ - mailruanchor_" xr:uid="{F0FE94BA-1BA0-094F-9FCD-5CFB6A27AC3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8:W57"/>
  <sheetViews>
    <sheetView topLeftCell="G12" zoomScale="118" workbookViewId="0">
      <selection activeCell="Y26" sqref="Y26"/>
    </sheetView>
  </sheetViews>
  <sheetFormatPr baseColWidth="10" defaultColWidth="8.83203125" defaultRowHeight="15" x14ac:dyDescent="0.2"/>
  <cols>
    <col min="2" max="2" width="4.5" customWidth="1"/>
    <col min="3" max="4" width="9.1640625" hidden="1" customWidth="1"/>
    <col min="5" max="5" width="20.5" customWidth="1"/>
    <col min="6" max="6" width="18.83203125" customWidth="1"/>
    <col min="7" max="7" width="15.33203125" customWidth="1"/>
    <col min="8" max="8" width="15.1640625" customWidth="1"/>
    <col min="9" max="9" width="14" customWidth="1"/>
    <col min="11" max="11" width="1.5" customWidth="1"/>
    <col min="12" max="12" width="23.33203125" bestFit="1" customWidth="1"/>
    <col min="13" max="13" width="12.6640625" hidden="1" customWidth="1"/>
    <col min="14" max="14" width="11.33203125" hidden="1" customWidth="1"/>
    <col min="15" max="15" width="10.33203125" hidden="1" customWidth="1"/>
    <col min="16" max="16" width="11.83203125" hidden="1" customWidth="1"/>
    <col min="17" max="17" width="16.33203125" hidden="1" customWidth="1"/>
    <col min="18" max="18" width="12.6640625" hidden="1" customWidth="1"/>
    <col min="19" max="19" width="6.83203125" customWidth="1"/>
    <col min="20" max="20" width="5.5" hidden="1" customWidth="1"/>
    <col min="21" max="21" width="6.5" hidden="1" customWidth="1"/>
    <col min="22" max="22" width="15" bestFit="1" customWidth="1"/>
  </cols>
  <sheetData>
    <row r="8" spans="5:23" x14ac:dyDescent="0.2">
      <c r="E8" s="71"/>
      <c r="F8" s="71"/>
      <c r="G8" s="71"/>
      <c r="H8" s="71"/>
      <c r="I8" s="71"/>
      <c r="L8" s="87" t="s">
        <v>12</v>
      </c>
    </row>
    <row r="9" spans="5:23" ht="17" x14ac:dyDescent="0.2">
      <c r="E9" s="89"/>
      <c r="F9" s="89"/>
      <c r="G9" s="89"/>
      <c r="H9" s="89"/>
      <c r="I9" s="89"/>
      <c r="L9" s="83" t="s">
        <v>92</v>
      </c>
      <c r="M9" s="83" t="s">
        <v>59</v>
      </c>
      <c r="N9" s="83" t="s">
        <v>93</v>
      </c>
      <c r="O9" s="83" t="s">
        <v>94</v>
      </c>
      <c r="P9" s="83" t="s">
        <v>95</v>
      </c>
      <c r="Q9" s="83" t="s">
        <v>96</v>
      </c>
      <c r="R9" s="83" t="s">
        <v>97</v>
      </c>
      <c r="S9" s="83" t="s">
        <v>98</v>
      </c>
      <c r="T9" s="83" t="s">
        <v>99</v>
      </c>
      <c r="U9" s="83" t="s">
        <v>100</v>
      </c>
      <c r="V9" s="83" t="s">
        <v>10</v>
      </c>
    </row>
    <row r="10" spans="5:23" ht="18" x14ac:dyDescent="0.2">
      <c r="E10" s="71"/>
      <c r="F10" s="71"/>
      <c r="G10" s="71"/>
      <c r="H10" s="71"/>
      <c r="I10" s="71"/>
      <c r="L10" s="84" t="s">
        <v>87</v>
      </c>
      <c r="M10" s="85">
        <v>2.5</v>
      </c>
      <c r="N10" s="85">
        <v>0.26600000000000001</v>
      </c>
      <c r="O10" s="85">
        <v>1.2030000000000001</v>
      </c>
      <c r="P10" s="85">
        <v>3.181</v>
      </c>
      <c r="Q10" s="85">
        <v>0.55300000000000005</v>
      </c>
      <c r="R10" s="85">
        <v>1.72</v>
      </c>
      <c r="S10" s="85">
        <v>317</v>
      </c>
      <c r="T10" s="85">
        <v>5</v>
      </c>
      <c r="U10" s="85">
        <v>0</v>
      </c>
      <c r="V10" s="85">
        <f>3*98</f>
        <v>294</v>
      </c>
      <c r="W10" s="86">
        <f>1-V10/S10</f>
        <v>7.2555205047318605E-2</v>
      </c>
    </row>
    <row r="11" spans="5:23" ht="18" x14ac:dyDescent="0.2">
      <c r="E11" s="90"/>
      <c r="F11" s="90"/>
      <c r="G11" s="90"/>
      <c r="H11" s="90"/>
      <c r="I11" s="90"/>
      <c r="L11" s="84" t="s">
        <v>85</v>
      </c>
      <c r="M11" s="85">
        <v>2.5</v>
      </c>
      <c r="N11" s="85">
        <v>0.153</v>
      </c>
      <c r="O11" s="85">
        <v>0.193</v>
      </c>
      <c r="P11" s="85">
        <v>0.51200000000000001</v>
      </c>
      <c r="Q11" s="85">
        <v>3.6999999999999998E-2</v>
      </c>
      <c r="R11" s="85">
        <v>0.224</v>
      </c>
      <c r="S11" s="85">
        <v>297</v>
      </c>
      <c r="T11" s="85">
        <v>0</v>
      </c>
      <c r="U11" s="85">
        <v>0</v>
      </c>
      <c r="V11" s="85">
        <f>3*89</f>
        <v>267</v>
      </c>
      <c r="W11" s="86">
        <f t="shared" ref="W11:W21" si="0">1-V11/S11</f>
        <v>0.10101010101010099</v>
      </c>
    </row>
    <row r="12" spans="5:23" ht="18" x14ac:dyDescent="0.2">
      <c r="E12" s="91"/>
      <c r="F12" s="92"/>
      <c r="G12" s="93"/>
      <c r="H12" s="92"/>
      <c r="I12" s="94"/>
      <c r="L12" s="84" t="s">
        <v>88</v>
      </c>
      <c r="M12" s="85">
        <v>2.5</v>
      </c>
      <c r="N12" s="85">
        <v>0.182</v>
      </c>
      <c r="O12" s="85">
        <v>0.34699999999999998</v>
      </c>
      <c r="P12" s="85">
        <v>1.31</v>
      </c>
      <c r="Q12" s="85">
        <v>0.14299999999999999</v>
      </c>
      <c r="R12" s="85">
        <v>0.45500000000000002</v>
      </c>
      <c r="S12" s="85">
        <v>71</v>
      </c>
      <c r="T12" s="85">
        <v>0</v>
      </c>
      <c r="U12" s="85">
        <v>0</v>
      </c>
      <c r="V12" s="85">
        <f>3*23</f>
        <v>69</v>
      </c>
      <c r="W12" s="86">
        <f t="shared" si="0"/>
        <v>2.8169014084507005E-2</v>
      </c>
    </row>
    <row r="13" spans="5:23" ht="18" x14ac:dyDescent="0.2">
      <c r="E13" s="91"/>
      <c r="F13" s="92"/>
      <c r="G13" s="93"/>
      <c r="H13" s="92"/>
      <c r="I13" s="94"/>
      <c r="L13" s="84" t="s">
        <v>83</v>
      </c>
      <c r="M13" s="85">
        <v>2.5</v>
      </c>
      <c r="N13" s="85">
        <v>0.28399999999999997</v>
      </c>
      <c r="O13" s="85">
        <v>0.41699999999999998</v>
      </c>
      <c r="P13" s="85">
        <v>1.016</v>
      </c>
      <c r="Q13" s="85">
        <v>0.108</v>
      </c>
      <c r="R13" s="85">
        <v>0.54600000000000004</v>
      </c>
      <c r="S13" s="85">
        <v>341</v>
      </c>
      <c r="T13" s="85">
        <v>0</v>
      </c>
      <c r="U13" s="85">
        <v>0</v>
      </c>
      <c r="V13" s="85">
        <f>3*103</f>
        <v>309</v>
      </c>
      <c r="W13" s="86">
        <f t="shared" si="0"/>
        <v>9.3841642228739031E-2</v>
      </c>
    </row>
    <row r="14" spans="5:23" ht="18" x14ac:dyDescent="0.2">
      <c r="E14" s="91"/>
      <c r="F14" s="92"/>
      <c r="G14" s="93"/>
      <c r="H14" s="92"/>
      <c r="I14" s="94"/>
      <c r="L14" s="84" t="s">
        <v>11</v>
      </c>
      <c r="M14" s="85">
        <v>2.5</v>
      </c>
      <c r="N14" s="85">
        <v>0.26400000000000001</v>
      </c>
      <c r="O14" s="85">
        <v>0.45300000000000001</v>
      </c>
      <c r="P14" s="85">
        <v>3.3439999999999999</v>
      </c>
      <c r="Q14" s="85">
        <v>0.33900000000000002</v>
      </c>
      <c r="R14" s="85">
        <v>0.67200000000000004</v>
      </c>
      <c r="S14" s="85">
        <v>457</v>
      </c>
      <c r="T14" s="85">
        <v>0</v>
      </c>
      <c r="U14" s="85">
        <v>0</v>
      </c>
      <c r="V14" s="85">
        <f>3*138</f>
        <v>414</v>
      </c>
      <c r="W14" s="86">
        <f t="shared" si="0"/>
        <v>9.4091903719912495E-2</v>
      </c>
    </row>
    <row r="15" spans="5:23" ht="18" x14ac:dyDescent="0.2">
      <c r="E15" s="91"/>
      <c r="F15" s="92"/>
      <c r="G15" s="93"/>
      <c r="H15" s="92"/>
      <c r="I15" s="95"/>
      <c r="L15" s="84" t="s">
        <v>82</v>
      </c>
      <c r="M15" s="85">
        <v>2.5</v>
      </c>
      <c r="N15" s="85">
        <v>0.186</v>
      </c>
      <c r="O15" s="85">
        <v>0.36799999999999999</v>
      </c>
      <c r="P15" s="85">
        <v>3.8380000000000001</v>
      </c>
      <c r="Q15" s="85">
        <v>0.33700000000000002</v>
      </c>
      <c r="R15" s="85">
        <v>0.438</v>
      </c>
      <c r="S15" s="85">
        <v>564</v>
      </c>
      <c r="T15" s="85">
        <v>0</v>
      </c>
      <c r="U15" s="85">
        <v>0</v>
      </c>
      <c r="V15" s="85">
        <f>3*170</f>
        <v>510</v>
      </c>
      <c r="W15" s="86">
        <f t="shared" si="0"/>
        <v>9.5744680851063801E-2</v>
      </c>
    </row>
    <row r="16" spans="5:23" ht="18" x14ac:dyDescent="0.2">
      <c r="E16" s="91"/>
      <c r="F16" s="92"/>
      <c r="G16" s="93"/>
      <c r="H16" s="93"/>
      <c r="I16" s="94"/>
      <c r="L16" s="84" t="s">
        <v>101</v>
      </c>
      <c r="M16" s="85">
        <v>2.5</v>
      </c>
      <c r="N16" s="85">
        <v>0.26</v>
      </c>
      <c r="O16" s="85">
        <v>0.42499999999999999</v>
      </c>
      <c r="P16" s="85">
        <v>3.7749999999999999</v>
      </c>
      <c r="Q16" s="85">
        <v>0.39500000000000002</v>
      </c>
      <c r="R16" s="85">
        <v>0.59199999999999997</v>
      </c>
      <c r="S16" s="85">
        <v>107</v>
      </c>
      <c r="T16" s="85">
        <v>0</v>
      </c>
      <c r="U16" s="85">
        <v>0</v>
      </c>
      <c r="V16" s="85">
        <f>3*32</f>
        <v>96</v>
      </c>
      <c r="W16" s="86">
        <f t="shared" si="0"/>
        <v>0.10280373831775702</v>
      </c>
    </row>
    <row r="17" spans="5:23" ht="18" x14ac:dyDescent="0.2">
      <c r="E17" s="91"/>
      <c r="F17" s="92"/>
      <c r="G17" s="93"/>
      <c r="H17" s="92"/>
      <c r="I17" s="94"/>
      <c r="L17" s="84" t="s">
        <v>86</v>
      </c>
      <c r="M17" s="85">
        <v>2.5</v>
      </c>
      <c r="N17" s="85">
        <v>0.159</v>
      </c>
      <c r="O17" s="85">
        <v>0.20699999999999999</v>
      </c>
      <c r="P17" s="85">
        <v>0.41399999999999998</v>
      </c>
      <c r="Q17" s="85">
        <v>4.2999999999999997E-2</v>
      </c>
      <c r="R17" s="85">
        <v>0.25700000000000001</v>
      </c>
      <c r="S17" s="85">
        <v>202</v>
      </c>
      <c r="T17" s="85">
        <v>0</v>
      </c>
      <c r="U17" s="85">
        <v>0</v>
      </c>
      <c r="V17" s="85">
        <f>3*62</f>
        <v>186</v>
      </c>
      <c r="W17" s="86">
        <f t="shared" si="0"/>
        <v>7.9207920792079167E-2</v>
      </c>
    </row>
    <row r="18" spans="5:23" ht="18" x14ac:dyDescent="0.2">
      <c r="E18" s="91"/>
      <c r="F18" s="92"/>
      <c r="G18" s="93"/>
      <c r="H18" s="92"/>
      <c r="I18" s="94"/>
      <c r="L18" s="84" t="s">
        <v>90</v>
      </c>
      <c r="M18" s="85">
        <v>2.5</v>
      </c>
      <c r="N18" s="85">
        <v>0.13100000000000001</v>
      </c>
      <c r="O18" s="85">
        <v>0.184</v>
      </c>
      <c r="P18" s="85">
        <v>0.749</v>
      </c>
      <c r="Q18" s="85">
        <v>0.08</v>
      </c>
      <c r="R18" s="85">
        <v>0.23499999999999999</v>
      </c>
      <c r="S18" s="85">
        <v>107</v>
      </c>
      <c r="T18" s="85">
        <v>0</v>
      </c>
      <c r="U18" s="85">
        <v>0</v>
      </c>
      <c r="V18" s="85">
        <f>3*32</f>
        <v>96</v>
      </c>
      <c r="W18" s="86">
        <f t="shared" si="0"/>
        <v>0.10280373831775702</v>
      </c>
    </row>
    <row r="19" spans="5:23" ht="18" x14ac:dyDescent="0.2">
      <c r="E19" s="71"/>
      <c r="F19" s="71"/>
      <c r="G19" s="71"/>
      <c r="H19" s="71"/>
      <c r="I19" s="71"/>
      <c r="L19" s="84" t="s">
        <v>89</v>
      </c>
      <c r="M19" s="85">
        <v>2.5</v>
      </c>
      <c r="N19" s="85">
        <v>0.23499999999999999</v>
      </c>
      <c r="O19" s="85">
        <v>0.307</v>
      </c>
      <c r="P19" s="85">
        <v>2.0129999999999999</v>
      </c>
      <c r="Q19" s="85">
        <v>0.14899999999999999</v>
      </c>
      <c r="R19" s="85">
        <v>0.35599999999999998</v>
      </c>
      <c r="S19" s="85">
        <v>366</v>
      </c>
      <c r="T19" s="85">
        <v>0</v>
      </c>
      <c r="U19" s="85">
        <v>0</v>
      </c>
      <c r="V19" s="85">
        <f>3*112</f>
        <v>336</v>
      </c>
      <c r="W19" s="86">
        <f t="shared" si="0"/>
        <v>8.1967213114754078E-2</v>
      </c>
    </row>
    <row r="20" spans="5:23" ht="18" x14ac:dyDescent="0.2">
      <c r="E20" s="71"/>
      <c r="F20" s="71"/>
      <c r="G20" s="71"/>
      <c r="H20" s="71"/>
      <c r="I20" s="71"/>
      <c r="L20" s="84" t="s">
        <v>91</v>
      </c>
      <c r="M20" s="85">
        <v>2.5</v>
      </c>
      <c r="N20" s="85">
        <v>0.157</v>
      </c>
      <c r="O20" s="85">
        <v>0.21099999999999999</v>
      </c>
      <c r="P20" s="85">
        <v>0.61399999999999999</v>
      </c>
      <c r="Q20" s="85">
        <v>7.1999999999999995E-2</v>
      </c>
      <c r="R20" s="85">
        <v>0.26300000000000001</v>
      </c>
      <c r="S20" s="85">
        <v>107</v>
      </c>
      <c r="T20" s="85">
        <v>0</v>
      </c>
      <c r="U20" s="85">
        <v>0</v>
      </c>
      <c r="V20" s="85">
        <f>3*32</f>
        <v>96</v>
      </c>
      <c r="W20" s="86">
        <f t="shared" si="0"/>
        <v>0.10280373831775702</v>
      </c>
    </row>
    <row r="21" spans="5:23" ht="18" x14ac:dyDescent="0.2">
      <c r="E21" s="71"/>
      <c r="F21" s="71"/>
      <c r="G21" s="71"/>
      <c r="H21" s="71"/>
      <c r="I21" s="71"/>
      <c r="L21" s="84" t="s">
        <v>84</v>
      </c>
      <c r="M21" s="85">
        <v>2.5</v>
      </c>
      <c r="N21" s="85">
        <v>0.14699999999999999</v>
      </c>
      <c r="O21" s="85">
        <v>0.21299999999999999</v>
      </c>
      <c r="P21" s="85">
        <v>0.98699999999999999</v>
      </c>
      <c r="Q21" s="85">
        <v>0.105</v>
      </c>
      <c r="R21" s="85">
        <v>0.27900000000000003</v>
      </c>
      <c r="S21" s="85">
        <v>297</v>
      </c>
      <c r="T21" s="85">
        <v>0</v>
      </c>
      <c r="U21" s="85">
        <v>0</v>
      </c>
      <c r="V21" s="85">
        <f>3*89</f>
        <v>267</v>
      </c>
      <c r="W21" s="86">
        <f t="shared" si="0"/>
        <v>0.10101010101010099</v>
      </c>
    </row>
    <row r="22" spans="5:23" ht="18" x14ac:dyDescent="0.2">
      <c r="E22" s="71"/>
      <c r="F22" s="71"/>
      <c r="G22" s="71"/>
      <c r="H22" s="71"/>
      <c r="I22" s="71"/>
      <c r="L22" s="84"/>
      <c r="M22" s="85"/>
      <c r="N22" s="85"/>
      <c r="O22" s="85"/>
      <c r="P22" s="85"/>
      <c r="Q22" s="85"/>
      <c r="R22" s="85"/>
      <c r="S22" s="85"/>
      <c r="T22" s="85"/>
      <c r="U22" s="85"/>
    </row>
    <row r="23" spans="5:23" ht="18" x14ac:dyDescent="0.2">
      <c r="E23" s="89"/>
      <c r="F23" s="89"/>
      <c r="G23" s="89"/>
      <c r="H23" s="89"/>
      <c r="I23" s="89"/>
      <c r="L23" s="88" t="s">
        <v>13</v>
      </c>
      <c r="M23" s="85"/>
      <c r="N23" s="85"/>
      <c r="O23" s="85"/>
      <c r="P23" s="85"/>
      <c r="Q23" s="85"/>
      <c r="R23" s="85"/>
      <c r="S23" s="85"/>
      <c r="T23" s="85"/>
      <c r="U23" s="85"/>
    </row>
    <row r="24" spans="5:23" ht="17" x14ac:dyDescent="0.2">
      <c r="E24" s="71"/>
      <c r="F24" s="71"/>
      <c r="G24" s="71"/>
      <c r="H24" s="71"/>
      <c r="I24" s="71"/>
      <c r="L24" s="83" t="s">
        <v>92</v>
      </c>
      <c r="M24" s="83" t="s">
        <v>59</v>
      </c>
      <c r="N24" s="83" t="s">
        <v>93</v>
      </c>
      <c r="O24" s="83" t="s">
        <v>94</v>
      </c>
      <c r="P24" s="83" t="s">
        <v>95</v>
      </c>
      <c r="Q24" s="83" t="s">
        <v>96</v>
      </c>
      <c r="R24" s="83" t="s">
        <v>97</v>
      </c>
      <c r="S24" s="83" t="s">
        <v>98</v>
      </c>
      <c r="T24" s="83" t="s">
        <v>99</v>
      </c>
      <c r="U24" s="83" t="s">
        <v>100</v>
      </c>
    </row>
    <row r="25" spans="5:23" ht="18" x14ac:dyDescent="0.2">
      <c r="E25" s="96"/>
      <c r="F25" s="96"/>
      <c r="G25" s="96"/>
      <c r="H25" s="96"/>
      <c r="I25" s="96"/>
      <c r="L25" s="84" t="s">
        <v>87</v>
      </c>
      <c r="M25" s="85">
        <v>2.5</v>
      </c>
      <c r="N25" s="85">
        <v>0.253</v>
      </c>
      <c r="O25" s="85">
        <v>0.747</v>
      </c>
      <c r="P25" s="85">
        <v>5.6609999999999996</v>
      </c>
      <c r="Q25" s="85">
        <v>0.55400000000000005</v>
      </c>
      <c r="R25" s="85">
        <v>1.216</v>
      </c>
      <c r="S25" s="85">
        <v>676</v>
      </c>
      <c r="T25" s="85">
        <v>50</v>
      </c>
      <c r="U25" s="85">
        <v>0</v>
      </c>
      <c r="V25" s="85">
        <f>5*98</f>
        <v>490</v>
      </c>
      <c r="W25" s="86">
        <f>1-V25/S25</f>
        <v>0.2751479289940828</v>
      </c>
    </row>
    <row r="26" spans="5:23" ht="18" x14ac:dyDescent="0.2">
      <c r="E26" s="97"/>
      <c r="F26" s="98"/>
      <c r="G26" s="96"/>
      <c r="H26" s="99"/>
      <c r="I26" s="100"/>
      <c r="L26" s="84" t="s">
        <v>85</v>
      </c>
      <c r="M26" s="85">
        <v>2.5</v>
      </c>
      <c r="N26" s="85">
        <v>0.157</v>
      </c>
      <c r="O26" s="85">
        <v>0.23499999999999999</v>
      </c>
      <c r="P26" s="85">
        <v>3.2810000000000001</v>
      </c>
      <c r="Q26" s="85">
        <v>0.189</v>
      </c>
      <c r="R26" s="85">
        <v>0.29199999999999998</v>
      </c>
      <c r="S26" s="85">
        <v>738</v>
      </c>
      <c r="T26" s="85">
        <v>0</v>
      </c>
      <c r="U26" s="85">
        <v>0</v>
      </c>
      <c r="V26" s="85">
        <f>5*89</f>
        <v>445</v>
      </c>
      <c r="W26" s="86">
        <f t="shared" ref="W26:W36" si="1">1-V26/S26</f>
        <v>0.39701897018970189</v>
      </c>
    </row>
    <row r="27" spans="5:23" ht="18" x14ac:dyDescent="0.2">
      <c r="E27" s="97"/>
      <c r="F27" s="98"/>
      <c r="G27" s="96"/>
      <c r="H27" s="99"/>
      <c r="I27" s="100"/>
      <c r="L27" s="84" t="s">
        <v>88</v>
      </c>
      <c r="M27" s="85">
        <v>2.5</v>
      </c>
      <c r="N27" s="85">
        <v>0.14199999999999999</v>
      </c>
      <c r="O27" s="85">
        <v>0.42399999999999999</v>
      </c>
      <c r="P27" s="85">
        <v>5.2850000000000001</v>
      </c>
      <c r="Q27" s="85">
        <v>0.77300000000000002</v>
      </c>
      <c r="R27" s="85">
        <v>0.60899999999999999</v>
      </c>
      <c r="S27" s="85">
        <v>94</v>
      </c>
      <c r="T27" s="85">
        <v>0</v>
      </c>
      <c r="U27" s="85">
        <v>0</v>
      </c>
      <c r="V27" s="85">
        <f>5*23</f>
        <v>115</v>
      </c>
      <c r="W27" s="86">
        <f t="shared" si="1"/>
        <v>-0.22340425531914887</v>
      </c>
    </row>
    <row r="28" spans="5:23" ht="18" x14ac:dyDescent="0.2">
      <c r="E28" s="97"/>
      <c r="F28" s="98"/>
      <c r="G28" s="96"/>
      <c r="H28" s="99"/>
      <c r="I28" s="100"/>
      <c r="L28" s="84" t="s">
        <v>83</v>
      </c>
      <c r="M28" s="85">
        <v>2.5</v>
      </c>
      <c r="N28" s="85">
        <v>0.28699999999999998</v>
      </c>
      <c r="O28" s="85">
        <v>0.54</v>
      </c>
      <c r="P28" s="85">
        <v>8.4670000000000005</v>
      </c>
      <c r="Q28" s="85">
        <v>0.73499999999999999</v>
      </c>
      <c r="R28" s="85">
        <v>0.60199999999999998</v>
      </c>
      <c r="S28" s="85">
        <v>843</v>
      </c>
      <c r="T28" s="85">
        <v>0</v>
      </c>
      <c r="U28" s="85">
        <v>0</v>
      </c>
      <c r="V28" s="85">
        <f>5*103</f>
        <v>515</v>
      </c>
      <c r="W28" s="86">
        <f t="shared" si="1"/>
        <v>0.38908659549228941</v>
      </c>
    </row>
    <row r="29" spans="5:23" ht="18" x14ac:dyDescent="0.2">
      <c r="E29" s="97"/>
      <c r="F29" s="98"/>
      <c r="G29" s="96"/>
      <c r="H29" s="99"/>
      <c r="I29" s="101"/>
      <c r="L29" s="84" t="s">
        <v>11</v>
      </c>
      <c r="M29" s="85">
        <v>2.5</v>
      </c>
      <c r="N29" s="85">
        <v>0.26300000000000001</v>
      </c>
      <c r="O29" s="85">
        <v>1.141</v>
      </c>
      <c r="P29" s="85">
        <v>12.962</v>
      </c>
      <c r="Q29" s="85">
        <v>1.899</v>
      </c>
      <c r="R29" s="85">
        <v>2.9569999999999999</v>
      </c>
      <c r="S29" s="85">
        <v>1101</v>
      </c>
      <c r="T29" s="85">
        <v>0</v>
      </c>
      <c r="U29" s="85">
        <v>0</v>
      </c>
      <c r="V29" s="85">
        <f>5*138</f>
        <v>690</v>
      </c>
      <c r="W29" s="86">
        <f t="shared" si="1"/>
        <v>0.3732970027247956</v>
      </c>
    </row>
    <row r="30" spans="5:23" ht="18" x14ac:dyDescent="0.2">
      <c r="E30" s="97"/>
      <c r="F30" s="98"/>
      <c r="G30" s="96"/>
      <c r="H30" s="99"/>
      <c r="I30" s="100"/>
      <c r="L30" s="84" t="s">
        <v>82</v>
      </c>
      <c r="M30" s="85">
        <v>2.5</v>
      </c>
      <c r="N30" s="85">
        <v>0.247</v>
      </c>
      <c r="O30" s="85">
        <v>0.59199999999999997</v>
      </c>
      <c r="P30" s="85">
        <v>10.744</v>
      </c>
      <c r="Q30" s="85">
        <v>1.1140000000000001</v>
      </c>
      <c r="R30" s="85">
        <v>0.622</v>
      </c>
      <c r="S30" s="85">
        <v>1404</v>
      </c>
      <c r="T30" s="85">
        <v>0</v>
      </c>
      <c r="U30" s="85">
        <v>0</v>
      </c>
      <c r="V30" s="85">
        <f>5*170</f>
        <v>850</v>
      </c>
      <c r="W30" s="86">
        <f t="shared" si="1"/>
        <v>0.39458689458689455</v>
      </c>
    </row>
    <row r="31" spans="5:23" ht="18" x14ac:dyDescent="0.2">
      <c r="E31" s="97"/>
      <c r="F31" s="98"/>
      <c r="G31" s="96"/>
      <c r="H31" s="99"/>
      <c r="I31" s="100"/>
      <c r="L31" s="84" t="s">
        <v>101</v>
      </c>
      <c r="M31" s="85">
        <v>2.5</v>
      </c>
      <c r="N31" s="85">
        <v>0.26300000000000001</v>
      </c>
      <c r="O31" s="85">
        <v>0.67900000000000005</v>
      </c>
      <c r="P31" s="85">
        <v>11.202</v>
      </c>
      <c r="Q31" s="85">
        <v>1.2010000000000001</v>
      </c>
      <c r="R31" s="85">
        <v>0.93500000000000005</v>
      </c>
      <c r="S31" s="85">
        <v>303</v>
      </c>
      <c r="T31" s="85">
        <v>0</v>
      </c>
      <c r="U31" s="85">
        <v>0</v>
      </c>
      <c r="V31" s="85">
        <f>5*32</f>
        <v>160</v>
      </c>
      <c r="W31" s="86">
        <f t="shared" si="1"/>
        <v>0.471947194719472</v>
      </c>
    </row>
    <row r="32" spans="5:23" ht="18" x14ac:dyDescent="0.2">
      <c r="E32" s="97"/>
      <c r="F32" s="98"/>
      <c r="G32" s="96"/>
      <c r="H32" s="99"/>
      <c r="I32" s="100"/>
      <c r="L32" s="84" t="s">
        <v>86</v>
      </c>
      <c r="M32" s="85">
        <v>2.5</v>
      </c>
      <c r="N32" s="85">
        <v>0.16400000000000001</v>
      </c>
      <c r="O32" s="85">
        <v>0.307</v>
      </c>
      <c r="P32" s="85">
        <v>3.1989999999999998</v>
      </c>
      <c r="Q32" s="85">
        <v>0.39600000000000002</v>
      </c>
      <c r="R32" s="85">
        <v>0.36</v>
      </c>
      <c r="S32" s="85">
        <v>477</v>
      </c>
      <c r="T32" s="85">
        <v>0</v>
      </c>
      <c r="U32" s="85">
        <v>0</v>
      </c>
      <c r="V32" s="85">
        <f>5*62</f>
        <v>310</v>
      </c>
      <c r="W32" s="86">
        <f t="shared" si="1"/>
        <v>0.35010482180293501</v>
      </c>
    </row>
    <row r="33" spans="5:23" ht="18" x14ac:dyDescent="0.2">
      <c r="E33" s="71"/>
      <c r="F33" s="71"/>
      <c r="G33" s="71"/>
      <c r="H33" s="71"/>
      <c r="I33" s="71"/>
      <c r="L33" s="84" t="s">
        <v>90</v>
      </c>
      <c r="M33" s="85">
        <v>2.5</v>
      </c>
      <c r="N33" s="85">
        <v>0.13600000000000001</v>
      </c>
      <c r="O33" s="85">
        <v>0.28499999999999998</v>
      </c>
      <c r="P33" s="85">
        <v>3.339</v>
      </c>
      <c r="Q33" s="85">
        <v>0.38</v>
      </c>
      <c r="R33" s="85">
        <v>0.33100000000000002</v>
      </c>
      <c r="S33" s="85">
        <v>303</v>
      </c>
      <c r="T33" s="85">
        <v>0</v>
      </c>
      <c r="U33" s="85">
        <v>0</v>
      </c>
      <c r="V33" s="85">
        <f>5*32</f>
        <v>160</v>
      </c>
      <c r="W33" s="86">
        <f t="shared" si="1"/>
        <v>0.471947194719472</v>
      </c>
    </row>
    <row r="34" spans="5:23" ht="18" x14ac:dyDescent="0.2">
      <c r="E34" s="71"/>
      <c r="F34" s="71"/>
      <c r="G34" s="71"/>
      <c r="H34" s="71"/>
      <c r="I34" s="71"/>
      <c r="L34" s="84" t="s">
        <v>89</v>
      </c>
      <c r="M34" s="85">
        <v>2.5</v>
      </c>
      <c r="N34" s="85">
        <v>0.24</v>
      </c>
      <c r="O34" s="85">
        <v>0.33900000000000002</v>
      </c>
      <c r="P34" s="85">
        <v>1.8540000000000001</v>
      </c>
      <c r="Q34" s="85">
        <v>0.128</v>
      </c>
      <c r="R34" s="85">
        <v>0.43</v>
      </c>
      <c r="S34" s="85">
        <v>832</v>
      </c>
      <c r="T34" s="85">
        <v>0</v>
      </c>
      <c r="U34" s="85">
        <v>0</v>
      </c>
      <c r="V34" s="85">
        <f>5*112</f>
        <v>560</v>
      </c>
      <c r="W34" s="86">
        <f t="shared" si="1"/>
        <v>0.32692307692307687</v>
      </c>
    </row>
    <row r="35" spans="5:23" ht="18" x14ac:dyDescent="0.2">
      <c r="E35" s="89"/>
      <c r="F35" s="89"/>
      <c r="G35" s="89"/>
      <c r="H35" s="89"/>
      <c r="I35" s="89"/>
      <c r="L35" s="84" t="s">
        <v>91</v>
      </c>
      <c r="M35" s="85">
        <v>2.5</v>
      </c>
      <c r="N35" s="85">
        <v>0.161</v>
      </c>
      <c r="O35" s="85">
        <v>0.39900000000000002</v>
      </c>
      <c r="P35" s="85">
        <v>9.6</v>
      </c>
      <c r="Q35" s="85">
        <v>0.94799999999999995</v>
      </c>
      <c r="R35" s="85">
        <v>0.48699999999999999</v>
      </c>
      <c r="S35" s="85">
        <v>303</v>
      </c>
      <c r="T35" s="85">
        <v>0</v>
      </c>
      <c r="U35" s="85">
        <v>0</v>
      </c>
      <c r="V35" s="85">
        <f>5*32</f>
        <v>160</v>
      </c>
      <c r="W35" s="86">
        <f t="shared" si="1"/>
        <v>0.471947194719472</v>
      </c>
    </row>
    <row r="36" spans="5:23" ht="18" x14ac:dyDescent="0.2">
      <c r="E36" s="71"/>
      <c r="F36" s="71"/>
      <c r="G36" s="71"/>
      <c r="H36" s="71"/>
      <c r="I36" s="71"/>
      <c r="L36" s="84" t="s">
        <v>84</v>
      </c>
      <c r="M36" s="85">
        <v>2.5</v>
      </c>
      <c r="N36" s="85">
        <v>0.152</v>
      </c>
      <c r="O36" s="85">
        <v>0.35799999999999998</v>
      </c>
      <c r="P36" s="85">
        <v>5.2469999999999999</v>
      </c>
      <c r="Q36" s="85">
        <v>0.59599999999999997</v>
      </c>
      <c r="R36" s="85">
        <v>0.51800000000000002</v>
      </c>
      <c r="S36" s="85">
        <v>738</v>
      </c>
      <c r="T36" s="85">
        <v>0</v>
      </c>
      <c r="U36" s="85">
        <v>0</v>
      </c>
      <c r="V36" s="85">
        <f>5*89</f>
        <v>445</v>
      </c>
      <c r="W36" s="86">
        <f t="shared" si="1"/>
        <v>0.39701897018970189</v>
      </c>
    </row>
    <row r="37" spans="5:23" x14ac:dyDescent="0.2">
      <c r="E37" s="96"/>
      <c r="F37" s="96"/>
      <c r="G37" s="96"/>
      <c r="H37" s="96"/>
      <c r="I37" s="96"/>
    </row>
    <row r="38" spans="5:23" ht="16" x14ac:dyDescent="0.2">
      <c r="E38" s="97"/>
      <c r="F38" s="98"/>
      <c r="G38" s="96"/>
      <c r="H38" s="99"/>
      <c r="I38" s="100"/>
    </row>
    <row r="39" spans="5:23" ht="16" x14ac:dyDescent="0.2">
      <c r="E39" s="97"/>
      <c r="F39" s="98"/>
      <c r="G39" s="96"/>
      <c r="H39" s="99"/>
      <c r="I39" s="100"/>
    </row>
    <row r="40" spans="5:23" ht="16" x14ac:dyDescent="0.2">
      <c r="E40" s="97"/>
      <c r="F40" s="98"/>
      <c r="G40" s="96"/>
      <c r="H40" s="99"/>
      <c r="I40" s="100"/>
    </row>
    <row r="41" spans="5:23" ht="16" x14ac:dyDescent="0.2">
      <c r="E41" s="97"/>
      <c r="F41" s="98"/>
      <c r="G41" s="96"/>
      <c r="H41" s="99"/>
      <c r="I41" s="101"/>
    </row>
    <row r="42" spans="5:23" ht="16" x14ac:dyDescent="0.2">
      <c r="E42" s="97"/>
      <c r="F42" s="98"/>
      <c r="G42" s="96"/>
      <c r="H42" s="99"/>
      <c r="I42" s="100"/>
    </row>
    <row r="43" spans="5:23" ht="16" x14ac:dyDescent="0.2">
      <c r="E43" s="97"/>
      <c r="F43" s="98"/>
      <c r="G43" s="96"/>
      <c r="H43" s="99"/>
      <c r="I43" s="100"/>
    </row>
    <row r="44" spans="5:23" ht="16" x14ac:dyDescent="0.2">
      <c r="E44" s="97"/>
      <c r="F44" s="98"/>
      <c r="G44" s="96"/>
      <c r="H44" s="99"/>
      <c r="I44" s="100"/>
    </row>
    <row r="45" spans="5:23" x14ac:dyDescent="0.2">
      <c r="E45" s="71"/>
      <c r="F45" s="71"/>
      <c r="G45" s="71"/>
      <c r="H45" s="71"/>
      <c r="I45" s="71"/>
    </row>
    <row r="46" spans="5:23" x14ac:dyDescent="0.2">
      <c r="E46" s="71"/>
      <c r="F46" s="71"/>
      <c r="G46" s="71"/>
      <c r="H46" s="71"/>
      <c r="I46" s="71"/>
    </row>
    <row r="47" spans="5:23" x14ac:dyDescent="0.2">
      <c r="E47" s="71"/>
      <c r="F47" s="71"/>
      <c r="G47" s="71"/>
      <c r="H47" s="71"/>
      <c r="I47" s="71"/>
    </row>
    <row r="48" spans="5:23" x14ac:dyDescent="0.2">
      <c r="E48" s="71"/>
      <c r="F48" s="71"/>
      <c r="G48" s="71"/>
      <c r="H48" s="71"/>
      <c r="I48" s="71"/>
    </row>
    <row r="49" spans="5:9" x14ac:dyDescent="0.2">
      <c r="E49" s="71"/>
      <c r="F49" s="71"/>
      <c r="G49" s="71"/>
      <c r="H49" s="71"/>
      <c r="I49" s="71"/>
    </row>
    <row r="50" spans="5:9" x14ac:dyDescent="0.2">
      <c r="E50" s="1"/>
      <c r="F50" s="1"/>
      <c r="G50" s="1"/>
      <c r="H50" s="1"/>
    </row>
    <row r="51" spans="5:9" x14ac:dyDescent="0.2">
      <c r="E51" s="1"/>
      <c r="F51" s="1"/>
      <c r="G51" s="1"/>
      <c r="H51" s="1"/>
    </row>
    <row r="52" spans="5:9" x14ac:dyDescent="0.2">
      <c r="E52" s="1"/>
      <c r="F52" s="1"/>
      <c r="G52" s="1"/>
      <c r="H52" s="1"/>
    </row>
    <row r="53" spans="5:9" x14ac:dyDescent="0.2">
      <c r="E53" s="1"/>
      <c r="F53" s="1"/>
      <c r="G53" s="1"/>
      <c r="H53" s="1"/>
    </row>
    <row r="54" spans="5:9" x14ac:dyDescent="0.2">
      <c r="E54" s="1"/>
      <c r="F54" s="1"/>
      <c r="G54" s="1"/>
      <c r="H54" s="1"/>
    </row>
    <row r="55" spans="5:9" x14ac:dyDescent="0.2">
      <c r="E55" s="1"/>
      <c r="F55" s="1"/>
      <c r="G55" s="1"/>
      <c r="H55" s="1"/>
    </row>
    <row r="56" spans="5:9" x14ac:dyDescent="0.2">
      <c r="E56" s="1"/>
      <c r="F56" s="1"/>
      <c r="G56" s="1"/>
      <c r="H56" s="1"/>
    </row>
    <row r="57" spans="5:9" x14ac:dyDescent="0.2">
      <c r="E57" s="1"/>
      <c r="F57" s="1"/>
      <c r="G57" s="1"/>
      <c r="H57" s="1"/>
    </row>
  </sheetData>
  <mergeCells count="3">
    <mergeCell ref="E23:I23"/>
    <mergeCell ref="E35:I35"/>
    <mergeCell ref="E9:I9"/>
  </mergeCells>
  <hyperlinks>
    <hyperlink ref="L10" r:id="rId1" location="mailruanchor_" display="https://e.mail.ru/inbox/0:16852487820497712840:0/ - mailruanchor_" xr:uid="{CE34052F-20D9-5042-9C7A-67B6F372FF70}"/>
    <hyperlink ref="L11" r:id="rId2" location="mailruanchor_" display="https://e.mail.ru/inbox/0:16852487820497712840:0/ - mailruanchor_" xr:uid="{092C80B5-BF12-BC46-9A21-C511C42F7BBB}"/>
    <hyperlink ref="L12" r:id="rId3" location="mailruanchor_" display="https://e.mail.ru/inbox/0:16852487820497712840:0/ - mailruanchor_" xr:uid="{9DB30E8F-A778-5E42-BC82-D8355943C01C}"/>
    <hyperlink ref="L13" r:id="rId4" location="mailruanchor_" display="https://e.mail.ru/inbox/0:16852487820497712840:0/ - mailruanchor_" xr:uid="{A0311EF8-E7BF-ED44-873E-050BCAC272E5}"/>
    <hyperlink ref="L14" r:id="rId5" location="mailruanchor_" display="https://e.mail.ru/inbox/0:16852487820497712840:0/ - mailruanchor_" xr:uid="{40D6C5BD-E2F5-7F40-BD05-A4C1598E3BC6}"/>
    <hyperlink ref="L15" r:id="rId6" location="mailruanchor_" display="https://e.mail.ru/inbox/0:16852487820497712840:0/ - mailruanchor_" xr:uid="{8EC1FFBB-C002-EE4F-B4A5-81E6DBA59898}"/>
    <hyperlink ref="L16" r:id="rId7" location="mailruanchor_" display="https://e.mail.ru/inbox/0:16852487820497712840:0/ - mailruanchor_" xr:uid="{44ED5DAA-F7A1-E248-A9B6-0B0706082D1A}"/>
    <hyperlink ref="L17" r:id="rId8" location="mailruanchor_" display="https://e.mail.ru/inbox/0:16852487820497712840:0/ - mailruanchor_" xr:uid="{68931C13-164D-0F42-B768-667C664239A6}"/>
    <hyperlink ref="L18" r:id="rId9" location="mailruanchor_" display="https://e.mail.ru/inbox/0:16852487820497712840:0/ - mailruanchor_" xr:uid="{1615F6CD-3DEC-2046-9509-35F742A610BF}"/>
    <hyperlink ref="L19" r:id="rId10" location="mailruanchor_" display="https://e.mail.ru/inbox/0:16852487820497712840:0/ - mailruanchor_" xr:uid="{F09C8B76-7F8C-B54F-9EC6-D38C1DCE5E79}"/>
    <hyperlink ref="L20" r:id="rId11" location="mailruanchor_" display="https://e.mail.ru/inbox/0:16852487820497712840:0/ - mailruanchor_" xr:uid="{707479A3-F75F-C14A-8FBE-1F324F1C74ED}"/>
    <hyperlink ref="L21" r:id="rId12" location="mailruanchor_" display="https://e.mail.ru/inbox/0:16852487820497712840:0/ - mailruanchor_" xr:uid="{F7DE2748-ECE4-3741-864C-322476DDF5EC}"/>
    <hyperlink ref="L25" r:id="rId13" location="mailruanchor_" display="https://e.mail.ru/inbox/0:16855619320204754294:0/ - mailruanchor_" xr:uid="{AA8586FD-0553-6248-B883-2E475A9AF8BA}"/>
    <hyperlink ref="L26" r:id="rId14" location="mailruanchor_" display="https://e.mail.ru/inbox/0:16855619320204754294:0/ - mailruanchor_" xr:uid="{50667EB3-DFE5-C349-B2D9-581B64A062B9}"/>
    <hyperlink ref="L27" r:id="rId15" location="mailruanchor_" display="https://e.mail.ru/inbox/0:16855619320204754294:0/ - mailruanchor_" xr:uid="{F4E7AD6B-4137-8F49-9632-1B3EC74DE9DB}"/>
    <hyperlink ref="L28" r:id="rId16" location="mailruanchor_" display="https://e.mail.ru/inbox/0:16855619320204754294:0/ - mailruanchor_" xr:uid="{87D31A8E-1E71-B344-968A-4CAB1D2BD835}"/>
    <hyperlink ref="L29" r:id="rId17" location="mailruanchor_" display="https://e.mail.ru/inbox/0:16855619320204754294:0/ - mailruanchor_" xr:uid="{0DE2A64B-A7F6-1847-9F32-D4B579A7E111}"/>
    <hyperlink ref="L30" r:id="rId18" location="mailruanchor_" display="https://e.mail.ru/inbox/0:16855619320204754294:0/ - mailruanchor_" xr:uid="{76461595-00FD-AD42-9908-3A21A36A9C78}"/>
    <hyperlink ref="L31" r:id="rId19" location="mailruanchor_" display="https://e.mail.ru/inbox/0:16855619320204754294:0/ - mailruanchor_" xr:uid="{5D3F79FD-8063-BB4C-B80B-825EB8CDD5D6}"/>
    <hyperlink ref="L32" r:id="rId20" location="mailruanchor_" display="https://e.mail.ru/inbox/0:16855619320204754294:0/ - mailruanchor_" xr:uid="{F1A4E784-0B78-3646-9F8C-6833332495F4}"/>
    <hyperlink ref="L33" r:id="rId21" location="mailruanchor_" display="https://e.mail.ru/inbox/0:16855619320204754294:0/ - mailruanchor_" xr:uid="{E682F7D3-4492-CB44-B61B-5334FECADB8E}"/>
    <hyperlink ref="L34" r:id="rId22" location="mailruanchor_" display="https://e.mail.ru/inbox/0:16855619320204754294:0/ - mailruanchor_" xr:uid="{8B2B17E6-EC35-0A44-B77D-34465FC047E4}"/>
    <hyperlink ref="L35" r:id="rId23" location="mailruanchor_" display="https://e.mail.ru/inbox/0:16855619320204754294:0/ - mailruanchor_" xr:uid="{BB31B84F-3382-9949-97E2-FB116B642B3D}"/>
    <hyperlink ref="L36" r:id="rId24" location="mailruanchor_" display="https://e.mail.ru/inbox/0:16855619320204754294:0/ - mailruanchor_" xr:uid="{2A361350-47F6-974C-A1AA-AA8BAB778853}"/>
  </hyperlinks>
  <pageMargins left="0.7" right="0.7" top="0.75" bottom="0.75" header="0.3" footer="0.3"/>
  <pageSetup paperSize="9" orientation="portrait" horizontalDpi="0" verticalDpi="0" r:id="rId25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localadmin</cp:lastModifiedBy>
  <dcterms:created xsi:type="dcterms:W3CDTF">2015-06-05T18:19:34Z</dcterms:created>
  <dcterms:modified xsi:type="dcterms:W3CDTF">2023-05-31T19:56:19Z</dcterms:modified>
</cp:coreProperties>
</file>