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tabRatio="326"/>
  </bookViews>
  <sheets>
    <sheet name="Rechnung Enno" sheetId="6" r:id="rId1"/>
    <sheet name="Modell" sheetId="7" r:id="rId2"/>
    <sheet name="Peter pdf" sheetId="8" r:id="rId3"/>
    <sheet name="elongation" sheetId="5" r:id="rId4"/>
  </sheets>
  <definedNames>
    <definedName name="_rad1">#REF!</definedName>
    <definedName name="_rad2">#REF!</definedName>
    <definedName name="bendcorr">#REF!</definedName>
    <definedName name="deltal">#REF!</definedName>
    <definedName name="freq">#REF!</definedName>
    <definedName name="height2">#REF!</definedName>
    <definedName name="nrwavel">#REF!</definedName>
    <definedName name="optdiam">#REF!</definedName>
    <definedName name="ratio">#REF!</definedName>
    <definedName name="total1">#REF!</definedName>
    <definedName name="total1c">#REF!</definedName>
    <definedName name="total2">#REF!</definedName>
    <definedName name="total2c">#REF!</definedName>
    <definedName name="turns">#REF!</definedName>
    <definedName name="vert1">#REF!</definedName>
    <definedName name="vert2">#REF!</definedName>
    <definedName name="wavel">#REF!</definedName>
    <definedName name="wavelc">#REF!</definedName>
    <definedName name="wd_eff">#REF!</definedName>
    <definedName name="wdiam">#REF!</definedName>
    <definedName name="wrad">#REF!</definedName>
  </definedNames>
  <calcPr calcId="145621"/>
</workbook>
</file>

<file path=xl/calcChain.xml><?xml version="1.0" encoding="utf-8"?>
<calcChain xmlns="http://schemas.openxmlformats.org/spreadsheetml/2006/main">
  <c r="F32" i="8" l="1"/>
  <c r="F43" i="8"/>
  <c r="E28" i="8"/>
  <c r="E29" i="8" s="1"/>
  <c r="E21" i="8"/>
  <c r="E16" i="8"/>
  <c r="E15" i="8"/>
  <c r="E13" i="8"/>
  <c r="E22" i="8" l="1"/>
  <c r="E43" i="8" s="1"/>
  <c r="E44" i="8" s="1"/>
  <c r="E21" i="7"/>
  <c r="E16" i="7"/>
  <c r="E15" i="7"/>
  <c r="E13" i="7"/>
  <c r="E28" i="6"/>
  <c r="E32" i="8" l="1"/>
  <c r="E33" i="8" s="1"/>
  <c r="E34" i="8" s="1"/>
  <c r="E35" i="8" s="1"/>
  <c r="E23" i="8"/>
  <c r="E24" i="8" s="1"/>
  <c r="E25" i="8" s="1"/>
  <c r="E45" i="8"/>
  <c r="E46" i="8" s="1"/>
  <c r="E50" i="8" s="1"/>
  <c r="E51" i="8" s="1"/>
  <c r="E22" i="7"/>
  <c r="E16" i="6"/>
  <c r="E15" i="6"/>
  <c r="E13" i="6"/>
  <c r="E26" i="8" l="1"/>
  <c r="E37" i="8"/>
  <c r="E38" i="8" s="1"/>
  <c r="E36" i="8"/>
  <c r="E39" i="8"/>
  <c r="E40" i="8" s="1"/>
  <c r="E47" i="8"/>
  <c r="E48" i="8"/>
  <c r="E49" i="8" s="1"/>
  <c r="E23" i="7"/>
  <c r="E24" i="7" s="1"/>
  <c r="E25" i="7" s="1"/>
  <c r="E21" i="6"/>
  <c r="E22" i="6" s="1"/>
  <c r="E26" i="7" l="1"/>
  <c r="E23" i="6"/>
  <c r="E24" i="6" s="1"/>
  <c r="E25" i="6" s="1"/>
  <c r="E29" i="6"/>
  <c r="E26" i="6" l="1"/>
  <c r="E32" i="6"/>
  <c r="E33" i="6" s="1"/>
  <c r="E34" i="6" s="1"/>
  <c r="E43" i="6"/>
  <c r="E44" i="6" s="1"/>
  <c r="E45" i="6" l="1"/>
  <c r="E35" i="6"/>
  <c r="E36" i="6" s="1"/>
  <c r="E46" i="6" l="1"/>
  <c r="E47" i="6" s="1"/>
  <c r="E37" i="6"/>
  <c r="E38" i="6" s="1"/>
  <c r="E39" i="6"/>
  <c r="E40" i="6" s="1"/>
  <c r="D30" i="5"/>
  <c r="M24" i="5"/>
  <c r="E24" i="5"/>
  <c r="E48" i="6" l="1"/>
  <c r="E49" i="6" s="1"/>
  <c r="E50" i="6"/>
  <c r="E51" i="6" s="1"/>
</calcChain>
</file>

<file path=xl/sharedStrings.xml><?xml version="1.0" encoding="utf-8"?>
<sst xmlns="http://schemas.openxmlformats.org/spreadsheetml/2006/main" count="380" uniqueCount="126">
  <si>
    <t xml:space="preserve">design-frequency </t>
  </si>
  <si>
    <t xml:space="preserve">number of turns </t>
  </si>
  <si>
    <t xml:space="preserve">half-loop length of antenna </t>
  </si>
  <si>
    <t xml:space="preserve">wavelength in free air </t>
  </si>
  <si>
    <t xml:space="preserve">percentage elongation </t>
  </si>
  <si>
    <t xml:space="preserve">mean loop-length </t>
  </si>
  <si>
    <t xml:space="preserve">aspect ratio </t>
  </si>
  <si>
    <t xml:space="preserve">mean diameter </t>
  </si>
  <si>
    <t xml:space="preserve">mean height </t>
  </si>
  <si>
    <t xml:space="preserve">mean deviation </t>
  </si>
  <si>
    <t xml:space="preserve">curvature (center-line to center-line) </t>
  </si>
  <si>
    <t xml:space="preserve">effective length of bend </t>
  </si>
  <si>
    <t xml:space="preserve">small loop </t>
  </si>
  <si>
    <t xml:space="preserve">loop length, corrected for bend shortening </t>
  </si>
  <si>
    <t xml:space="preserve">radial components (X4) </t>
  </si>
  <si>
    <t xml:space="preserve">radial component, corrected for bend </t>
  </si>
  <si>
    <t xml:space="preserve">helical components (X2) </t>
  </si>
  <si>
    <t xml:space="preserve">helical component, corrected for bends </t>
  </si>
  <si>
    <t xml:space="preserve">axial length </t>
  </si>
  <si>
    <t xml:space="preserve">large loop </t>
  </si>
  <si>
    <t xml:space="preserve">loop length corrected for bend shortening </t>
  </si>
  <si>
    <t>Auszug eines Artikels von W3KH in der QST, August 1996, Übersetzung: Peter, DK8TG</t>
  </si>
  <si>
    <t>MHz</t>
  </si>
  <si>
    <t>n</t>
  </si>
  <si>
    <t>mm</t>
  </si>
  <si>
    <t>L</t>
  </si>
  <si>
    <t>R</t>
  </si>
  <si>
    <t>elongation factor</t>
  </si>
  <si>
    <t>f</t>
  </si>
  <si>
    <t>Biegeradius</t>
  </si>
  <si>
    <t>tube diameter</t>
  </si>
  <si>
    <t>Durchmesser Leiter</t>
  </si>
  <si>
    <t>length of small helical element</t>
  </si>
  <si>
    <t>Llarge</t>
  </si>
  <si>
    <t>Lsmall</t>
  </si>
  <si>
    <t>Lsmall+4*Verkürzung</t>
  </si>
  <si>
    <t>elongation</t>
  </si>
  <si>
    <t>Leiter D</t>
  </si>
  <si>
    <t>Durchmesser</t>
  </si>
  <si>
    <t>Eingabe</t>
  </si>
  <si>
    <t>Ergebnis</t>
  </si>
  <si>
    <t>Ermittlung der Elongation</t>
  </si>
  <si>
    <t>http://www.kunstmanen.net/WKfiles/Techdocs/RQHA/RQHA1999-1eng.pdf</t>
  </si>
  <si>
    <t>siehe</t>
  </si>
  <si>
    <t>Ermittlung der Deviation</t>
  </si>
  <si>
    <t>%</t>
  </si>
  <si>
    <t>deviation</t>
  </si>
  <si>
    <t>nach Coppens</t>
  </si>
  <si>
    <t>bend shortening</t>
  </si>
  <si>
    <t>90° Bogenlänge</t>
  </si>
  <si>
    <t>Llarge+4*bend shortening</t>
  </si>
  <si>
    <t>Lax for small loop</t>
  </si>
  <si>
    <t>D1</t>
  </si>
  <si>
    <t>H1</t>
  </si>
  <si>
    <t>D2</t>
  </si>
  <si>
    <t>H2</t>
  </si>
  <si>
    <t>Entwurfs-Frequenz</t>
  </si>
  <si>
    <t>Anzahl der Windungen</t>
  </si>
  <si>
    <t>Mittlere Länge einer 1/2 Schleife</t>
  </si>
  <si>
    <t>Wellenlänge in Vakuum</t>
  </si>
  <si>
    <t>Entwurfs-Werte</t>
  </si>
  <si>
    <t>Konstanten (4 mm Durchmesser)</t>
  </si>
  <si>
    <t>elongation-Faktor</t>
  </si>
  <si>
    <t>fl</t>
  </si>
  <si>
    <t>large loop deviation</t>
  </si>
  <si>
    <t>small loop deviation</t>
  </si>
  <si>
    <r>
      <rPr>
        <b/>
        <sz val="12"/>
        <color rgb="FF000000"/>
        <rFont val="Calibri"/>
        <family val="2"/>
        <scheme val="minor"/>
      </rPr>
      <t>Elongation</t>
    </r>
    <r>
      <rPr>
        <sz val="12"/>
        <color rgb="FF000000"/>
        <rFont val="Calibri"/>
        <family val="2"/>
        <scheme val="minor"/>
      </rPr>
      <t xml:space="preserve"> in % nach Coppens</t>
    </r>
  </si>
  <si>
    <r>
      <rPr>
        <b/>
        <sz val="12"/>
        <color rgb="FF000000"/>
        <rFont val="Calibri"/>
        <family val="2"/>
        <scheme val="minor"/>
      </rPr>
      <t>Deviation</t>
    </r>
    <r>
      <rPr>
        <sz val="12"/>
        <color rgb="FF000000"/>
        <rFont val="Calibri"/>
        <family val="2"/>
        <scheme val="minor"/>
      </rPr>
      <t xml:space="preserve"> um die mittlere Wellenlänge</t>
    </r>
  </si>
  <si>
    <t>Mittlere Zylinderhöhe</t>
  </si>
  <si>
    <t>Mittlerer Zylinderdurchmesser</t>
  </si>
  <si>
    <t>D</t>
  </si>
  <si>
    <t>Lax (H)</t>
  </si>
  <si>
    <t>Länge der Spiralkomponente</t>
  </si>
  <si>
    <t>mean length of helical el.</t>
  </si>
  <si>
    <t>grüne Zellen sind Eingaben</t>
  </si>
  <si>
    <t>Rechnung (mittlere Schleifenlänge)</t>
  </si>
  <si>
    <t>Äußere Schleife</t>
  </si>
  <si>
    <t>Länge der Spiralkomponente (äußere)</t>
  </si>
  <si>
    <t>Korrektur um Biegeverkürzung</t>
  </si>
  <si>
    <t xml:space="preserve">Mittlere Schleifenlänge </t>
  </si>
  <si>
    <t>λ * fl</t>
  </si>
  <si>
    <t>length of large helical el.</t>
  </si>
  <si>
    <t>Lax (äußere)</t>
  </si>
  <si>
    <t>Zylinderradius</t>
  </si>
  <si>
    <t>Zylinderradius-Korrektur um Biegev.</t>
  </si>
  <si>
    <t>L (äußere)</t>
  </si>
  <si>
    <t>Länge der Spiralkomponente Korrektur</t>
  </si>
  <si>
    <t>Innere Schleife</t>
  </si>
  <si>
    <t>Länge der Spiralkomponente (innere)</t>
  </si>
  <si>
    <t>Länge der Zylinderachse (äußere)</t>
  </si>
  <si>
    <t>Länge der Zylinderachse (innere)</t>
  </si>
  <si>
    <t>r aus Lax (äußere)</t>
  </si>
  <si>
    <t>r aus Lax (innere)</t>
  </si>
  <si>
    <t>L (innere)</t>
  </si>
  <si>
    <t>Coppens</t>
  </si>
  <si>
    <t>Dc1</t>
  </si>
  <si>
    <t>DC2</t>
  </si>
  <si>
    <t>Klatt</t>
  </si>
  <si>
    <t>Zylinderdurchmesser</t>
  </si>
  <si>
    <t>D (innere)</t>
  </si>
  <si>
    <t>D (äußee)</t>
  </si>
  <si>
    <t>Zylinderdurchmesser-Korrektur um Biegev.</t>
  </si>
  <si>
    <t xml:space="preserve">Total compensated length </t>
  </si>
  <si>
    <t>deviation-Faktor äußere Schleife</t>
  </si>
  <si>
    <t>deviation-Faktor innere Schleife</t>
  </si>
  <si>
    <t>blaue Zellen sind Ergebnisse</t>
  </si>
  <si>
    <t>Verkürzung durch Bogen</t>
  </si>
  <si>
    <r>
      <t>λ = c</t>
    </r>
    <r>
      <rPr>
        <vertAlign val="subscript"/>
        <sz val="12"/>
        <color rgb="FF000000"/>
        <rFont val="Calibri"/>
        <family val="2"/>
        <scheme val="minor"/>
      </rPr>
      <t>o</t>
    </r>
    <r>
      <rPr>
        <sz val="12"/>
        <color rgb="FF000000"/>
        <rFont val="Calibri"/>
        <family val="2"/>
        <scheme val="minor"/>
      </rPr>
      <t xml:space="preserve"> / f</t>
    </r>
  </si>
  <si>
    <t>Verhältnis D/H</t>
  </si>
  <si>
    <t xml:space="preserve">experimentelle Werte </t>
  </si>
  <si>
    <t>Formel I</t>
  </si>
  <si>
    <t>mean radius</t>
  </si>
  <si>
    <t>Mittlerer Zylinderradius</t>
  </si>
  <si>
    <t>r</t>
  </si>
  <si>
    <t>Formel II</t>
  </si>
  <si>
    <t>Formel III</t>
  </si>
  <si>
    <t>deviation = 0,975</t>
  </si>
  <si>
    <t>deviation = 1,026</t>
  </si>
  <si>
    <t>nach Hollander</t>
  </si>
  <si>
    <t>Modell Nachrechnung PP-Vortrag</t>
  </si>
  <si>
    <t>Peter Nachrechnung pdf-Übersetzung</t>
  </si>
  <si>
    <t>Höhe</t>
  </si>
  <si>
    <t>cm</t>
  </si>
  <si>
    <t>Zweiglänge</t>
  </si>
  <si>
    <t>Berechnung einer QFH-Antenne von Enno  November 2019</t>
  </si>
  <si>
    <t>feste Werte für elongation und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</si>
</sst>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4" borderId="0" xfId="0" applyNumberFormat="1" applyFill="1"/>
    <xf numFmtId="164" fontId="0" fillId="0" borderId="0" xfId="0" applyNumberFormat="1" applyAlignment="1">
      <alignment horizontal="left"/>
    </xf>
    <xf numFmtId="0" fontId="5" fillId="5" borderId="0" xfId="0" applyFont="1" applyFill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2" xfId="0" applyFill="1" applyBorder="1"/>
    <xf numFmtId="3" fontId="2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6" xfId="0" applyBorder="1"/>
    <xf numFmtId="164" fontId="0" fillId="0" borderId="5" xfId="0" applyNumberFormat="1" applyBorder="1"/>
    <xf numFmtId="1" fontId="0" fillId="0" borderId="5" xfId="0" applyNumberFormat="1" applyBorder="1"/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horizontal="right"/>
    </xf>
    <xf numFmtId="0" fontId="6" fillId="0" borderId="0" xfId="0" applyFont="1"/>
    <xf numFmtId="10" fontId="0" fillId="7" borderId="1" xfId="0" applyNumberFormat="1" applyFill="1" applyBorder="1" applyAlignment="1">
      <alignment horizontal="right"/>
    </xf>
    <xf numFmtId="0" fontId="0" fillId="7" borderId="1" xfId="0" applyNumberFormat="1" applyFill="1" applyBorder="1" applyAlignment="1">
      <alignment horizontal="right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/>
    <xf numFmtId="1" fontId="0" fillId="2" borderId="1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Elongation Hollander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elongation!$B$6</c:f>
              <c:strCache>
                <c:ptCount val="1"/>
                <c:pt idx="0">
                  <c:v>Leiter D</c:v>
                </c:pt>
              </c:strCache>
            </c:strRef>
          </c:tx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4.1666666666666664E-2"/>
                  <c:y val="0.14925269757946924"/>
                </c:manualLayout>
              </c:layout>
              <c:numFmt formatCode="General" sourceLinked="0"/>
            </c:trendlineLbl>
          </c:trendline>
          <c:xVal>
            <c:numRef>
              <c:f>elongation!$C$5:$G$5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</c:numCache>
            </c:numRef>
          </c:xVal>
          <c:yVal>
            <c:numRef>
              <c:f>elongation!$C$6:$G$6</c:f>
              <c:numCache>
                <c:formatCode>General</c:formatCode>
                <c:ptCount val="5"/>
                <c:pt idx="0">
                  <c:v>6.8</c:v>
                </c:pt>
                <c:pt idx="1">
                  <c:v>7</c:v>
                </c:pt>
                <c:pt idx="2">
                  <c:v>7.1</c:v>
                </c:pt>
                <c:pt idx="3">
                  <c:v>6.6</c:v>
                </c:pt>
                <c:pt idx="4">
                  <c:v>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7072"/>
        <c:axId val="189433344"/>
      </c:scatterChart>
      <c:valAx>
        <c:axId val="189427072"/>
        <c:scaling>
          <c:orientation val="maxMin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433344"/>
        <c:crosses val="autoZero"/>
        <c:crossBetween val="midCat"/>
      </c:valAx>
      <c:valAx>
        <c:axId val="18943334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elongation in %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42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Hollander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elongation!$I$6</c:f>
              <c:strCache>
                <c:ptCount val="1"/>
                <c:pt idx="0">
                  <c:v>Leiter D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6.3888888888888884E-2"/>
                  <c:y val="0.28127697579469235"/>
                </c:manualLayout>
              </c:layout>
              <c:numFmt formatCode="General" sourceLinked="0"/>
            </c:trendlineLbl>
          </c:trendline>
          <c:xVal>
            <c:numRef>
              <c:f>elongation!$J$5:$N$5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</c:numCache>
            </c:numRef>
          </c:xVal>
          <c:yVal>
            <c:numRef>
              <c:f>elongation!$J$6:$N$6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3.3</c:v>
                </c:pt>
                <c:pt idx="2">
                  <c:v>2.5</c:v>
                </c:pt>
                <c:pt idx="3">
                  <c:v>1.8</c:v>
                </c:pt>
                <c:pt idx="4">
                  <c:v>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62784"/>
        <c:axId val="214176128"/>
      </c:scatterChart>
      <c:valAx>
        <c:axId val="189462784"/>
        <c:scaling>
          <c:orientation val="maxMin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176128"/>
        <c:crosses val="autoZero"/>
        <c:crossBetween val="midCat"/>
      </c:valAx>
      <c:valAx>
        <c:axId val="21417612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deviation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46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Elongation Coppens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19444444444444445"/>
                  <c:y val="0.17802857976086323"/>
                </c:manualLayout>
              </c:layout>
              <c:numFmt formatCode="General" sourceLinked="0"/>
            </c:trendlineLbl>
          </c:trendline>
          <c:xVal>
            <c:numRef>
              <c:f>elongation!$C$29:$R$29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elongation!$C$28:$R$28</c:f>
              <c:numCache>
                <c:formatCode>General</c:formatCode>
                <c:ptCount val="16"/>
                <c:pt idx="0">
                  <c:v>5.3</c:v>
                </c:pt>
                <c:pt idx="1">
                  <c:v>6</c:v>
                </c:pt>
                <c:pt idx="2">
                  <c:v>6.4</c:v>
                </c:pt>
                <c:pt idx="3">
                  <c:v>6.8</c:v>
                </c:pt>
                <c:pt idx="4">
                  <c:v>7</c:v>
                </c:pt>
                <c:pt idx="5">
                  <c:v>7</c:v>
                </c:pt>
                <c:pt idx="6">
                  <c:v>7.1</c:v>
                </c:pt>
                <c:pt idx="7">
                  <c:v>7.1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6.9</c:v>
                </c:pt>
                <c:pt idx="13">
                  <c:v>6.9</c:v>
                </c:pt>
                <c:pt idx="14">
                  <c:v>6.8</c:v>
                </c:pt>
                <c:pt idx="15">
                  <c:v>6.7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1952"/>
        <c:axId val="214223872"/>
      </c:scatterChart>
      <c:valAx>
        <c:axId val="2142219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baseline="0">
                    <a:effectLst/>
                  </a:rPr>
                  <a:t>D</a:t>
                </a:r>
                <a:r>
                  <a:rPr lang="de-DE" sz="1000" b="1" i="0" u="none" strike="noStrike" baseline="0"/>
                  <a:t> 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23872"/>
        <c:crosses val="autoZero"/>
        <c:crossBetween val="midCat"/>
      </c:valAx>
      <c:valAx>
        <c:axId val="21422387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elongation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2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190500</xdr:rowOff>
    </xdr:from>
    <xdr:to>
      <xdr:col>12</xdr:col>
      <xdr:colOff>41355</xdr:colOff>
      <xdr:row>58</xdr:row>
      <xdr:rowOff>47626</xdr:rowOff>
    </xdr:to>
    <xdr:pic>
      <xdr:nvPicPr>
        <xdr:cNvPr id="2" name="Grafik 1" descr="http://jcoppens.com/ant/qfh/img/qfh1a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6324600"/>
          <a:ext cx="2327355" cy="5191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352425</xdr:colOff>
      <xdr:row>32</xdr:row>
      <xdr:rowOff>0</xdr:rowOff>
    </xdr:from>
    <xdr:to>
      <xdr:col>14</xdr:col>
      <xdr:colOff>372427</xdr:colOff>
      <xdr:row>58</xdr:row>
      <xdr:rowOff>9524</xdr:rowOff>
    </xdr:to>
    <xdr:pic>
      <xdr:nvPicPr>
        <xdr:cNvPr id="3" name="Grafik 2" descr="http://jcoppens.com/ant/qfh/img/qfh2am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525" y="6334125"/>
          <a:ext cx="2306002" cy="5143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11</xdr:col>
      <xdr:colOff>209333</xdr:colOff>
      <xdr:row>13</xdr:row>
      <xdr:rowOff>47544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2095500"/>
          <a:ext cx="1733333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14</xdr:col>
      <xdr:colOff>66190</xdr:colOff>
      <xdr:row>7</xdr:row>
      <xdr:rowOff>133258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11200" y="895350"/>
          <a:ext cx="3876190" cy="7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11</xdr:col>
      <xdr:colOff>466476</xdr:colOff>
      <xdr:row>18</xdr:row>
      <xdr:rowOff>28496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11200" y="3095625"/>
          <a:ext cx="1990476" cy="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9</xdr:col>
      <xdr:colOff>209333</xdr:colOff>
      <xdr:row>13</xdr:row>
      <xdr:rowOff>47544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9200" y="2095500"/>
          <a:ext cx="1733333" cy="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12</xdr:col>
      <xdr:colOff>66190</xdr:colOff>
      <xdr:row>7</xdr:row>
      <xdr:rowOff>133258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895350"/>
          <a:ext cx="3876190" cy="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9</xdr:col>
      <xdr:colOff>466476</xdr:colOff>
      <xdr:row>18</xdr:row>
      <xdr:rowOff>28496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9200" y="3095625"/>
          <a:ext cx="1990476" cy="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30</xdr:row>
      <xdr:rowOff>111237</xdr:rowOff>
    </xdr:from>
    <xdr:to>
      <xdr:col>15</xdr:col>
      <xdr:colOff>294767</xdr:colOff>
      <xdr:row>54</xdr:row>
      <xdr:rowOff>76200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9225" y="6245337"/>
          <a:ext cx="3790442" cy="4736988"/>
        </a:xfrm>
        <a:prstGeom prst="rect">
          <a:avLst/>
        </a:prstGeom>
      </xdr:spPr>
    </xdr:pic>
    <xdr:clientData/>
  </xdr:twoCellAnchor>
  <xdr:twoCellAnchor editAs="oneCell">
    <xdr:from>
      <xdr:col>6</xdr:col>
      <xdr:colOff>9524</xdr:colOff>
      <xdr:row>20</xdr:row>
      <xdr:rowOff>49889</xdr:rowOff>
    </xdr:from>
    <xdr:to>
      <xdr:col>15</xdr:col>
      <xdr:colOff>93471</xdr:colOff>
      <xdr:row>27</xdr:row>
      <xdr:rowOff>197363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2124" y="4145639"/>
          <a:ext cx="7056247" cy="1585749"/>
        </a:xfrm>
        <a:prstGeom prst="rect">
          <a:avLst/>
        </a:prstGeom>
      </xdr:spPr>
    </xdr:pic>
    <xdr:clientData/>
  </xdr:twoCellAnchor>
  <xdr:twoCellAnchor>
    <xdr:from>
      <xdr:col>6</xdr:col>
      <xdr:colOff>457200</xdr:colOff>
      <xdr:row>5</xdr:row>
      <xdr:rowOff>0</xdr:rowOff>
    </xdr:from>
    <xdr:to>
      <xdr:col>8</xdr:col>
      <xdr:colOff>133350</xdr:colOff>
      <xdr:row>9</xdr:row>
      <xdr:rowOff>114300</xdr:rowOff>
    </xdr:to>
    <xdr:sp macro="" textlink="">
      <xdr:nvSpPr>
        <xdr:cNvPr id="9" name="Wolkenförmige Legende 8"/>
        <xdr:cNvSpPr/>
      </xdr:nvSpPr>
      <xdr:spPr>
        <a:xfrm>
          <a:off x="9829800" y="1095375"/>
          <a:ext cx="1314450" cy="914400"/>
        </a:xfrm>
        <a:prstGeom prst="cloudCallout">
          <a:avLst>
            <a:gd name="adj1" fmla="val -129924"/>
            <a:gd name="adj2" fmla="val -15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2800"/>
            <a:t>0,66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</xdr:row>
      <xdr:rowOff>19050</xdr:rowOff>
    </xdr:from>
    <xdr:to>
      <xdr:col>7</xdr:col>
      <xdr:colOff>219075</xdr:colOff>
      <xdr:row>21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1485900</xdr:colOff>
      <xdr:row>7</xdr:row>
      <xdr:rowOff>0</xdr:rowOff>
    </xdr:from>
    <xdr:to>
      <xdr:col>13</xdr:col>
      <xdr:colOff>752475</xdr:colOff>
      <xdr:row>21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</xdr:row>
      <xdr:rowOff>0</xdr:rowOff>
    </xdr:from>
    <xdr:to>
      <xdr:col>22</xdr:col>
      <xdr:colOff>0</xdr:colOff>
      <xdr:row>21</xdr:row>
      <xdr:rowOff>76200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A2" sqref="A2"/>
    </sheetView>
  </sheetViews>
  <sheetFormatPr baseColWidth="10" defaultRowHeight="15" x14ac:dyDescent="0.25"/>
  <cols>
    <col min="1" max="1" width="41.85546875" customWidth="1"/>
    <col min="2" max="2" width="41" bestFit="1" customWidth="1"/>
    <col min="3" max="3" width="7.140625" customWidth="1"/>
    <col min="4" max="4" width="26.5703125" style="7" bestFit="1" customWidth="1"/>
    <col min="5" max="5" width="12" style="2" bestFit="1" customWidth="1"/>
    <col min="6" max="6" width="12" style="2" customWidth="1"/>
    <col min="7" max="7" width="25.140625" bestFit="1" customWidth="1"/>
    <col min="9" max="9" width="12.5703125" bestFit="1" customWidth="1"/>
  </cols>
  <sheetData>
    <row r="1" spans="1:10" ht="23.25" x14ac:dyDescent="0.35">
      <c r="A1" s="36" t="s">
        <v>124</v>
      </c>
      <c r="D1" t="s">
        <v>74</v>
      </c>
      <c r="E1" s="15"/>
      <c r="F1"/>
    </row>
    <row r="2" spans="1:10" ht="15.75" customHeight="1" x14ac:dyDescent="0.25">
      <c r="A2" t="s">
        <v>125</v>
      </c>
      <c r="D2" t="s">
        <v>105</v>
      </c>
      <c r="E2" s="35"/>
      <c r="F2"/>
    </row>
    <row r="3" spans="1:10" ht="15.75" customHeight="1" x14ac:dyDescent="0.25">
      <c r="D3" t="s">
        <v>109</v>
      </c>
      <c r="E3" s="37"/>
      <c r="F3"/>
    </row>
    <row r="4" spans="1:10" ht="15.75" customHeight="1" x14ac:dyDescent="0.25">
      <c r="D4"/>
      <c r="E4" s="7" t="s">
        <v>97</v>
      </c>
      <c r="F4"/>
      <c r="G4" s="7" t="s">
        <v>94</v>
      </c>
      <c r="J4" s="40" t="s">
        <v>110</v>
      </c>
    </row>
    <row r="5" spans="1:10" ht="15.75" customHeight="1" x14ac:dyDescent="0.25">
      <c r="A5" s="3"/>
      <c r="B5" s="6" t="s">
        <v>60</v>
      </c>
      <c r="C5" s="3"/>
      <c r="D5" s="13"/>
      <c r="E5" s="16"/>
      <c r="F5"/>
      <c r="G5" s="23"/>
      <c r="H5" s="24"/>
    </row>
    <row r="6" spans="1:10" ht="15.75" x14ac:dyDescent="0.25">
      <c r="A6" s="1" t="s">
        <v>0</v>
      </c>
      <c r="B6" s="6" t="s">
        <v>56</v>
      </c>
      <c r="C6" s="1" t="s">
        <v>22</v>
      </c>
      <c r="D6" s="1" t="s">
        <v>28</v>
      </c>
      <c r="E6" s="15">
        <v>137.5</v>
      </c>
      <c r="F6"/>
      <c r="G6" s="25"/>
      <c r="H6" s="26"/>
    </row>
    <row r="7" spans="1:10" ht="15.75" customHeight="1" x14ac:dyDescent="0.25">
      <c r="A7" s="1" t="s">
        <v>6</v>
      </c>
      <c r="B7" s="6" t="s">
        <v>108</v>
      </c>
      <c r="C7" s="1"/>
      <c r="D7" s="1" t="s">
        <v>26</v>
      </c>
      <c r="E7" s="38">
        <v>0.44</v>
      </c>
      <c r="F7"/>
      <c r="G7" s="25"/>
      <c r="H7" s="27"/>
    </row>
    <row r="8" spans="1:10" ht="15.75" customHeight="1" x14ac:dyDescent="0.25">
      <c r="A8" s="1" t="s">
        <v>30</v>
      </c>
      <c r="B8" s="6" t="s">
        <v>31</v>
      </c>
      <c r="C8" s="1"/>
      <c r="D8" s="1"/>
      <c r="E8" s="15">
        <v>3</v>
      </c>
      <c r="F8"/>
      <c r="G8" s="25"/>
      <c r="H8" s="27"/>
    </row>
    <row r="9" spans="1:10" ht="15.75" x14ac:dyDescent="0.25">
      <c r="A9" s="1" t="s">
        <v>10</v>
      </c>
      <c r="B9" s="6" t="s">
        <v>29</v>
      </c>
      <c r="C9" s="3"/>
      <c r="D9" s="1"/>
      <c r="E9" s="15">
        <v>6</v>
      </c>
      <c r="F9"/>
      <c r="G9" s="25"/>
      <c r="H9" s="27"/>
    </row>
    <row r="10" spans="1:10" ht="15.75" x14ac:dyDescent="0.25">
      <c r="A10" s="1"/>
      <c r="B10" s="6"/>
      <c r="C10" s="3"/>
      <c r="D10" s="1"/>
      <c r="E10" s="16"/>
      <c r="F10"/>
      <c r="G10" s="25"/>
      <c r="H10" s="27"/>
      <c r="J10" s="40" t="s">
        <v>114</v>
      </c>
    </row>
    <row r="11" spans="1:10" ht="15.75" x14ac:dyDescent="0.25">
      <c r="A11" s="1"/>
      <c r="B11" s="6" t="s">
        <v>61</v>
      </c>
      <c r="C11" s="1"/>
      <c r="D11" s="1"/>
      <c r="E11" s="16"/>
      <c r="F11"/>
      <c r="G11" s="25"/>
      <c r="H11" s="26"/>
    </row>
    <row r="12" spans="1:10" ht="15.75" customHeight="1" x14ac:dyDescent="0.25">
      <c r="A12" s="1" t="s">
        <v>4</v>
      </c>
      <c r="B12" s="1" t="s">
        <v>66</v>
      </c>
      <c r="C12" s="3"/>
      <c r="D12" s="1"/>
      <c r="E12" s="37">
        <v>6.4000000000000001E-2</v>
      </c>
      <c r="F12"/>
      <c r="G12" s="25"/>
      <c r="H12" s="27"/>
    </row>
    <row r="13" spans="1:10" ht="15.75" customHeight="1" x14ac:dyDescent="0.25">
      <c r="A13" s="8" t="s">
        <v>27</v>
      </c>
      <c r="B13" s="14" t="s">
        <v>62</v>
      </c>
      <c r="C13" s="3"/>
      <c r="D13" s="1" t="s">
        <v>63</v>
      </c>
      <c r="E13" s="16">
        <f>1+E12</f>
        <v>1.0640000000000001</v>
      </c>
      <c r="F13"/>
      <c r="G13" s="25"/>
      <c r="H13" s="27"/>
    </row>
    <row r="14" spans="1:10" ht="15.75" x14ac:dyDescent="0.25">
      <c r="A14" s="1" t="s">
        <v>9</v>
      </c>
      <c r="B14" s="1" t="s">
        <v>67</v>
      </c>
      <c r="C14" s="3"/>
      <c r="D14" s="1"/>
      <c r="E14" s="37">
        <v>2.5000000000000001E-2</v>
      </c>
      <c r="F14"/>
      <c r="G14" s="25"/>
      <c r="H14" s="27"/>
    </row>
    <row r="15" spans="1:10" ht="15.75" x14ac:dyDescent="0.25">
      <c r="A15" s="14" t="s">
        <v>64</v>
      </c>
      <c r="B15" s="14" t="s">
        <v>103</v>
      </c>
      <c r="C15" s="3"/>
      <c r="D15" s="1"/>
      <c r="E15" s="17">
        <f>1+E14</f>
        <v>1.0249999999999999</v>
      </c>
      <c r="F15"/>
      <c r="G15" s="25"/>
      <c r="H15" s="27"/>
      <c r="J15" s="40" t="s">
        <v>115</v>
      </c>
    </row>
    <row r="16" spans="1:10" ht="15.75" x14ac:dyDescent="0.25">
      <c r="A16" s="1" t="s">
        <v>65</v>
      </c>
      <c r="B16" s="14" t="s">
        <v>104</v>
      </c>
      <c r="C16" s="3"/>
      <c r="D16" s="1"/>
      <c r="E16" s="17">
        <f>1-E14</f>
        <v>0.97499999999999998</v>
      </c>
      <c r="F16"/>
      <c r="G16" s="25"/>
      <c r="H16" s="27"/>
    </row>
    <row r="17" spans="1:8" ht="15.75" x14ac:dyDescent="0.25">
      <c r="A17" s="1" t="s">
        <v>1</v>
      </c>
      <c r="B17" s="1" t="s">
        <v>57</v>
      </c>
      <c r="C17" s="1" t="s">
        <v>23</v>
      </c>
      <c r="D17" s="1"/>
      <c r="E17" s="16">
        <v>0.5</v>
      </c>
      <c r="F17"/>
      <c r="G17" s="28"/>
      <c r="H17" s="26"/>
    </row>
    <row r="18" spans="1:8" ht="15.75" x14ac:dyDescent="0.25">
      <c r="A18" s="1" t="s">
        <v>2</v>
      </c>
      <c r="B18" s="1" t="s">
        <v>58</v>
      </c>
      <c r="C18" s="1"/>
      <c r="D18" s="1"/>
      <c r="E18" s="16">
        <v>0.5</v>
      </c>
      <c r="F18"/>
      <c r="G18" s="28"/>
      <c r="H18" s="26"/>
    </row>
    <row r="19" spans="1:8" ht="15.75" x14ac:dyDescent="0.25">
      <c r="A19" s="1"/>
      <c r="B19" s="1"/>
      <c r="C19" s="1"/>
      <c r="D19" s="1"/>
      <c r="E19" s="16"/>
      <c r="F19"/>
      <c r="G19" s="28"/>
      <c r="H19" s="26"/>
    </row>
    <row r="20" spans="1:8" ht="15.75" x14ac:dyDescent="0.25">
      <c r="A20" s="1"/>
      <c r="B20" s="6" t="s">
        <v>75</v>
      </c>
      <c r="C20" s="1"/>
      <c r="D20" s="1"/>
      <c r="E20" s="16"/>
      <c r="F20"/>
      <c r="G20" s="28"/>
      <c r="H20" s="26"/>
    </row>
    <row r="21" spans="1:8" ht="18.75" x14ac:dyDescent="0.25">
      <c r="A21" s="1" t="s">
        <v>3</v>
      </c>
      <c r="B21" s="1" t="s">
        <v>59</v>
      </c>
      <c r="C21" s="1" t="s">
        <v>24</v>
      </c>
      <c r="D21" s="1" t="s">
        <v>107</v>
      </c>
      <c r="E21" s="18">
        <f>299792.458/E6</f>
        <v>2180.3087854545452</v>
      </c>
      <c r="F21"/>
      <c r="G21" s="25"/>
      <c r="H21" s="26"/>
    </row>
    <row r="22" spans="1:8" ht="15.75" x14ac:dyDescent="0.25">
      <c r="A22" s="1" t="s">
        <v>5</v>
      </c>
      <c r="B22" s="1" t="s">
        <v>79</v>
      </c>
      <c r="C22" s="3"/>
      <c r="D22" s="1" t="s">
        <v>80</v>
      </c>
      <c r="E22" s="19">
        <f>E21*E13</f>
        <v>2319.8485477236363</v>
      </c>
      <c r="F22"/>
      <c r="G22" s="25"/>
      <c r="H22" s="27"/>
    </row>
    <row r="23" spans="1:8" ht="15.75" x14ac:dyDescent="0.25">
      <c r="A23" s="1" t="s">
        <v>8</v>
      </c>
      <c r="B23" s="1" t="s">
        <v>68</v>
      </c>
      <c r="C23" s="3" t="s">
        <v>24</v>
      </c>
      <c r="D23" s="1" t="s">
        <v>71</v>
      </c>
      <c r="E23" s="19">
        <f>E22/2/(SQRT((E17*PI()*E7)^2+1)+E7)</f>
        <v>700.60563597886096</v>
      </c>
      <c r="F23" s="39" t="s">
        <v>110</v>
      </c>
      <c r="G23" s="25"/>
      <c r="H23" s="27"/>
    </row>
    <row r="24" spans="1:8" ht="15.75" x14ac:dyDescent="0.25">
      <c r="A24" s="1" t="s">
        <v>111</v>
      </c>
      <c r="B24" s="1" t="s">
        <v>112</v>
      </c>
      <c r="C24" s="3" t="s">
        <v>24</v>
      </c>
      <c r="D24" s="1" t="s">
        <v>113</v>
      </c>
      <c r="E24" s="19">
        <f>E7*E23/2</f>
        <v>154.13323991534941</v>
      </c>
      <c r="F24" s="40" t="s">
        <v>114</v>
      </c>
      <c r="G24" s="25"/>
      <c r="H24" s="27"/>
    </row>
    <row r="25" spans="1:8" ht="15.75" x14ac:dyDescent="0.25">
      <c r="A25" s="1" t="s">
        <v>7</v>
      </c>
      <c r="B25" s="1" t="s">
        <v>69</v>
      </c>
      <c r="C25" s="3" t="s">
        <v>24</v>
      </c>
      <c r="D25" s="1" t="s">
        <v>70</v>
      </c>
      <c r="E25" s="19">
        <f>E24*2</f>
        <v>308.26647983069881</v>
      </c>
      <c r="F25"/>
      <c r="G25" s="25"/>
      <c r="H25" s="27"/>
    </row>
    <row r="26" spans="1:8" ht="15.75" x14ac:dyDescent="0.25">
      <c r="A26" s="1" t="s">
        <v>73</v>
      </c>
      <c r="B26" s="1" t="s">
        <v>72</v>
      </c>
      <c r="C26" s="3" t="s">
        <v>24</v>
      </c>
      <c r="D26" s="1" t="s">
        <v>25</v>
      </c>
      <c r="E26" s="19">
        <f>E22/2-E7*E23</f>
        <v>851.65779403111935</v>
      </c>
      <c r="F26" s="40" t="s">
        <v>115</v>
      </c>
      <c r="G26" s="29"/>
      <c r="H26" s="27"/>
    </row>
    <row r="27" spans="1:8" ht="15.75" x14ac:dyDescent="0.25">
      <c r="A27" s="1"/>
      <c r="B27" s="1"/>
      <c r="C27" s="3"/>
      <c r="D27" s="1"/>
      <c r="E27" s="16"/>
      <c r="F27"/>
      <c r="G27" s="25"/>
      <c r="H27" s="27"/>
    </row>
    <row r="28" spans="1:8" ht="15.75" x14ac:dyDescent="0.25">
      <c r="A28" s="1" t="s">
        <v>11</v>
      </c>
      <c r="B28" s="3" t="s">
        <v>49</v>
      </c>
      <c r="C28" s="3"/>
      <c r="D28" s="1"/>
      <c r="E28" s="20">
        <f>2*PI()*E9/4</f>
        <v>9.4247779607693793</v>
      </c>
      <c r="F28"/>
      <c r="G28" s="25"/>
      <c r="H28" s="27"/>
    </row>
    <row r="29" spans="1:8" ht="15.75" x14ac:dyDescent="0.25">
      <c r="A29" s="1" t="s">
        <v>48</v>
      </c>
      <c r="B29" s="3" t="s">
        <v>106</v>
      </c>
      <c r="C29" s="3"/>
      <c r="D29" s="1"/>
      <c r="E29" s="20">
        <f>2*E9-E28</f>
        <v>2.5752220392306207</v>
      </c>
      <c r="F29"/>
      <c r="G29" s="30"/>
      <c r="H29" s="27"/>
    </row>
    <row r="30" spans="1:8" ht="15.75" x14ac:dyDescent="0.25">
      <c r="A30" s="1"/>
      <c r="B30" s="1"/>
      <c r="C30" s="3"/>
      <c r="D30" s="1"/>
      <c r="E30" s="16"/>
      <c r="F30"/>
      <c r="G30" s="28"/>
      <c r="H30" s="27"/>
    </row>
    <row r="31" spans="1:8" ht="15.75" x14ac:dyDescent="0.25">
      <c r="A31" s="6" t="s">
        <v>19</v>
      </c>
      <c r="B31" s="6" t="s">
        <v>76</v>
      </c>
      <c r="C31" s="3"/>
      <c r="D31" s="1"/>
      <c r="E31" s="16"/>
      <c r="F31"/>
      <c r="G31" s="25"/>
      <c r="H31" s="27"/>
    </row>
    <row r="32" spans="1:8" ht="15.75" x14ac:dyDescent="0.25">
      <c r="A32" s="1" t="s">
        <v>81</v>
      </c>
      <c r="B32" s="1" t="s">
        <v>77</v>
      </c>
      <c r="C32" s="3" t="s">
        <v>24</v>
      </c>
      <c r="D32" s="1" t="s">
        <v>33</v>
      </c>
      <c r="E32" s="19">
        <f>E22*E15</f>
        <v>2377.8447614167271</v>
      </c>
      <c r="F32"/>
      <c r="G32" s="30" t="s">
        <v>117</v>
      </c>
      <c r="H32" s="27"/>
    </row>
    <row r="33" spans="1:8" ht="15.75" x14ac:dyDescent="0.25">
      <c r="A33" s="1" t="s">
        <v>20</v>
      </c>
      <c r="B33" s="1" t="s">
        <v>78</v>
      </c>
      <c r="C33" s="12" t="s">
        <v>24</v>
      </c>
      <c r="D33" s="1" t="s">
        <v>50</v>
      </c>
      <c r="E33" s="35">
        <f>E32+4*E29</f>
        <v>2388.1456495736497</v>
      </c>
      <c r="F33"/>
      <c r="G33" s="16" t="s">
        <v>102</v>
      </c>
      <c r="H33" s="35">
        <v>2392.1</v>
      </c>
    </row>
    <row r="34" spans="1:8" ht="15.75" x14ac:dyDescent="0.25">
      <c r="A34" s="1" t="s">
        <v>18</v>
      </c>
      <c r="B34" s="1" t="s">
        <v>89</v>
      </c>
      <c r="C34" s="3" t="s">
        <v>24</v>
      </c>
      <c r="D34" s="1" t="s">
        <v>82</v>
      </c>
      <c r="E34" s="35">
        <f>E33/2/(SQRT((E17*PI()*E7)^2+1)+E7)</f>
        <v>721.23169560852693</v>
      </c>
      <c r="F34"/>
      <c r="G34" s="19" t="s">
        <v>53</v>
      </c>
      <c r="H34" s="35">
        <v>722.4</v>
      </c>
    </row>
    <row r="35" spans="1:8" ht="15.75" x14ac:dyDescent="0.25">
      <c r="A35" s="1" t="s">
        <v>14</v>
      </c>
      <c r="B35" s="1" t="s">
        <v>83</v>
      </c>
      <c r="C35" s="3" t="s">
        <v>24</v>
      </c>
      <c r="D35" s="1" t="s">
        <v>91</v>
      </c>
      <c r="E35" s="19">
        <f>E7*E34/2</f>
        <v>158.67097303387592</v>
      </c>
      <c r="F35"/>
      <c r="G35" s="21"/>
      <c r="H35" s="34"/>
    </row>
    <row r="36" spans="1:8" ht="15.75" x14ac:dyDescent="0.25">
      <c r="A36" s="1"/>
      <c r="B36" s="1" t="s">
        <v>98</v>
      </c>
      <c r="C36" s="3" t="s">
        <v>24</v>
      </c>
      <c r="D36" s="1" t="s">
        <v>100</v>
      </c>
      <c r="E36" s="35">
        <f>2*E35</f>
        <v>317.34194606775185</v>
      </c>
      <c r="F36"/>
      <c r="G36" s="21" t="s">
        <v>52</v>
      </c>
      <c r="H36" s="35">
        <v>317.8</v>
      </c>
    </row>
    <row r="37" spans="1:8" ht="15.75" x14ac:dyDescent="0.25">
      <c r="A37" s="1" t="s">
        <v>15</v>
      </c>
      <c r="B37" s="1" t="s">
        <v>84</v>
      </c>
      <c r="C37" s="3" t="s">
        <v>24</v>
      </c>
      <c r="D37" s="1"/>
      <c r="E37" s="19">
        <f>E35-E9</f>
        <v>152.67097303387592</v>
      </c>
      <c r="F37"/>
      <c r="G37" s="16"/>
      <c r="H37" s="34"/>
    </row>
    <row r="38" spans="1:8" ht="15.75" x14ac:dyDescent="0.25">
      <c r="A38" s="1"/>
      <c r="B38" s="1" t="s">
        <v>101</v>
      </c>
      <c r="C38" s="3" t="s">
        <v>24</v>
      </c>
      <c r="D38" s="1"/>
      <c r="E38" s="35">
        <f>2*E37</f>
        <v>305.34194606775185</v>
      </c>
      <c r="F38"/>
      <c r="G38" s="16" t="s">
        <v>95</v>
      </c>
      <c r="H38" s="35">
        <v>305.8</v>
      </c>
    </row>
    <row r="39" spans="1:8" ht="15.75" x14ac:dyDescent="0.25">
      <c r="A39" s="1" t="s">
        <v>16</v>
      </c>
      <c r="B39" s="1" t="s">
        <v>77</v>
      </c>
      <c r="C39" s="22" t="s">
        <v>24</v>
      </c>
      <c r="D39" s="1" t="s">
        <v>85</v>
      </c>
      <c r="E39" s="19">
        <f>E33/2-2*E35</f>
        <v>876.73087871907296</v>
      </c>
      <c r="F39"/>
      <c r="G39" s="31"/>
      <c r="H39" s="27"/>
    </row>
    <row r="40" spans="1:8" ht="15.75" x14ac:dyDescent="0.25">
      <c r="A40" s="1" t="s">
        <v>17</v>
      </c>
      <c r="B40" s="1" t="s">
        <v>86</v>
      </c>
      <c r="C40" s="3" t="s">
        <v>24</v>
      </c>
      <c r="D40" s="1"/>
      <c r="E40" s="19">
        <f>E39-2*E9</f>
        <v>864.73087871907296</v>
      </c>
      <c r="F40"/>
      <c r="G40" s="31"/>
      <c r="H40" s="27"/>
    </row>
    <row r="41" spans="1:8" ht="15.75" x14ac:dyDescent="0.25">
      <c r="A41" s="3"/>
      <c r="B41" s="3"/>
      <c r="D41" s="1"/>
      <c r="E41" s="16"/>
      <c r="F41"/>
      <c r="G41" s="31"/>
      <c r="H41" s="27"/>
    </row>
    <row r="42" spans="1:8" ht="15.75" x14ac:dyDescent="0.25">
      <c r="A42" s="6" t="s">
        <v>12</v>
      </c>
      <c r="B42" s="6" t="s">
        <v>87</v>
      </c>
      <c r="C42" s="3"/>
      <c r="D42" s="1"/>
      <c r="E42" s="16"/>
      <c r="F42"/>
      <c r="G42" s="31"/>
      <c r="H42" s="27"/>
    </row>
    <row r="43" spans="1:8" ht="15.75" x14ac:dyDescent="0.25">
      <c r="A43" s="1" t="s">
        <v>32</v>
      </c>
      <c r="B43" s="1" t="s">
        <v>88</v>
      </c>
      <c r="C43" s="3" t="s">
        <v>24</v>
      </c>
      <c r="D43" s="1" t="s">
        <v>34</v>
      </c>
      <c r="E43" s="19">
        <f>E22*E16</f>
        <v>2261.8523340305455</v>
      </c>
      <c r="F43"/>
      <c r="G43" s="41" t="s">
        <v>116</v>
      </c>
      <c r="H43" s="27"/>
    </row>
    <row r="44" spans="1:8" ht="15.75" x14ac:dyDescent="0.25">
      <c r="A44" s="1" t="s">
        <v>13</v>
      </c>
      <c r="B44" s="1" t="s">
        <v>78</v>
      </c>
      <c r="C44" s="12" t="s">
        <v>24</v>
      </c>
      <c r="D44" s="1" t="s">
        <v>35</v>
      </c>
      <c r="E44" s="35">
        <f>E43+4*E29</f>
        <v>2272.1532221874681</v>
      </c>
      <c r="F44"/>
      <c r="G44" s="16" t="s">
        <v>102</v>
      </c>
      <c r="H44" s="35">
        <v>2273</v>
      </c>
    </row>
    <row r="45" spans="1:8" ht="15.75" x14ac:dyDescent="0.25">
      <c r="A45" s="1" t="s">
        <v>18</v>
      </c>
      <c r="B45" s="1" t="s">
        <v>90</v>
      </c>
      <c r="C45" s="3" t="s">
        <v>24</v>
      </c>
      <c r="D45" s="1" t="s">
        <v>51</v>
      </c>
      <c r="E45" s="35">
        <f>E44/2/(SQRT((E17*PI()*E7)^2+1)+E7)</f>
        <v>686.20141380958387</v>
      </c>
      <c r="F45"/>
      <c r="G45" s="16" t="s">
        <v>55</v>
      </c>
      <c r="H45" s="35">
        <v>686.6</v>
      </c>
    </row>
    <row r="46" spans="1:8" ht="15.75" x14ac:dyDescent="0.25">
      <c r="A46" s="1" t="s">
        <v>14</v>
      </c>
      <c r="B46" s="1" t="s">
        <v>83</v>
      </c>
      <c r="C46" s="3" t="s">
        <v>24</v>
      </c>
      <c r="D46" s="1" t="s">
        <v>92</v>
      </c>
      <c r="E46" s="19">
        <f>E7*E45/2</f>
        <v>150.96431103810846</v>
      </c>
      <c r="F46"/>
      <c r="G46" s="16"/>
      <c r="H46" s="34"/>
    </row>
    <row r="47" spans="1:8" ht="15.75" x14ac:dyDescent="0.25">
      <c r="A47" s="1"/>
      <c r="B47" s="1" t="s">
        <v>98</v>
      </c>
      <c r="C47" s="3" t="s">
        <v>24</v>
      </c>
      <c r="D47" s="1" t="s">
        <v>99</v>
      </c>
      <c r="E47" s="35">
        <f>2*E46</f>
        <v>301.92862207621693</v>
      </c>
      <c r="F47"/>
      <c r="G47" s="16" t="s">
        <v>54</v>
      </c>
      <c r="H47" s="35">
        <v>302.10000000000002</v>
      </c>
    </row>
    <row r="48" spans="1:8" ht="15.75" x14ac:dyDescent="0.25">
      <c r="A48" s="1" t="s">
        <v>15</v>
      </c>
      <c r="B48" s="1" t="s">
        <v>84</v>
      </c>
      <c r="C48" s="3" t="s">
        <v>24</v>
      </c>
      <c r="D48" s="1"/>
      <c r="E48" s="19">
        <f>E46-E9</f>
        <v>144.96431103810846</v>
      </c>
      <c r="F48"/>
      <c r="G48" s="16"/>
      <c r="H48" s="34"/>
    </row>
    <row r="49" spans="1:8" ht="15.75" x14ac:dyDescent="0.25">
      <c r="A49" s="1"/>
      <c r="B49" s="1" t="s">
        <v>101</v>
      </c>
      <c r="C49" s="3" t="s">
        <v>24</v>
      </c>
      <c r="D49" s="1"/>
      <c r="E49" s="35">
        <f>2*E48</f>
        <v>289.92862207621693</v>
      </c>
      <c r="F49"/>
      <c r="G49" s="16" t="s">
        <v>96</v>
      </c>
      <c r="H49" s="35">
        <v>290.10000000000002</v>
      </c>
    </row>
    <row r="50" spans="1:8" ht="15.75" x14ac:dyDescent="0.25">
      <c r="A50" s="1" t="s">
        <v>16</v>
      </c>
      <c r="B50" s="1" t="s">
        <v>88</v>
      </c>
      <c r="C50" s="3" t="s">
        <v>24</v>
      </c>
      <c r="D50" s="1" t="s">
        <v>93</v>
      </c>
      <c r="E50" s="19">
        <f>E44/2-2*E46</f>
        <v>834.14798901751715</v>
      </c>
      <c r="F50"/>
      <c r="G50" s="25"/>
      <c r="H50" s="24"/>
    </row>
    <row r="51" spans="1:8" ht="15.75" x14ac:dyDescent="0.25">
      <c r="A51" s="1" t="s">
        <v>17</v>
      </c>
      <c r="B51" s="1" t="s">
        <v>86</v>
      </c>
      <c r="C51" s="3" t="s">
        <v>24</v>
      </c>
      <c r="D51" s="1"/>
      <c r="E51" s="19">
        <f>E50-2*E9</f>
        <v>822.14798901751715</v>
      </c>
      <c r="F51"/>
      <c r="G51" s="32"/>
      <c r="H51" s="33"/>
    </row>
    <row r="52" spans="1:8" x14ac:dyDescent="0.25">
      <c r="F52"/>
    </row>
    <row r="53" spans="1:8" x14ac:dyDescent="0.25">
      <c r="F53"/>
    </row>
    <row r="54" spans="1:8" x14ac:dyDescent="0.25">
      <c r="F54"/>
    </row>
    <row r="55" spans="1:8" x14ac:dyDescent="0.25">
      <c r="F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baseColWidth="10" defaultRowHeight="15" x14ac:dyDescent="0.25"/>
  <cols>
    <col min="1" max="1" width="41.85546875" customWidth="1"/>
    <col min="2" max="2" width="41" bestFit="1" customWidth="1"/>
    <col min="3" max="3" width="7.140625" customWidth="1"/>
    <col min="4" max="4" width="26.5703125" style="7" bestFit="1" customWidth="1"/>
    <col min="5" max="5" width="12" style="2" bestFit="1" customWidth="1"/>
    <col min="6" max="6" width="12" style="2" customWidth="1"/>
    <col min="7" max="7" width="12.5703125" bestFit="1" customWidth="1"/>
  </cols>
  <sheetData>
    <row r="1" spans="1:8" ht="23.25" x14ac:dyDescent="0.35">
      <c r="A1" s="36" t="s">
        <v>119</v>
      </c>
      <c r="D1" t="s">
        <v>74</v>
      </c>
      <c r="E1" s="15"/>
      <c r="F1"/>
    </row>
    <row r="2" spans="1:8" ht="15.75" customHeight="1" x14ac:dyDescent="0.25">
      <c r="D2" t="s">
        <v>105</v>
      </c>
      <c r="E2" s="35"/>
      <c r="F2"/>
    </row>
    <row r="3" spans="1:8" ht="15.75" customHeight="1" x14ac:dyDescent="0.25">
      <c r="D3" t="s">
        <v>109</v>
      </c>
      <c r="E3" s="37"/>
      <c r="F3"/>
    </row>
    <row r="4" spans="1:8" ht="15.75" customHeight="1" x14ac:dyDescent="0.25">
      <c r="D4"/>
      <c r="E4" s="7" t="s">
        <v>97</v>
      </c>
      <c r="F4"/>
      <c r="H4" s="40" t="s">
        <v>110</v>
      </c>
    </row>
    <row r="5" spans="1:8" ht="15.75" customHeight="1" x14ac:dyDescent="0.25">
      <c r="A5" s="3"/>
      <c r="B5" s="6" t="s">
        <v>60</v>
      </c>
      <c r="C5" s="3"/>
      <c r="D5" s="13"/>
      <c r="E5" s="16"/>
      <c r="F5"/>
    </row>
    <row r="6" spans="1:8" ht="15.75" x14ac:dyDescent="0.25">
      <c r="A6" s="1" t="s">
        <v>0</v>
      </c>
      <c r="B6" s="6" t="s">
        <v>56</v>
      </c>
      <c r="C6" s="1" t="s">
        <v>22</v>
      </c>
      <c r="D6" s="1" t="s">
        <v>28</v>
      </c>
      <c r="E6" s="45">
        <v>1059.6556788891955</v>
      </c>
      <c r="F6"/>
    </row>
    <row r="7" spans="1:8" ht="15.75" customHeight="1" x14ac:dyDescent="0.25">
      <c r="A7" s="1" t="s">
        <v>6</v>
      </c>
      <c r="B7" s="6" t="s">
        <v>108</v>
      </c>
      <c r="C7" s="1"/>
      <c r="D7" s="1" t="s">
        <v>26</v>
      </c>
      <c r="E7" s="38">
        <v>0.44</v>
      </c>
      <c r="F7"/>
    </row>
    <row r="8" spans="1:8" ht="15.75" customHeight="1" x14ac:dyDescent="0.25">
      <c r="A8" s="1" t="s">
        <v>30</v>
      </c>
      <c r="B8" s="6" t="s">
        <v>31</v>
      </c>
      <c r="C8" s="1"/>
      <c r="D8" s="1"/>
      <c r="E8" s="15">
        <v>0</v>
      </c>
      <c r="F8"/>
    </row>
    <row r="9" spans="1:8" ht="15.75" x14ac:dyDescent="0.25">
      <c r="A9" s="1" t="s">
        <v>10</v>
      </c>
      <c r="B9" s="6" t="s">
        <v>29</v>
      </c>
      <c r="C9" s="3"/>
      <c r="D9" s="1"/>
      <c r="E9" s="15">
        <v>0</v>
      </c>
      <c r="F9"/>
    </row>
    <row r="10" spans="1:8" ht="15.75" x14ac:dyDescent="0.25">
      <c r="A10" s="1"/>
      <c r="B10" s="6"/>
      <c r="C10" s="3"/>
      <c r="D10" s="1"/>
      <c r="E10" s="16"/>
      <c r="F10"/>
      <c r="H10" s="40" t="s">
        <v>114</v>
      </c>
    </row>
    <row r="11" spans="1:8" ht="15.75" x14ac:dyDescent="0.25">
      <c r="A11" s="1"/>
      <c r="B11" s="6" t="s">
        <v>61</v>
      </c>
      <c r="C11" s="1"/>
      <c r="D11" s="1"/>
      <c r="E11" s="16"/>
      <c r="F11"/>
    </row>
    <row r="12" spans="1:8" ht="15.75" customHeight="1" x14ac:dyDescent="0.25">
      <c r="A12" s="1" t="s">
        <v>4</v>
      </c>
      <c r="B12" s="1" t="s">
        <v>66</v>
      </c>
      <c r="C12" s="3"/>
      <c r="D12" s="1"/>
      <c r="E12" s="37">
        <v>6.4000000000000001E-2</v>
      </c>
      <c r="F12"/>
    </row>
    <row r="13" spans="1:8" ht="15.75" customHeight="1" x14ac:dyDescent="0.25">
      <c r="A13" s="8" t="s">
        <v>27</v>
      </c>
      <c r="B13" s="14" t="s">
        <v>62</v>
      </c>
      <c r="C13" s="3"/>
      <c r="D13" s="1" t="s">
        <v>63</v>
      </c>
      <c r="E13" s="16">
        <f>1+E12</f>
        <v>1.0640000000000001</v>
      </c>
      <c r="F13"/>
    </row>
    <row r="14" spans="1:8" ht="15.75" x14ac:dyDescent="0.25">
      <c r="A14" s="1" t="s">
        <v>9</v>
      </c>
      <c r="B14" s="1" t="s">
        <v>67</v>
      </c>
      <c r="C14" s="3"/>
      <c r="D14" s="1"/>
      <c r="E14" s="37">
        <v>2.5000000000000001E-2</v>
      </c>
      <c r="F14"/>
    </row>
    <row r="15" spans="1:8" ht="15.75" x14ac:dyDescent="0.25">
      <c r="A15" s="14" t="s">
        <v>64</v>
      </c>
      <c r="B15" s="14" t="s">
        <v>103</v>
      </c>
      <c r="C15" s="3"/>
      <c r="D15" s="1"/>
      <c r="E15" s="17">
        <f>1+E14</f>
        <v>1.0249999999999999</v>
      </c>
      <c r="F15"/>
      <c r="H15" s="40" t="s">
        <v>115</v>
      </c>
    </row>
    <row r="16" spans="1:8" ht="15.75" x14ac:dyDescent="0.25">
      <c r="A16" s="1" t="s">
        <v>65</v>
      </c>
      <c r="B16" s="14" t="s">
        <v>104</v>
      </c>
      <c r="C16" s="3"/>
      <c r="D16" s="1"/>
      <c r="E16" s="17">
        <f>1-E14</f>
        <v>0.97499999999999998</v>
      </c>
      <c r="F16"/>
    </row>
    <row r="17" spans="1:6" ht="15.75" x14ac:dyDescent="0.25">
      <c r="A17" s="1" t="s">
        <v>1</v>
      </c>
      <c r="B17" s="1" t="s">
        <v>57</v>
      </c>
      <c r="C17" s="1" t="s">
        <v>23</v>
      </c>
      <c r="D17" s="1"/>
      <c r="E17" s="16">
        <v>0.5</v>
      </c>
      <c r="F17"/>
    </row>
    <row r="18" spans="1:6" ht="15.75" x14ac:dyDescent="0.25">
      <c r="A18" s="1" t="s">
        <v>2</v>
      </c>
      <c r="B18" s="1" t="s">
        <v>58</v>
      </c>
      <c r="C18" s="1"/>
      <c r="D18" s="1"/>
      <c r="E18" s="16">
        <v>0.5</v>
      </c>
      <c r="F18"/>
    </row>
    <row r="19" spans="1:6" ht="15.75" x14ac:dyDescent="0.25">
      <c r="A19" s="1"/>
      <c r="B19" s="1"/>
      <c r="C19" s="1"/>
      <c r="D19" s="1"/>
      <c r="E19" s="16"/>
      <c r="F19"/>
    </row>
    <row r="20" spans="1:6" ht="15.75" x14ac:dyDescent="0.25">
      <c r="A20" s="1"/>
      <c r="B20" s="6" t="s">
        <v>75</v>
      </c>
      <c r="C20" s="1"/>
      <c r="D20" s="1"/>
      <c r="E20" s="16"/>
      <c r="F20"/>
    </row>
    <row r="21" spans="1:6" ht="18.75" x14ac:dyDescent="0.25">
      <c r="A21" s="1" t="s">
        <v>3</v>
      </c>
      <c r="B21" s="1" t="s">
        <v>59</v>
      </c>
      <c r="C21" s="1" t="s">
        <v>24</v>
      </c>
      <c r="D21" s="1" t="s">
        <v>107</v>
      </c>
      <c r="E21" s="18">
        <f>299792.458/E6</f>
        <v>282.9149732055069</v>
      </c>
      <c r="F21"/>
    </row>
    <row r="22" spans="1:6" ht="15.75" x14ac:dyDescent="0.25">
      <c r="A22" s="1" t="s">
        <v>5</v>
      </c>
      <c r="B22" s="1" t="s">
        <v>79</v>
      </c>
      <c r="C22" s="3"/>
      <c r="D22" s="1" t="s">
        <v>80</v>
      </c>
      <c r="E22" s="18">
        <f>E21*E13</f>
        <v>301.02153149065936</v>
      </c>
      <c r="F22"/>
    </row>
    <row r="23" spans="1:6" ht="15.75" x14ac:dyDescent="0.25">
      <c r="A23" s="1" t="s">
        <v>8</v>
      </c>
      <c r="B23" s="1" t="s">
        <v>68</v>
      </c>
      <c r="C23" s="3" t="s">
        <v>24</v>
      </c>
      <c r="D23" s="1" t="s">
        <v>71</v>
      </c>
      <c r="E23" s="18">
        <f>E22/2/(SQRT((E17*PI()*E7)^2+1)+E7)</f>
        <v>90.909978464020114</v>
      </c>
      <c r="F23" s="39" t="s">
        <v>110</v>
      </c>
    </row>
    <row r="24" spans="1:6" ht="15.75" x14ac:dyDescent="0.25">
      <c r="A24" s="1" t="s">
        <v>111</v>
      </c>
      <c r="B24" s="1" t="s">
        <v>112</v>
      </c>
      <c r="C24" s="3" t="s">
        <v>24</v>
      </c>
      <c r="D24" s="1" t="s">
        <v>113</v>
      </c>
      <c r="E24" s="18">
        <f>E7*E23/2</f>
        <v>20.000195262084425</v>
      </c>
      <c r="F24" s="40" t="s">
        <v>114</v>
      </c>
    </row>
    <row r="25" spans="1:6" ht="15.75" x14ac:dyDescent="0.25">
      <c r="A25" s="1" t="s">
        <v>7</v>
      </c>
      <c r="B25" s="1" t="s">
        <v>69</v>
      </c>
      <c r="C25" s="3" t="s">
        <v>24</v>
      </c>
      <c r="D25" s="1" t="s">
        <v>70</v>
      </c>
      <c r="E25" s="18">
        <f>E24*2</f>
        <v>40.00039052416885</v>
      </c>
      <c r="F25"/>
    </row>
    <row r="26" spans="1:6" ht="15.75" x14ac:dyDescent="0.25">
      <c r="A26" s="1" t="s">
        <v>73</v>
      </c>
      <c r="B26" s="1" t="s">
        <v>72</v>
      </c>
      <c r="C26" s="3" t="s">
        <v>24</v>
      </c>
      <c r="D26" s="1" t="s">
        <v>25</v>
      </c>
      <c r="E26" s="18">
        <f>E22/2-E7*E23</f>
        <v>110.51037522116083</v>
      </c>
      <c r="F26" s="40" t="s">
        <v>115</v>
      </c>
    </row>
    <row r="27" spans="1:6" ht="15.75" x14ac:dyDescent="0.25">
      <c r="A27" s="1"/>
      <c r="B27" s="1"/>
      <c r="C27" s="3"/>
      <c r="D27" s="1"/>
      <c r="E27" s="16"/>
      <c r="F27"/>
    </row>
    <row r="28" spans="1:6" x14ac:dyDescent="0.25">
      <c r="F28"/>
    </row>
    <row r="29" spans="1:6" x14ac:dyDescent="0.25">
      <c r="F2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J32" sqref="J32"/>
    </sheetView>
  </sheetViews>
  <sheetFormatPr baseColWidth="10" defaultRowHeight="15" x14ac:dyDescent="0.25"/>
  <cols>
    <col min="1" max="1" width="41.85546875" customWidth="1"/>
    <col min="2" max="2" width="41" bestFit="1" customWidth="1"/>
    <col min="3" max="3" width="7.140625" customWidth="1"/>
    <col min="4" max="4" width="26.5703125" style="7" bestFit="1" customWidth="1"/>
    <col min="5" max="5" width="12" style="2" bestFit="1" customWidth="1"/>
    <col min="6" max="6" width="12" style="47" customWidth="1"/>
    <col min="7" max="7" width="13.140625" style="2" bestFit="1" customWidth="1"/>
  </cols>
  <sheetData>
    <row r="1" spans="1:7" ht="23.25" x14ac:dyDescent="0.35">
      <c r="A1" s="36" t="s">
        <v>120</v>
      </c>
      <c r="D1" t="s">
        <v>74</v>
      </c>
      <c r="E1" s="15"/>
      <c r="F1" s="46"/>
      <c r="G1"/>
    </row>
    <row r="2" spans="1:7" ht="15.75" customHeight="1" x14ac:dyDescent="0.25">
      <c r="A2" s="46" t="s">
        <v>125</v>
      </c>
      <c r="D2" t="s">
        <v>105</v>
      </c>
      <c r="E2" s="35"/>
      <c r="F2" s="46"/>
      <c r="G2"/>
    </row>
    <row r="3" spans="1:7" ht="15.75" customHeight="1" x14ac:dyDescent="0.25">
      <c r="D3" t="s">
        <v>109</v>
      </c>
      <c r="E3" s="37"/>
      <c r="F3" s="46"/>
      <c r="G3"/>
    </row>
    <row r="4" spans="1:7" ht="15.75" customHeight="1" x14ac:dyDescent="0.25">
      <c r="D4"/>
      <c r="E4" s="7" t="s">
        <v>97</v>
      </c>
      <c r="F4" s="46"/>
      <c r="G4"/>
    </row>
    <row r="5" spans="1:7" ht="15.75" customHeight="1" x14ac:dyDescent="0.25">
      <c r="A5" s="3"/>
      <c r="B5" s="6" t="s">
        <v>60</v>
      </c>
      <c r="C5" s="3"/>
      <c r="D5" s="13"/>
      <c r="E5" s="16"/>
      <c r="F5" s="46"/>
      <c r="G5"/>
    </row>
    <row r="6" spans="1:7" ht="15.75" x14ac:dyDescent="0.25">
      <c r="A6" s="1" t="s">
        <v>0</v>
      </c>
      <c r="B6" s="6" t="s">
        <v>56</v>
      </c>
      <c r="C6" s="1" t="s">
        <v>22</v>
      </c>
      <c r="D6" s="1" t="s">
        <v>28</v>
      </c>
      <c r="E6" s="15">
        <v>137.5</v>
      </c>
      <c r="F6" s="46"/>
      <c r="G6"/>
    </row>
    <row r="7" spans="1:7" ht="15.75" customHeight="1" x14ac:dyDescent="0.25">
      <c r="A7" s="1" t="s">
        <v>6</v>
      </c>
      <c r="B7" s="6" t="s">
        <v>108</v>
      </c>
      <c r="C7" s="1"/>
      <c r="D7" s="1" t="s">
        <v>26</v>
      </c>
      <c r="E7" s="38">
        <v>0.66</v>
      </c>
      <c r="F7" s="46"/>
      <c r="G7"/>
    </row>
    <row r="8" spans="1:7" ht="15.75" customHeight="1" x14ac:dyDescent="0.25">
      <c r="A8" s="1" t="s">
        <v>30</v>
      </c>
      <c r="B8" s="6" t="s">
        <v>31</v>
      </c>
      <c r="C8" s="1"/>
      <c r="D8" s="1"/>
      <c r="E8" s="15">
        <v>2.5</v>
      </c>
      <c r="F8" s="46"/>
      <c r="G8"/>
    </row>
    <row r="9" spans="1:7" ht="15.75" x14ac:dyDescent="0.25">
      <c r="A9" s="1" t="s">
        <v>10</v>
      </c>
      <c r="B9" s="6" t="s">
        <v>29</v>
      </c>
      <c r="C9" s="3"/>
      <c r="D9" s="1"/>
      <c r="E9" s="15">
        <v>0</v>
      </c>
      <c r="F9" s="46"/>
      <c r="G9"/>
    </row>
    <row r="10" spans="1:7" ht="15.75" x14ac:dyDescent="0.25">
      <c r="A10" s="1"/>
      <c r="B10" s="6"/>
      <c r="C10" s="3"/>
      <c r="D10" s="1"/>
      <c r="E10" s="16"/>
      <c r="F10" s="46"/>
      <c r="G10"/>
    </row>
    <row r="11" spans="1:7" ht="15.75" x14ac:dyDescent="0.25">
      <c r="A11" s="1"/>
      <c r="B11" s="6" t="s">
        <v>61</v>
      </c>
      <c r="C11" s="1"/>
      <c r="D11" s="1"/>
      <c r="E11" s="16"/>
      <c r="F11" s="46"/>
      <c r="G11"/>
    </row>
    <row r="12" spans="1:7" ht="15.75" customHeight="1" x14ac:dyDescent="0.25">
      <c r="A12" s="1" t="s">
        <v>4</v>
      </c>
      <c r="B12" s="1" t="s">
        <v>66</v>
      </c>
      <c r="C12" s="3"/>
      <c r="D12" s="1"/>
      <c r="E12" s="37">
        <v>6.4000000000000001E-2</v>
      </c>
      <c r="F12" s="46"/>
      <c r="G12"/>
    </row>
    <row r="13" spans="1:7" ht="15.75" customHeight="1" x14ac:dyDescent="0.25">
      <c r="A13" s="8" t="s">
        <v>27</v>
      </c>
      <c r="B13" s="14" t="s">
        <v>62</v>
      </c>
      <c r="C13" s="3"/>
      <c r="D13" s="1" t="s">
        <v>63</v>
      </c>
      <c r="E13" s="16">
        <f>1+E12</f>
        <v>1.0640000000000001</v>
      </c>
      <c r="F13" s="46"/>
      <c r="G13"/>
    </row>
    <row r="14" spans="1:7" ht="15.75" x14ac:dyDescent="0.25">
      <c r="A14" s="1" t="s">
        <v>9</v>
      </c>
      <c r="B14" s="1" t="s">
        <v>67</v>
      </c>
      <c r="C14" s="3"/>
      <c r="D14" s="1"/>
      <c r="E14" s="37">
        <v>2.5000000000000001E-2</v>
      </c>
      <c r="F14" s="46"/>
      <c r="G14"/>
    </row>
    <row r="15" spans="1:7" ht="15.75" x14ac:dyDescent="0.25">
      <c r="A15" s="14" t="s">
        <v>64</v>
      </c>
      <c r="B15" s="14" t="s">
        <v>103</v>
      </c>
      <c r="C15" s="3"/>
      <c r="D15" s="1"/>
      <c r="E15" s="17">
        <f>1+E14</f>
        <v>1.0249999999999999</v>
      </c>
      <c r="F15" s="52"/>
      <c r="G15"/>
    </row>
    <row r="16" spans="1:7" ht="15.75" x14ac:dyDescent="0.25">
      <c r="A16" s="1" t="s">
        <v>65</v>
      </c>
      <c r="B16" s="14" t="s">
        <v>104</v>
      </c>
      <c r="C16" s="3"/>
      <c r="D16" s="1"/>
      <c r="E16" s="17">
        <f>1-E14</f>
        <v>0.97499999999999998</v>
      </c>
      <c r="F16" s="52"/>
      <c r="G16"/>
    </row>
    <row r="17" spans="1:9" ht="15.75" x14ac:dyDescent="0.25">
      <c r="A17" s="1" t="s">
        <v>1</v>
      </c>
      <c r="B17" s="1" t="s">
        <v>57</v>
      </c>
      <c r="C17" s="1" t="s">
        <v>23</v>
      </c>
      <c r="D17" s="1"/>
      <c r="E17" s="16">
        <v>0.5</v>
      </c>
      <c r="F17" s="51"/>
      <c r="G17"/>
    </row>
    <row r="18" spans="1:9" ht="15.75" x14ac:dyDescent="0.25">
      <c r="A18" s="1" t="s">
        <v>2</v>
      </c>
      <c r="B18" s="1" t="s">
        <v>58</v>
      </c>
      <c r="C18" s="1"/>
      <c r="D18" s="1"/>
      <c r="E18" s="16">
        <v>0.5</v>
      </c>
      <c r="F18" s="51"/>
      <c r="G18"/>
    </row>
    <row r="19" spans="1:9" ht="15.75" x14ac:dyDescent="0.25">
      <c r="A19" s="1"/>
      <c r="B19" s="1"/>
      <c r="C19" s="1"/>
      <c r="D19" s="1"/>
      <c r="E19" s="16"/>
      <c r="F19" s="51"/>
      <c r="G19"/>
    </row>
    <row r="20" spans="1:9" ht="15.75" x14ac:dyDescent="0.25">
      <c r="A20" s="1"/>
      <c r="B20" s="6" t="s">
        <v>75</v>
      </c>
      <c r="C20" s="1"/>
      <c r="D20" s="1"/>
      <c r="E20" s="16"/>
      <c r="F20" s="51"/>
      <c r="G20"/>
      <c r="H20" s="50" t="s">
        <v>21</v>
      </c>
    </row>
    <row r="21" spans="1:9" ht="18.75" x14ac:dyDescent="0.25">
      <c r="A21" s="1" t="s">
        <v>3</v>
      </c>
      <c r="B21" s="1" t="s">
        <v>59</v>
      </c>
      <c r="C21" s="1" t="s">
        <v>24</v>
      </c>
      <c r="D21" s="1" t="s">
        <v>107</v>
      </c>
      <c r="E21" s="18">
        <f>299792.458/E6</f>
        <v>2180.3087854545452</v>
      </c>
      <c r="F21" s="53"/>
      <c r="G21"/>
    </row>
    <row r="22" spans="1:9" ht="15.75" x14ac:dyDescent="0.25">
      <c r="A22" s="1" t="s">
        <v>5</v>
      </c>
      <c r="B22" s="1" t="s">
        <v>79</v>
      </c>
      <c r="C22" s="3"/>
      <c r="D22" s="1" t="s">
        <v>80</v>
      </c>
      <c r="E22" s="19">
        <f>E21*E13</f>
        <v>2319.8485477236363</v>
      </c>
      <c r="F22" s="54"/>
      <c r="G22" s="46"/>
    </row>
    <row r="23" spans="1:9" ht="15.75" x14ac:dyDescent="0.25">
      <c r="A23" s="1" t="s">
        <v>8</v>
      </c>
      <c r="B23" s="1" t="s">
        <v>68</v>
      </c>
      <c r="C23" s="3" t="s">
        <v>24</v>
      </c>
      <c r="D23" s="1" t="s">
        <v>71</v>
      </c>
      <c r="E23" s="19">
        <f>E22/2/(SQRT((E17*PI()*E7)^2+1)+E7)</f>
        <v>552.23534502625091</v>
      </c>
      <c r="F23" s="54"/>
      <c r="G23" s="46"/>
    </row>
    <row r="24" spans="1:9" ht="15.75" x14ac:dyDescent="0.25">
      <c r="A24" s="1" t="s">
        <v>111</v>
      </c>
      <c r="B24" s="1" t="s">
        <v>112</v>
      </c>
      <c r="C24" s="3" t="s">
        <v>24</v>
      </c>
      <c r="D24" s="1" t="s">
        <v>113</v>
      </c>
      <c r="E24" s="19">
        <f>E7*E23/2</f>
        <v>182.23766385866281</v>
      </c>
      <c r="F24" s="54"/>
      <c r="G24" s="46"/>
    </row>
    <row r="25" spans="1:9" ht="15.75" x14ac:dyDescent="0.25">
      <c r="A25" s="1" t="s">
        <v>7</v>
      </c>
      <c r="B25" s="1" t="s">
        <v>69</v>
      </c>
      <c r="C25" s="3" t="s">
        <v>24</v>
      </c>
      <c r="D25" s="1" t="s">
        <v>70</v>
      </c>
      <c r="E25" s="19">
        <f>E24*2</f>
        <v>364.47532771732563</v>
      </c>
      <c r="F25" s="54"/>
      <c r="G25" s="46"/>
    </row>
    <row r="26" spans="1:9" ht="15.75" x14ac:dyDescent="0.25">
      <c r="A26" s="1" t="s">
        <v>73</v>
      </c>
      <c r="B26" s="1" t="s">
        <v>72</v>
      </c>
      <c r="C26" s="3" t="s">
        <v>24</v>
      </c>
      <c r="D26" s="1" t="s">
        <v>25</v>
      </c>
      <c r="E26" s="19">
        <f>E22/2-E7*E23</f>
        <v>795.44894614449254</v>
      </c>
      <c r="F26" s="54"/>
      <c r="G26" s="46"/>
    </row>
    <row r="27" spans="1:9" ht="15.75" x14ac:dyDescent="0.25">
      <c r="A27" s="1"/>
      <c r="B27" s="1"/>
      <c r="C27" s="3"/>
      <c r="D27" s="1"/>
      <c r="E27" s="16"/>
      <c r="F27" s="51"/>
      <c r="G27" s="46"/>
    </row>
    <row r="28" spans="1:9" ht="15.75" x14ac:dyDescent="0.25">
      <c r="A28" s="1" t="s">
        <v>11</v>
      </c>
      <c r="B28" s="3" t="s">
        <v>49</v>
      </c>
      <c r="C28" s="3"/>
      <c r="D28" s="1"/>
      <c r="E28" s="20">
        <f>2*PI()*E9/4</f>
        <v>0</v>
      </c>
      <c r="F28" s="55"/>
      <c r="G28" s="46"/>
    </row>
    <row r="29" spans="1:9" ht="15.75" x14ac:dyDescent="0.25">
      <c r="A29" s="1" t="s">
        <v>48</v>
      </c>
      <c r="B29" s="3" t="s">
        <v>106</v>
      </c>
      <c r="C29" s="3"/>
      <c r="D29" s="1"/>
      <c r="E29" s="20">
        <f>2*E9-E28</f>
        <v>0</v>
      </c>
      <c r="F29" s="55"/>
      <c r="G29" s="46"/>
    </row>
    <row r="30" spans="1:9" ht="15.75" x14ac:dyDescent="0.25">
      <c r="A30" s="1"/>
      <c r="B30" s="1"/>
      <c r="C30" s="3"/>
      <c r="D30" s="1"/>
      <c r="E30" s="16"/>
      <c r="F30" s="51"/>
      <c r="G30" s="46"/>
    </row>
    <row r="31" spans="1:9" ht="15.75" x14ac:dyDescent="0.25">
      <c r="A31" s="6" t="s">
        <v>19</v>
      </c>
      <c r="B31" s="6" t="s">
        <v>76</v>
      </c>
      <c r="C31" s="3"/>
      <c r="D31" s="1"/>
      <c r="E31" s="16"/>
      <c r="F31" s="51"/>
      <c r="G31" s="46"/>
    </row>
    <row r="32" spans="1:9" ht="15.75" x14ac:dyDescent="0.25">
      <c r="A32" s="1" t="s">
        <v>81</v>
      </c>
      <c r="B32" s="1" t="s">
        <v>77</v>
      </c>
      <c r="C32" s="3" t="s">
        <v>24</v>
      </c>
      <c r="D32" s="1" t="s">
        <v>33</v>
      </c>
      <c r="E32" s="19">
        <f>E22*E15</f>
        <v>2377.8447614167271</v>
      </c>
      <c r="F32" s="57">
        <f>E32/2</f>
        <v>1188.9223807083636</v>
      </c>
      <c r="G32" s="16" t="s">
        <v>123</v>
      </c>
      <c r="H32" s="48">
        <v>122.2</v>
      </c>
      <c r="I32" s="48" t="s">
        <v>122</v>
      </c>
    </row>
    <row r="33" spans="1:10" ht="15.75" x14ac:dyDescent="0.25">
      <c r="A33" s="1" t="s">
        <v>20</v>
      </c>
      <c r="B33" s="1" t="s">
        <v>78</v>
      </c>
      <c r="C33" s="12" t="s">
        <v>24</v>
      </c>
      <c r="D33" s="1" t="s">
        <v>50</v>
      </c>
      <c r="E33" s="35">
        <f>E32+4*E29</f>
        <v>2377.8447614167271</v>
      </c>
      <c r="F33" s="51"/>
      <c r="G33" s="48"/>
      <c r="H33" s="48"/>
      <c r="I33" s="48"/>
    </row>
    <row r="34" spans="1:10" ht="15.75" x14ac:dyDescent="0.25">
      <c r="A34" s="1" t="s">
        <v>18</v>
      </c>
      <c r="B34" s="1" t="s">
        <v>89</v>
      </c>
      <c r="C34" s="3" t="s">
        <v>24</v>
      </c>
      <c r="D34" s="1" t="s">
        <v>82</v>
      </c>
      <c r="E34" s="35">
        <f>E33/2/(SQRT((E17*PI()*E7)^2+1)+E7)</f>
        <v>566.0412286519072</v>
      </c>
      <c r="F34" s="51"/>
      <c r="G34" s="16" t="s">
        <v>121</v>
      </c>
      <c r="H34" s="48">
        <v>56.7</v>
      </c>
      <c r="I34" s="48" t="s">
        <v>122</v>
      </c>
    </row>
    <row r="35" spans="1:10" ht="15.75" x14ac:dyDescent="0.25">
      <c r="A35" s="1" t="s">
        <v>14</v>
      </c>
      <c r="B35" s="1" t="s">
        <v>83</v>
      </c>
      <c r="C35" s="3" t="s">
        <v>24</v>
      </c>
      <c r="D35" s="1" t="s">
        <v>91</v>
      </c>
      <c r="E35" s="19">
        <f>E7*E34/2</f>
        <v>186.79360545512938</v>
      </c>
      <c r="F35" s="51"/>
      <c r="G35" s="16"/>
      <c r="H35" s="48"/>
      <c r="I35" s="48"/>
    </row>
    <row r="36" spans="1:10" ht="15.75" x14ac:dyDescent="0.25">
      <c r="A36" s="1"/>
      <c r="B36" s="1" t="s">
        <v>98</v>
      </c>
      <c r="C36" s="3" t="s">
        <v>24</v>
      </c>
      <c r="D36" s="1" t="s">
        <v>100</v>
      </c>
      <c r="E36" s="35">
        <f>2*E35</f>
        <v>373.58721091025876</v>
      </c>
      <c r="F36" s="51"/>
      <c r="G36" s="49" t="s">
        <v>38</v>
      </c>
      <c r="H36" s="48">
        <v>37.700000000000003</v>
      </c>
      <c r="I36" s="48" t="s">
        <v>122</v>
      </c>
    </row>
    <row r="37" spans="1:10" ht="15.75" x14ac:dyDescent="0.25">
      <c r="A37" s="1" t="s">
        <v>15</v>
      </c>
      <c r="B37" s="1" t="s">
        <v>84</v>
      </c>
      <c r="C37" s="3" t="s">
        <v>24</v>
      </c>
      <c r="D37" s="1"/>
      <c r="E37" s="19">
        <f>E35-E9</f>
        <v>186.79360545512938</v>
      </c>
      <c r="F37" s="51"/>
      <c r="G37" s="16"/>
      <c r="H37" s="48"/>
      <c r="I37" s="48"/>
    </row>
    <row r="38" spans="1:10" ht="15.75" x14ac:dyDescent="0.25">
      <c r="A38" s="1"/>
      <c r="B38" s="1" t="s">
        <v>101</v>
      </c>
      <c r="C38" s="3" t="s">
        <v>24</v>
      </c>
      <c r="D38" s="1"/>
      <c r="E38" s="35">
        <f>2*E37</f>
        <v>373.58721091025876</v>
      </c>
      <c r="F38" s="51"/>
      <c r="G38" s="16"/>
      <c r="H38" s="48"/>
      <c r="I38" s="48"/>
    </row>
    <row r="39" spans="1:10" ht="15.75" x14ac:dyDescent="0.25">
      <c r="A39" s="1" t="s">
        <v>16</v>
      </c>
      <c r="B39" s="1" t="s">
        <v>77</v>
      </c>
      <c r="C39" s="22" t="s">
        <v>24</v>
      </c>
      <c r="D39" s="1" t="s">
        <v>85</v>
      </c>
      <c r="E39" s="19">
        <f>E33/2-2*E35</f>
        <v>815.33516979810474</v>
      </c>
      <c r="F39" s="51"/>
      <c r="G39" s="16"/>
      <c r="H39" s="48"/>
      <c r="I39" s="48"/>
    </row>
    <row r="40" spans="1:10" ht="15.75" x14ac:dyDescent="0.25">
      <c r="A40" s="1" t="s">
        <v>17</v>
      </c>
      <c r="B40" s="1" t="s">
        <v>86</v>
      </c>
      <c r="C40" s="3" t="s">
        <v>24</v>
      </c>
      <c r="D40" s="1"/>
      <c r="E40" s="19">
        <f>E39-2*E9</f>
        <v>815.33516979810474</v>
      </c>
      <c r="F40" s="51"/>
      <c r="G40" s="16"/>
      <c r="H40" s="48"/>
      <c r="I40" s="48"/>
    </row>
    <row r="41" spans="1:10" ht="15.75" x14ac:dyDescent="0.25">
      <c r="A41" s="3"/>
      <c r="B41" s="3"/>
      <c r="D41" s="1"/>
      <c r="E41" s="16"/>
      <c r="F41" s="51"/>
      <c r="G41" s="16"/>
      <c r="H41" s="48"/>
      <c r="I41" s="48"/>
    </row>
    <row r="42" spans="1:10" ht="15.75" x14ac:dyDescent="0.25">
      <c r="A42" s="6" t="s">
        <v>12</v>
      </c>
      <c r="B42" s="6" t="s">
        <v>87</v>
      </c>
      <c r="C42" s="3"/>
      <c r="D42" s="1"/>
      <c r="E42" s="16"/>
      <c r="F42" s="51"/>
      <c r="G42" s="16"/>
      <c r="H42" s="48"/>
      <c r="I42" s="48"/>
    </row>
    <row r="43" spans="1:10" ht="15.75" x14ac:dyDescent="0.25">
      <c r="A43" s="1" t="s">
        <v>32</v>
      </c>
      <c r="B43" s="1" t="s">
        <v>88</v>
      </c>
      <c r="C43" s="3" t="s">
        <v>24</v>
      </c>
      <c r="D43" s="1" t="s">
        <v>34</v>
      </c>
      <c r="E43" s="19">
        <f>E22*E16</f>
        <v>2261.8523340305455</v>
      </c>
      <c r="F43" s="57">
        <f>E43/2</f>
        <v>1130.9261670152728</v>
      </c>
      <c r="G43" s="16" t="s">
        <v>123</v>
      </c>
      <c r="H43" s="48">
        <v>110.8</v>
      </c>
      <c r="I43" s="48" t="s">
        <v>122</v>
      </c>
    </row>
    <row r="44" spans="1:10" ht="15.75" x14ac:dyDescent="0.25">
      <c r="A44" s="1" t="s">
        <v>13</v>
      </c>
      <c r="B44" s="1" t="s">
        <v>78</v>
      </c>
      <c r="C44" s="12" t="s">
        <v>24</v>
      </c>
      <c r="D44" s="1" t="s">
        <v>35</v>
      </c>
      <c r="E44" s="35">
        <f>E43+4*E29</f>
        <v>2261.8523340305455</v>
      </c>
      <c r="F44" s="56"/>
      <c r="G44" s="16"/>
      <c r="H44" s="48"/>
      <c r="I44" s="48"/>
    </row>
    <row r="45" spans="1:10" ht="15.75" x14ac:dyDescent="0.25">
      <c r="A45" s="1" t="s">
        <v>18</v>
      </c>
      <c r="B45" s="1" t="s">
        <v>90</v>
      </c>
      <c r="C45" s="3" t="s">
        <v>24</v>
      </c>
      <c r="D45" s="1" t="s">
        <v>51</v>
      </c>
      <c r="E45" s="35">
        <f>E44/2/(SQRT((E17*PI()*E7)^2+1)+E7)</f>
        <v>538.42946140059473</v>
      </c>
      <c r="F45" s="51"/>
      <c r="G45" s="49" t="s">
        <v>121</v>
      </c>
      <c r="H45" s="48">
        <v>52</v>
      </c>
      <c r="I45" s="48" t="s">
        <v>122</v>
      </c>
    </row>
    <row r="46" spans="1:10" ht="15.75" x14ac:dyDescent="0.25">
      <c r="A46" s="1" t="s">
        <v>14</v>
      </c>
      <c r="B46" s="1" t="s">
        <v>83</v>
      </c>
      <c r="C46" s="3" t="s">
        <v>24</v>
      </c>
      <c r="D46" s="1" t="s">
        <v>92</v>
      </c>
      <c r="E46" s="19">
        <f>E7*E45/2</f>
        <v>177.68172226219627</v>
      </c>
      <c r="F46" s="51"/>
      <c r="G46" s="49"/>
      <c r="H46" s="48"/>
      <c r="I46" s="48"/>
    </row>
    <row r="47" spans="1:10" ht="15.75" x14ac:dyDescent="0.25">
      <c r="A47" s="1"/>
      <c r="B47" s="1" t="s">
        <v>98</v>
      </c>
      <c r="C47" s="3" t="s">
        <v>24</v>
      </c>
      <c r="D47" s="1" t="s">
        <v>99</v>
      </c>
      <c r="E47" s="35">
        <f>2*E46</f>
        <v>355.36344452439255</v>
      </c>
      <c r="F47" s="51"/>
      <c r="G47" s="49" t="s">
        <v>38</v>
      </c>
      <c r="H47" s="48">
        <v>34</v>
      </c>
      <c r="I47" s="48" t="s">
        <v>122</v>
      </c>
    </row>
    <row r="48" spans="1:10" ht="15.75" x14ac:dyDescent="0.25">
      <c r="A48" s="1" t="s">
        <v>15</v>
      </c>
      <c r="B48" s="1" t="s">
        <v>84</v>
      </c>
      <c r="C48" s="3" t="s">
        <v>24</v>
      </c>
      <c r="D48" s="1"/>
      <c r="E48" s="19">
        <f>E46-E9</f>
        <v>177.68172226219627</v>
      </c>
      <c r="F48" s="51"/>
      <c r="G48" s="46"/>
      <c r="H48" s="46"/>
      <c r="I48" s="46"/>
      <c r="J48" s="46"/>
    </row>
    <row r="49" spans="1:10" ht="15.75" x14ac:dyDescent="0.25">
      <c r="A49" s="1"/>
      <c r="B49" s="1" t="s">
        <v>101</v>
      </c>
      <c r="C49" s="3" t="s">
        <v>24</v>
      </c>
      <c r="D49" s="1"/>
      <c r="E49" s="35">
        <f>2*E48</f>
        <v>355.36344452439255</v>
      </c>
      <c r="F49" s="51"/>
      <c r="G49" s="46"/>
      <c r="H49" s="46"/>
      <c r="I49" s="46"/>
      <c r="J49" s="46"/>
    </row>
    <row r="50" spans="1:10" ht="15.75" x14ac:dyDescent="0.25">
      <c r="A50" s="1" t="s">
        <v>16</v>
      </c>
      <c r="B50" s="1" t="s">
        <v>88</v>
      </c>
      <c r="C50" s="3" t="s">
        <v>24</v>
      </c>
      <c r="D50" s="1" t="s">
        <v>93</v>
      </c>
      <c r="E50" s="19">
        <f>E44/2-2*E46</f>
        <v>775.56272249088022</v>
      </c>
      <c r="F50" s="51"/>
      <c r="G50" s="46"/>
      <c r="H50" s="46"/>
      <c r="I50" s="46"/>
      <c r="J50" s="46"/>
    </row>
    <row r="51" spans="1:10" ht="15.75" x14ac:dyDescent="0.25">
      <c r="A51" s="1" t="s">
        <v>17</v>
      </c>
      <c r="B51" s="1" t="s">
        <v>86</v>
      </c>
      <c r="C51" s="3" t="s">
        <v>24</v>
      </c>
      <c r="D51" s="1"/>
      <c r="E51" s="19">
        <f>E50-2*E9</f>
        <v>775.56272249088022</v>
      </c>
      <c r="F51" s="51"/>
      <c r="G51"/>
    </row>
    <row r="52" spans="1:10" x14ac:dyDescent="0.25">
      <c r="F52" s="51"/>
      <c r="G52"/>
    </row>
    <row r="53" spans="1:10" x14ac:dyDescent="0.25">
      <c r="F53" s="51"/>
      <c r="G53"/>
    </row>
    <row r="54" spans="1:10" x14ac:dyDescent="0.25">
      <c r="G54"/>
    </row>
    <row r="55" spans="1:10" x14ac:dyDescent="0.25">
      <c r="G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0"/>
  <sheetViews>
    <sheetView workbookViewId="0">
      <selection activeCell="I24" sqref="I24"/>
    </sheetView>
  </sheetViews>
  <sheetFormatPr baseColWidth="10" defaultRowHeight="15" x14ac:dyDescent="0.25"/>
  <cols>
    <col min="2" max="2" width="14" customWidth="1"/>
    <col min="8" max="8" width="22.42578125" bestFit="1" customWidth="1"/>
  </cols>
  <sheetData>
    <row r="2" spans="2:15" ht="26.25" x14ac:dyDescent="0.4">
      <c r="B2" s="5" t="s">
        <v>41</v>
      </c>
      <c r="I2" s="5" t="s">
        <v>44</v>
      </c>
    </row>
    <row r="3" spans="2:15" x14ac:dyDescent="0.25">
      <c r="B3" t="s">
        <v>43</v>
      </c>
      <c r="C3" t="s">
        <v>42</v>
      </c>
    </row>
    <row r="5" spans="2:15" x14ac:dyDescent="0.25">
      <c r="B5" t="s">
        <v>36</v>
      </c>
      <c r="C5">
        <v>19</v>
      </c>
      <c r="D5">
        <v>15</v>
      </c>
      <c r="E5">
        <v>12</v>
      </c>
      <c r="F5">
        <v>8</v>
      </c>
      <c r="G5">
        <v>4</v>
      </c>
      <c r="H5" t="s">
        <v>45</v>
      </c>
      <c r="I5" t="s">
        <v>46</v>
      </c>
      <c r="J5">
        <v>19</v>
      </c>
      <c r="K5">
        <v>15</v>
      </c>
      <c r="L5">
        <v>12</v>
      </c>
      <c r="M5">
        <v>8</v>
      </c>
      <c r="N5">
        <v>4</v>
      </c>
      <c r="O5" t="s">
        <v>45</v>
      </c>
    </row>
    <row r="6" spans="2:15" x14ac:dyDescent="0.25">
      <c r="B6" t="s">
        <v>37</v>
      </c>
      <c r="C6">
        <v>6.8</v>
      </c>
      <c r="D6">
        <v>7</v>
      </c>
      <c r="E6">
        <v>7.1</v>
      </c>
      <c r="F6">
        <v>6.6</v>
      </c>
      <c r="G6">
        <v>4.5</v>
      </c>
      <c r="H6" t="s">
        <v>24</v>
      </c>
      <c r="I6" t="s">
        <v>37</v>
      </c>
      <c r="J6">
        <v>4.9000000000000004</v>
      </c>
      <c r="K6">
        <v>3.3</v>
      </c>
      <c r="L6">
        <v>2.5</v>
      </c>
      <c r="M6">
        <v>1.8</v>
      </c>
      <c r="N6">
        <v>1.3</v>
      </c>
      <c r="O6" t="s">
        <v>24</v>
      </c>
    </row>
    <row r="23" spans="2:18" ht="26.25" x14ac:dyDescent="0.4">
      <c r="G23" s="42" t="s">
        <v>39</v>
      </c>
      <c r="H23" s="43" t="s">
        <v>38</v>
      </c>
      <c r="I23" s="44">
        <v>4</v>
      </c>
      <c r="J23" s="43" t="s">
        <v>24</v>
      </c>
    </row>
    <row r="24" spans="2:18" x14ac:dyDescent="0.25">
      <c r="B24" s="11" t="s">
        <v>118</v>
      </c>
      <c r="C24" s="10" t="s">
        <v>40</v>
      </c>
      <c r="D24" t="s">
        <v>36</v>
      </c>
      <c r="E24" s="9">
        <f>0.0022*I23^3-0.1016 *I23^2+1.4959*I23+0.0039</f>
        <v>4.5026999999999999</v>
      </c>
      <c r="F24" t="s">
        <v>45</v>
      </c>
      <c r="G24" s="4"/>
      <c r="K24" s="10" t="s">
        <v>40</v>
      </c>
      <c r="L24" t="s">
        <v>46</v>
      </c>
      <c r="M24" s="9">
        <f>0.0127*I23^2-0.056*I23+1.3574</f>
        <v>1.3366</v>
      </c>
      <c r="N24" t="s">
        <v>45</v>
      </c>
    </row>
    <row r="27" spans="2:18" x14ac:dyDescent="0.25">
      <c r="B27" s="11" t="s">
        <v>47</v>
      </c>
    </row>
    <row r="28" spans="2:18" x14ac:dyDescent="0.25">
      <c r="B28" t="s">
        <v>36</v>
      </c>
      <c r="C28">
        <v>5.3</v>
      </c>
      <c r="D28">
        <v>6</v>
      </c>
      <c r="E28">
        <v>6.4</v>
      </c>
      <c r="F28">
        <v>6.8</v>
      </c>
      <c r="G28">
        <v>7</v>
      </c>
      <c r="H28">
        <v>7</v>
      </c>
      <c r="I28">
        <v>7.1</v>
      </c>
      <c r="J28">
        <v>7.1</v>
      </c>
      <c r="K28">
        <v>7</v>
      </c>
      <c r="L28">
        <v>7</v>
      </c>
      <c r="M28">
        <v>7</v>
      </c>
      <c r="N28">
        <v>7</v>
      </c>
      <c r="O28">
        <v>6.9</v>
      </c>
      <c r="P28">
        <v>6.9</v>
      </c>
      <c r="Q28">
        <v>6.8</v>
      </c>
      <c r="R28">
        <v>6.7</v>
      </c>
    </row>
    <row r="29" spans="2:18" x14ac:dyDescent="0.25">
      <c r="B29" t="s">
        <v>37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</row>
    <row r="30" spans="2:18" x14ac:dyDescent="0.25">
      <c r="B30" s="10" t="s">
        <v>40</v>
      </c>
      <c r="C30" t="s">
        <v>36</v>
      </c>
      <c r="D30" s="9">
        <f>0.0012*H29^3-0.072 *H29^2+0.7439*H29+4.319</f>
        <v>6.4496000000000002</v>
      </c>
      <c r="E30" t="s">
        <v>45</v>
      </c>
    </row>
  </sheetData>
  <pageMargins left="0.7" right="0.7" top="0.78740157499999996" bottom="0.78740157499999996" header="0.3" footer="0.3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Rechnung Enno</vt:lpstr>
      <vt:lpstr>Modell</vt:lpstr>
      <vt:lpstr>Peter pdf</vt:lpstr>
      <vt:lpstr>elongation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Klatt</dc:creator>
  <cp:lastModifiedBy>Enno Klatt</cp:lastModifiedBy>
  <cp:lastPrinted>2017-10-23T16:23:43Z</cp:lastPrinted>
  <dcterms:created xsi:type="dcterms:W3CDTF">2017-10-19T15:43:17Z</dcterms:created>
  <dcterms:modified xsi:type="dcterms:W3CDTF">2017-11-08T16:46:37Z</dcterms:modified>
</cp:coreProperties>
</file>